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D0D36EE4-55E4-470E-B55D-A81EA05DC631}"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83" i="1" l="1"/>
  <c r="F12" i="1"/>
  <c r="F50" i="1" l="1"/>
  <c r="H12" i="1"/>
  <c r="H49" i="1"/>
  <c r="H22" i="1"/>
  <c r="K267" i="1" l="1"/>
  <c r="H13" i="1"/>
  <c r="G398" i="1"/>
  <c r="H30" i="1"/>
  <c r="F22" i="1"/>
  <c r="G40" i="1"/>
  <c r="G28" i="1"/>
  <c r="F28" i="1"/>
  <c r="F17" i="1"/>
  <c r="F14" i="1"/>
  <c r="F9" i="1"/>
  <c r="J473" i="1"/>
  <c r="J96" i="1"/>
  <c r="G473" i="1"/>
  <c r="H473" i="1"/>
  <c r="E38" i="14"/>
  <c r="D38" i="14"/>
  <c r="E26" i="14"/>
  <c r="D26" i="14"/>
  <c r="E6" i="14"/>
  <c r="D6" i="14"/>
  <c r="F31" i="13"/>
  <c r="F29" i="13"/>
  <c r="F15" i="13"/>
  <c r="F6" i="13"/>
  <c r="F5" i="13"/>
  <c r="D11" i="13"/>
  <c r="C19" i="12"/>
  <c r="C20" i="12"/>
  <c r="B19" i="12"/>
  <c r="B20" i="12"/>
  <c r="C37" i="12"/>
  <c r="B37" i="12"/>
  <c r="C39" i="12"/>
  <c r="B39" i="12"/>
  <c r="B21" i="12"/>
  <c r="C10" i="12"/>
  <c r="B10" i="12"/>
  <c r="B12" i="12"/>
  <c r="E13" i="17"/>
  <c r="H614" i="1"/>
  <c r="G614" i="1"/>
  <c r="G613" i="1"/>
  <c r="F613" i="1"/>
  <c r="J605" i="1"/>
  <c r="H605" i="1"/>
  <c r="I605" i="1"/>
  <c r="I596" i="1"/>
  <c r="H596" i="1"/>
  <c r="J595" i="1"/>
  <c r="I595" i="1"/>
  <c r="J592" i="1"/>
  <c r="I592" i="1"/>
  <c r="H592" i="1"/>
  <c r="H584" i="1"/>
  <c r="G534" i="1" l="1"/>
  <c r="G533" i="1"/>
  <c r="G532" i="1"/>
  <c r="F533" i="1"/>
  <c r="F532" i="1"/>
  <c r="H528" i="1"/>
  <c r="H527" i="1"/>
  <c r="J524" i="1"/>
  <c r="I524" i="1"/>
  <c r="H524" i="1"/>
  <c r="G524" i="1"/>
  <c r="F524" i="1"/>
  <c r="G523" i="1"/>
  <c r="F523" i="1"/>
  <c r="K522" i="1"/>
  <c r="J522" i="1"/>
  <c r="I522" i="1"/>
  <c r="H522" i="1"/>
  <c r="G522" i="1"/>
  <c r="F522" i="1"/>
  <c r="H235" i="1" l="1"/>
  <c r="K269" i="1"/>
  <c r="G158" i="1"/>
  <c r="G132" i="1"/>
  <c r="G97" i="1"/>
  <c r="H155" i="1" l="1"/>
  <c r="F174" i="1"/>
  <c r="F166" i="1"/>
  <c r="F57" i="1"/>
  <c r="F503" i="1"/>
  <c r="F500" i="1"/>
  <c r="F499" i="1"/>
  <c r="F440" i="1"/>
  <c r="H401" i="1" l="1"/>
  <c r="H423" i="1"/>
  <c r="H400" i="1"/>
  <c r="H398" i="1"/>
  <c r="H397" i="1"/>
  <c r="G401" i="1"/>
  <c r="G400" i="1"/>
  <c r="G397" i="1"/>
  <c r="F369" i="1"/>
  <c r="I361" i="1"/>
  <c r="H361" i="1"/>
  <c r="I360" i="1"/>
  <c r="H360" i="1"/>
  <c r="I359" i="1"/>
  <c r="H359" i="1"/>
  <c r="K264" i="1" l="1"/>
  <c r="G198" i="1"/>
  <c r="G203" i="1"/>
  <c r="H320" i="1"/>
  <c r="H301" i="1"/>
  <c r="H282" i="1"/>
  <c r="I296" i="1"/>
  <c r="G296" i="1"/>
  <c r="F296" i="1"/>
  <c r="G277" i="1"/>
  <c r="F277" i="1"/>
  <c r="I282" i="1"/>
  <c r="I315" i="1"/>
  <c r="K296" i="1"/>
  <c r="I277" i="1"/>
  <c r="F278" i="1"/>
  <c r="J316" i="1"/>
  <c r="G297" i="1"/>
  <c r="F297" i="1"/>
  <c r="J278" i="1"/>
  <c r="H278" i="1"/>
  <c r="J315" i="1"/>
  <c r="H283" i="1"/>
  <c r="J296" i="1"/>
  <c r="H223" i="1"/>
  <c r="K262" i="1"/>
  <c r="K261" i="1"/>
  <c r="H256" i="1"/>
  <c r="H245" i="1"/>
  <c r="H227" i="1"/>
  <c r="H209" i="1"/>
  <c r="H244" i="1"/>
  <c r="H226" i="1"/>
  <c r="H208" i="1"/>
  <c r="I244" i="1"/>
  <c r="I226" i="1"/>
  <c r="I208" i="1"/>
  <c r="J244" i="1"/>
  <c r="J226" i="1"/>
  <c r="J208" i="1"/>
  <c r="K244" i="1"/>
  <c r="G244" i="1"/>
  <c r="F244" i="1"/>
  <c r="K226" i="1"/>
  <c r="G226" i="1"/>
  <c r="F226" i="1"/>
  <c r="K208" i="1"/>
  <c r="G208" i="1"/>
  <c r="F208" i="1"/>
  <c r="I242" i="1"/>
  <c r="H242" i="1"/>
  <c r="I224" i="1"/>
  <c r="K242" i="1"/>
  <c r="J242" i="1"/>
  <c r="G242" i="1"/>
  <c r="F242" i="1"/>
  <c r="K224" i="1"/>
  <c r="J224" i="1"/>
  <c r="H224" i="1"/>
  <c r="G224" i="1"/>
  <c r="F224" i="1"/>
  <c r="K206" i="1"/>
  <c r="J206" i="1"/>
  <c r="I206" i="1"/>
  <c r="H206" i="1"/>
  <c r="G206" i="1"/>
  <c r="F206" i="1"/>
  <c r="K241" i="1"/>
  <c r="I241" i="1"/>
  <c r="H241" i="1"/>
  <c r="G241" i="1"/>
  <c r="F241" i="1"/>
  <c r="K223" i="1"/>
  <c r="I223" i="1"/>
  <c r="G223" i="1"/>
  <c r="F223" i="1"/>
  <c r="K205" i="1"/>
  <c r="I205" i="1"/>
  <c r="H205" i="1"/>
  <c r="G205" i="1"/>
  <c r="F205" i="1"/>
  <c r="H240" i="1"/>
  <c r="I240" i="1"/>
  <c r="I222" i="1"/>
  <c r="I204" i="1"/>
  <c r="H204" i="1"/>
  <c r="G240" i="1"/>
  <c r="F240" i="1"/>
  <c r="G222" i="1"/>
  <c r="F222" i="1"/>
  <c r="G204" i="1"/>
  <c r="F204" i="1"/>
  <c r="H222" i="1"/>
  <c r="H239" i="1"/>
  <c r="H221" i="1"/>
  <c r="H203" i="1"/>
  <c r="I239" i="1"/>
  <c r="G239" i="1"/>
  <c r="F239" i="1"/>
  <c r="I221" i="1"/>
  <c r="G221" i="1"/>
  <c r="F221" i="1"/>
  <c r="I203" i="1"/>
  <c r="F203" i="1"/>
  <c r="K203" i="1"/>
  <c r="H237" i="1"/>
  <c r="G237" i="1"/>
  <c r="F237" i="1"/>
  <c r="G219" i="1"/>
  <c r="F219" i="1"/>
  <c r="K237" i="1"/>
  <c r="J237" i="1"/>
  <c r="I237" i="1"/>
  <c r="K219" i="1"/>
  <c r="I219" i="1"/>
  <c r="H219" i="1"/>
  <c r="G201" i="1"/>
  <c r="F201" i="1"/>
  <c r="H236" i="1"/>
  <c r="G199" i="1"/>
  <c r="F199" i="1"/>
  <c r="H199" i="1"/>
  <c r="I235" i="1"/>
  <c r="G235" i="1"/>
  <c r="F235" i="1"/>
  <c r="H217" i="1"/>
  <c r="G217" i="1"/>
  <c r="F217" i="1"/>
  <c r="I199" i="1"/>
  <c r="K234" i="1"/>
  <c r="J234" i="1"/>
  <c r="I234" i="1"/>
  <c r="H234" i="1"/>
  <c r="G234" i="1"/>
  <c r="F234" i="1"/>
  <c r="K216" i="1"/>
  <c r="J216" i="1"/>
  <c r="I216" i="1"/>
  <c r="H216" i="1"/>
  <c r="G216" i="1"/>
  <c r="F216" i="1"/>
  <c r="K198" i="1"/>
  <c r="J198" i="1"/>
  <c r="I198" i="1"/>
  <c r="H198" i="1"/>
  <c r="F198" i="1"/>
  <c r="H136" i="2"/>
  <c r="H137" i="2"/>
  <c r="H138" i="2"/>
  <c r="H140" i="2"/>
  <c r="H143" i="2"/>
  <c r="H122" i="2"/>
  <c r="H125" i="2"/>
  <c r="H113" i="2"/>
  <c r="H114" i="2"/>
  <c r="H97" i="2"/>
  <c r="H98" i="2"/>
  <c r="H99" i="2"/>
  <c r="H100" i="2"/>
  <c r="H101" i="2"/>
  <c r="H102" i="2"/>
  <c r="H94" i="2"/>
  <c r="H89" i="2"/>
  <c r="H73" i="2"/>
  <c r="H74" i="2"/>
  <c r="H75" i="2"/>
  <c r="H76" i="2"/>
  <c r="H79" i="2"/>
  <c r="H80" i="2"/>
  <c r="H72" i="2"/>
  <c r="H69" i="2"/>
  <c r="H58" i="2"/>
  <c r="H44" i="2"/>
  <c r="H42" i="2"/>
  <c r="H40" i="2"/>
  <c r="H38" i="2"/>
  <c r="H36" i="2"/>
  <c r="H35" i="2"/>
  <c r="H34" i="2"/>
  <c r="H22" i="2"/>
  <c r="H23" i="2"/>
  <c r="H24" i="2"/>
  <c r="H25" i="2"/>
  <c r="H26" i="2"/>
  <c r="H28" i="2"/>
  <c r="H30" i="2"/>
  <c r="H9" i="2"/>
  <c r="H10" i="2"/>
  <c r="H14" i="2"/>
  <c r="H15" i="2"/>
  <c r="H17"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H131" i="2" s="1"/>
  <c r="L262" i="1"/>
  <c r="C132" i="2" s="1"/>
  <c r="H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H8" i="2" s="1"/>
  <c r="C9" i="2"/>
  <c r="D9" i="2"/>
  <c r="E9" i="2"/>
  <c r="F9" i="2"/>
  <c r="I441" i="1"/>
  <c r="J10" i="1" s="1"/>
  <c r="G9" i="2" s="1"/>
  <c r="C10" i="2"/>
  <c r="C11" i="2"/>
  <c r="D11" i="2"/>
  <c r="E11" i="2"/>
  <c r="F11" i="2"/>
  <c r="I442" i="1"/>
  <c r="J12" i="1" s="1"/>
  <c r="G11" i="2" s="1"/>
  <c r="C12" i="2"/>
  <c r="D12" i="2"/>
  <c r="E12" i="2"/>
  <c r="F12" i="2"/>
  <c r="I443" i="1"/>
  <c r="J13" i="1" s="1"/>
  <c r="G12" i="2" s="1"/>
  <c r="C13" i="2"/>
  <c r="H13" i="2" s="1"/>
  <c r="D13" i="2"/>
  <c r="E13" i="2"/>
  <c r="F13" i="2"/>
  <c r="I444" i="1"/>
  <c r="J14" i="1" s="1"/>
  <c r="G13" i="2" s="1"/>
  <c r="F14" i="2"/>
  <c r="C15" i="2"/>
  <c r="D15" i="2"/>
  <c r="E15" i="2"/>
  <c r="F15" i="2"/>
  <c r="C16" i="2"/>
  <c r="H16" i="2" s="1"/>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H59" i="2" s="1"/>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C75" i="2"/>
  <c r="C76" i="2"/>
  <c r="E76" i="2"/>
  <c r="F76" i="2"/>
  <c r="C77" i="2"/>
  <c r="D77" i="2"/>
  <c r="E77" i="2"/>
  <c r="F77" i="2"/>
  <c r="G77" i="2"/>
  <c r="G78" i="2" s="1"/>
  <c r="C79" i="2"/>
  <c r="D79" i="2"/>
  <c r="E79" i="2"/>
  <c r="C80" i="2"/>
  <c r="E80" i="2"/>
  <c r="C85" i="2"/>
  <c r="F85" i="2"/>
  <c r="C87" i="2"/>
  <c r="E87" i="2"/>
  <c r="H87" i="2" s="1"/>
  <c r="F87" i="2"/>
  <c r="C89" i="2"/>
  <c r="D89" i="2"/>
  <c r="E89" i="2"/>
  <c r="F89" i="2"/>
  <c r="C90" i="2"/>
  <c r="H90" i="2" s="1"/>
  <c r="C93" i="2"/>
  <c r="H93" i="2" s="1"/>
  <c r="F93" i="2"/>
  <c r="C94" i="2"/>
  <c r="F94" i="2"/>
  <c r="D96" i="2"/>
  <c r="H96" i="2" s="1"/>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4" i="2"/>
  <c r="C125" i="2"/>
  <c r="E125" i="2"/>
  <c r="F128" i="2"/>
  <c r="G128"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31" i="1"/>
  <c r="H634" i="1"/>
  <c r="H636" i="1"/>
  <c r="H637" i="1"/>
  <c r="H639" i="1"/>
  <c r="G644" i="1"/>
  <c r="G645" i="1"/>
  <c r="G651" i="1"/>
  <c r="H653" i="1"/>
  <c r="G654" i="1"/>
  <c r="H654" i="1"/>
  <c r="H655" i="1"/>
  <c r="H656" i="1"/>
  <c r="I170" i="1"/>
  <c r="H48" i="2" l="1"/>
  <c r="H47" i="2"/>
  <c r="H29" i="2"/>
  <c r="H12" i="2"/>
  <c r="H21" i="2"/>
  <c r="H11" i="2"/>
  <c r="G646" i="1"/>
  <c r="J652" i="1"/>
  <c r="H61" i="2"/>
  <c r="D78" i="2"/>
  <c r="H78" i="2" s="1"/>
  <c r="H77" i="2"/>
  <c r="G409" i="1"/>
  <c r="H646" i="1" s="1"/>
  <c r="J646" i="1" s="1"/>
  <c r="G662" i="1"/>
  <c r="C32" i="10"/>
  <c r="D15" i="13"/>
  <c r="C15" i="13" s="1"/>
  <c r="C121" i="2"/>
  <c r="H121" i="2" s="1"/>
  <c r="C120" i="2"/>
  <c r="H120" i="2" s="1"/>
  <c r="C119" i="2"/>
  <c r="D6" i="13"/>
  <c r="C6" i="13" s="1"/>
  <c r="C13" i="10"/>
  <c r="C112" i="2"/>
  <c r="H112" i="2" s="1"/>
  <c r="A40" i="12"/>
  <c r="C12" i="10"/>
  <c r="C110" i="2"/>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E128" i="2" s="1"/>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31" i="13"/>
  <c r="J194" i="1"/>
  <c r="G140" i="1"/>
  <c r="B11" i="16" s="1"/>
  <c r="F140" i="1"/>
  <c r="G63" i="2"/>
  <c r="J619" i="1"/>
  <c r="G42" i="2"/>
  <c r="G50" i="2" s="1"/>
  <c r="J51" i="1"/>
  <c r="G16" i="2"/>
  <c r="G18" i="2" s="1"/>
  <c r="J19" i="1"/>
  <c r="G622" i="1" s="1"/>
  <c r="F546" i="1"/>
  <c r="H435" i="1"/>
  <c r="D103" i="2"/>
  <c r="I140" i="1"/>
  <c r="A22" i="12"/>
  <c r="J653" i="1"/>
  <c r="G572" i="1"/>
  <c r="I435" i="1"/>
  <c r="G435" i="1"/>
  <c r="I664" i="1"/>
  <c r="E51" i="2" l="1"/>
  <c r="H31" i="2"/>
  <c r="H18" i="2"/>
  <c r="H50" i="2"/>
  <c r="G647" i="1"/>
  <c r="J469" i="1"/>
  <c r="H103" i="2"/>
  <c r="H62" i="2"/>
  <c r="E91" i="2"/>
  <c r="E104" i="2" s="1"/>
  <c r="H85" i="2"/>
  <c r="C81" i="2"/>
  <c r="H81" i="2" s="1"/>
  <c r="F194" i="1"/>
  <c r="G144" i="2"/>
  <c r="G145" i="2" s="1"/>
  <c r="H134" i="2"/>
  <c r="D128" i="2"/>
  <c r="D145" i="2" s="1"/>
  <c r="H127" i="2"/>
  <c r="G24" i="14"/>
  <c r="H24" i="14" s="1"/>
  <c r="I24" i="14" s="1"/>
  <c r="H118" i="2"/>
  <c r="H110" i="2"/>
  <c r="E115" i="2"/>
  <c r="E145" i="2" s="1"/>
  <c r="H119" i="2"/>
  <c r="H109" i="2"/>
  <c r="F661" i="1"/>
  <c r="F665" i="1" s="1"/>
  <c r="F668" i="1" s="1"/>
  <c r="I663" i="1"/>
  <c r="F144" i="2"/>
  <c r="H130" i="2"/>
  <c r="H661" i="1"/>
  <c r="H665" i="1" s="1"/>
  <c r="H668" i="1" s="1"/>
  <c r="H194" i="1"/>
  <c r="H649" i="1"/>
  <c r="J649" i="1" s="1"/>
  <c r="C141" i="2"/>
  <c r="F51" i="2"/>
  <c r="G36" i="14"/>
  <c r="H36" i="14" s="1"/>
  <c r="I36" i="14" s="1"/>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G630" i="1" l="1"/>
  <c r="H469" i="1"/>
  <c r="G628" i="1"/>
  <c r="F469" i="1"/>
  <c r="G629" i="1"/>
  <c r="G469" i="1"/>
  <c r="G633" i="1"/>
  <c r="F473" i="1"/>
  <c r="H51" i="2"/>
  <c r="J471" i="1"/>
  <c r="J477" i="1" s="1"/>
  <c r="H627" i="1" s="1"/>
  <c r="H632" i="1"/>
  <c r="J632" i="1" s="1"/>
  <c r="H638" i="1"/>
  <c r="J627" i="1"/>
  <c r="H91" i="2"/>
  <c r="C104" i="2"/>
  <c r="H104" i="2" s="1"/>
  <c r="H63" i="2"/>
  <c r="H128" i="2"/>
  <c r="H115" i="2"/>
  <c r="C144" i="2"/>
  <c r="H144" i="2" s="1"/>
  <c r="H141" i="2"/>
  <c r="H673" i="1"/>
  <c r="C6" i="10" s="1"/>
  <c r="F145" i="2"/>
  <c r="F673" i="1"/>
  <c r="C4" i="10" s="1"/>
  <c r="I661" i="1"/>
  <c r="I665" i="1" s="1"/>
  <c r="I673" i="1" s="1"/>
  <c r="C7" i="10"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H630" i="1" l="1"/>
  <c r="H471" i="1"/>
  <c r="H477" i="1" s="1"/>
  <c r="H625" i="1" s="1"/>
  <c r="J625" i="1" s="1"/>
  <c r="J630" i="1"/>
  <c r="F471" i="1"/>
  <c r="H628" i="1"/>
  <c r="J628" i="1" s="1"/>
  <c r="G471" i="1"/>
  <c r="G477" i="1" s="1"/>
  <c r="H629" i="1"/>
  <c r="J629" i="1"/>
  <c r="F475" i="1"/>
  <c r="F477" i="1" s="1"/>
  <c r="H623" i="1" s="1"/>
  <c r="H633" i="1"/>
  <c r="J633" i="1"/>
  <c r="J638" i="1"/>
  <c r="C145" i="2"/>
  <c r="H145" i="2"/>
  <c r="I668" i="1"/>
  <c r="D28" i="10"/>
  <c r="D37" i="10"/>
  <c r="D36" i="10"/>
  <c r="D35" i="10"/>
  <c r="D40" i="10"/>
  <c r="D39" i="10"/>
  <c r="H624" i="1" l="1"/>
  <c r="J624" i="1" s="1"/>
  <c r="B33" i="16"/>
  <c r="J623" i="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<sst xmlns="http://schemas.openxmlformats.org/spreadsheetml/2006/main" count="6535" uniqueCount="1807">
  <si>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</si>
  <si>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</si>
  <si>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</si>
  <si>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</si>
  <si>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</si>
  <si>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</si>
  <si>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</si>
  <si>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</si>
  <si>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</si>
  <si>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</si>
  <si>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</si>
  <si>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</si>
  <si>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</si>
  <si>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</si>
  <si>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</si>
  <si>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</si>
  <si>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</si>
  <si>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</si>
  <si>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</si>
  <si>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</si>
  <si>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</si>
  <si>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</si>
  <si>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</si>
  <si>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</si>
  <si>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</si>
  <si>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</si>
  <si>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</si>
  <si>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</si>
  <si>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</si>
  <si>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</si>
  <si>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</si>
  <si>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</si>
  <si>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</si>
  <si>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</si>
  <si>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</si>
  <si>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</si>
  <si>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</si>
  <si>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</si>
  <si>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</si>
  <si>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</si>
  <si>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</si>
  <si>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</si>
  <si>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</si>
  <si>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</si>
  <si>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</si>
  <si>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</si>
  <si>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</si>
  <si>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</si>
  <si>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</si>
  <si>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</si>
  <si>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</si>
  <si>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</si>
  <si>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</si>
  <si>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</si>
  <si>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</si>
  <si>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</si>
  <si>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</si>
  <si>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</si>
  <si>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</si>
  <si>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</si>
  <si>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</si>
  <si>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</si>
  <si>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</si>
  <si>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</si>
  <si>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</si>
  <si>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</si>
  <si>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</si>
  <si>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</si>
  <si>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</si>
  <si>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</si>
  <si>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</si>
  <si>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</si>
  <si>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</si>
  <si>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</si>
  <si>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</si>
  <si>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</si>
  <si>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</si>
  <si>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</si>
  <si>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</si>
  <si>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</si>
  <si>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</si>
  <si>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</si>
  <si>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</si>
  <si>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</si>
  <si>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</si>
  <si>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</si>
  <si>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</si>
  <si>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</si>
  <si>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</si>
  <si>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</si>
  <si>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</si>
  <si>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</si>
  <si>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</si>
  <si>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</si>
  <si>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</si>
  <si>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</si>
  <si>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</si>
  <si>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</si>
  <si>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</si>
  <si>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</si>
  <si>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</si>
  <si>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</si>
  <si>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</si>
  <si>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</si>
  <si>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</si>
  <si>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</si>
  <si>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</si>
  <si>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</si>
  <si>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</si>
  <si>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</si>
  <si>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</si>
  <si>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</si>
  <si>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</si>
  <si>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</si>
  <si>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</si>
  <si>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</si>
  <si>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</si>
  <si>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</si>
  <si>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</si>
  <si>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</si>
  <si>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</si>
  <si>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</si>
  <si>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</si>
  <si>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</si>
  <si>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</si>
  <si>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</si>
  <si>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</si>
  <si>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</si>
  <si>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</si>
  <si>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</si>
  <si>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</si>
  <si>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</si>
  <si>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</si>
  <si>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</si>
  <si>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</si>
  <si>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</si>
  <si>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</si>
  <si>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</si>
  <si>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</si>
  <si>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</si>
  <si>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</si>
  <si>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</si>
  <si>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</si>
  <si>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</si>
  <si>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</si>
  <si>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</si>
  <si>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</si>
  <si>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</si>
  <si>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</si>
  <si>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</si>
  <si>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</si>
  <si>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</si>
  <si>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</si>
  <si>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</si>
  <si>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</si>
  <si>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</si>
  <si>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</si>
  <si>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</si>
  <si>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</si>
  <si>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</si>
  <si>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</si>
  <si>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</si>
  <si>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</si>
  <si>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</si>
  <si>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</si>
  <si>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</si>
  <si>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</si>
  <si>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</si>
  <si>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</si>
  <si>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</si>
  <si>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</si>
  <si>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</si>
  <si>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</si>
  <si>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</si>
  <si>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</si>
  <si>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</si>
  <si>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</si>
  <si>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</si>
  <si>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</si>
  <si>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</si>
  <si>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</si>
  <si>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</si>
  <si>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</si>
  <si>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</si>
  <si>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</si>
  <si>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</si>
  <si>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</si>
  <si>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</si>
  <si>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</si>
  <si>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</si>
  <si>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</si>
  <si>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</si>
  <si>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</si>
  <si>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</si>
  <si>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</si>
  <si>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</si>
  <si>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</si>
  <si>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</si>
  <si>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</si>
  <si>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</si>
  <si>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</si>
  <si>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</si>
  <si>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</si>
  <si>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</si>
  <si>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</si>
  <si>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</si>
  <si>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</si>
  <si>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</si>
  <si>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</si>
  <si>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</si>
  <si>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</si>
  <si>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</si>
  <si>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</si>
  <si>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</si>
  <si>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</si>
  <si>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</si>
  <si>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</si>
  <si>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</si>
  <si>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</si>
  <si>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</si>
  <si>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</si>
  <si>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</si>
  <si>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</si>
  <si>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</si>
  <si>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</si>
  <si>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</si>
  <si>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</si>
  <si>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</si>
  <si>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</si>
  <si>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</si>
  <si>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</si>
  <si>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</si>
  <si>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</si>
  <si>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</si>
  <si>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</si>
  <si>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</si>
  <si>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</si>
  <si>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</si>
  <si>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</si>
  <si>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</si>
  <si>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</si>
  <si>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</si>
  <si>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</si>
  <si>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</si>
  <si>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</si>
  <si>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</si>
  <si>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</si>
  <si>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</si>
  <si>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</si>
  <si>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</si>
  <si>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</si>
  <si>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</si>
  <si>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</si>
  <si>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</si>
  <si>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</si>
  <si>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</si>
  <si>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</si>
  <si>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</si>
  <si>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</si>
  <si>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</si>
  <si>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</si>
  <si>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</si>
  <si>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</si>
  <si>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</si>
  <si>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</si>
  <si>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</si>
  <si>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</si>
  <si>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</si>
  <si>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</si>
  <si>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</si>
  <si>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</si>
  <si>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</si>
  <si>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</si>
  <si>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</si>
  <si>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</si>
  <si>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</si>
  <si>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</si>
  <si>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</si>
  <si>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</si>
  <si>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</si>
  <si>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</si>
  <si>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</si>
  <si>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</si>
  <si>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</si>
  <si>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</si>
  <si>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</si>
  <si>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</si>
  <si>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</si>
  <si>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</si>
  <si>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</si>
  <si>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</si>
  <si>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</si>
  <si>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</si>
  <si>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</si>
  <si>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</si>
  <si>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</si>
  <si>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</si>
  <si>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</si>
  <si>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</si>
  <si>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</si>
  <si>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</si>
  <si>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</si>
  <si>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</si>
  <si>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</si>
  <si>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</si>
  <si>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</si>
  <si>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</si>
  <si>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</si>
  <si>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</si>
  <si>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</si>
  <si>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</si>
  <si>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</si>
  <si>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</si>
  <si>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</si>
  <si>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</si>
  <si>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</si>
  <si>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</si>
  <si>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</si>
  <si>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</si>
  <si>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</si>
  <si>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</si>
  <si>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</si>
  <si>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</si>
  <si>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</si>
  <si>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</si>
  <si>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</si>
  <si>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</si>
  <si>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</si>
  <si>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</si>
  <si>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</si>
  <si>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</si>
  <si>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</si>
  <si>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</si>
  <si>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</si>
  <si>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</si>
  <si>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</si>
  <si>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</si>
  <si>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</si>
  <si>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</si>
  <si>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</si>
  <si>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</si>
  <si>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</si>
  <si>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</si>
  <si>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</si>
  <si>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</si>
  <si>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</si>
  <si>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</si>
  <si>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</si>
  <si>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</si>
  <si>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</si>
  <si>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</si>
  <si>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</si>
  <si>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</si>
  <si>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</si>
  <si>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</si>
  <si>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</si>
  <si>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</si>
  <si>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</si>
  <si>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</si>
  <si>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</si>
  <si>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</si>
  <si>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</si>
  <si>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</si>
  <si>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</si>
  <si>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</si>
  <si>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</si>
  <si>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</si>
  <si>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</si>
  <si>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</si>
  <si>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</si>
  <si>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</si>
  <si>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</si>
  <si>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</si>
  <si>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</si>
  <si>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</si>
  <si>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</si>
  <si>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</si>
  <si>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</si>
  <si>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</si>
  <si>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</si>
  <si>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</si>
  <si>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</si>
  <si>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</si>
  <si>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</si>
  <si>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</si>
  <si>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</si>
  <si>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</si>
  <si>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</si>
  <si>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</si>
  <si>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</si>
  <si>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</si>
  <si>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</si>
  <si>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</si>
  <si>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</si>
  <si>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</si>
  <si>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</si>
  <si>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</si>
  <si>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</si>
  <si>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</si>
  <si>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</si>
  <si>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</si>
  <si>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</si>
  <si>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</si>
  <si>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</si>
  <si>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</si>
  <si>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</si>
  <si>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</si>
  <si>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</si>
  <si>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</si>
  <si>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</si>
  <si>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</si>
  <si>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</si>
  <si>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</si>
  <si>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</si>
  <si>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</si>
  <si>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</si>
  <si>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</si>
  <si>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</si>
  <si>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</si>
  <si>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</si>
  <si>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</si>
  <si>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</si>
  <si>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</si>
  <si>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</si>
  <si>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</si>
  <si>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</si>
  <si>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</si>
  <si>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</si>
  <si>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</si>
  <si>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</si>
  <si>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</si>
  <si>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</si>
  <si>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</si>
  <si>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</si>
  <si>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</si>
  <si>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</si>
  <si>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</si>
  <si>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</si>
  <si>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</si>
  <si>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</si>
  <si>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</si>
  <si>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</si>
  <si>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</si>
  <si>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</si>
  <si>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</si>
  <si>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</si>
  <si>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</si>
  <si>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</si>
  <si>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</si>
  <si>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</si>
  <si>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</si>
  <si>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</si>
  <si>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</si>
  <si>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</si>
  <si>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</si>
  <si>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</si>
  <si>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</si>
  <si>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</si>
  <si>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</si>
  <si>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</si>
  <si>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</si>
  <si>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</si>
  <si>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</si>
  <si>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</si>
  <si>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</si>
  <si>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</si>
  <si>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</si>
  <si>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</si>
  <si>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</si>
  <si>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</si>
  <si>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</si>
  <si>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</si>
  <si>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</si>
  <si>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</si>
  <si>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</si>
  <si>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</si>
  <si>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</si>
  <si>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</si>
  <si>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</si>
  <si>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</si>
  <si>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</si>
  <si>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</si>
  <si>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</si>
  <si>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</si>
  <si>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</si>
  <si>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</si>
  <si>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</si>
  <si>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</si>
  <si>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</si>
  <si>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</si>
  <si>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</si>
  <si>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</si>
  <si>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</si>
  <si>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</si>
  <si>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</si>
  <si>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</si>
  <si>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</si>
  <si>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</si>
  <si>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</si>
  <si>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</si>
  <si>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</si>
  <si>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</si>
  <si>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</si>
  <si>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</si>
  <si>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</si>
  <si>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</si>
  <si>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</si>
  <si>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</si>
  <si>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</si>
  <si>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</si>
  <si>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</si>
  <si>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</si>
  <si>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</si>
  <si>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</si>
  <si>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</si>
  <si>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</si>
  <si>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</si>
  <si>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</si>
  <si>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</si>
  <si>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</si>
  <si>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</si>
  <si>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</si>
  <si>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</si>
  <si>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</si>
  <si>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</si>
  <si>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</si>
  <si>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</si>
  <si>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</si>
  <si>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</si>
  <si>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</si>
  <si>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</si>
  <si>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</si>
  <si>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</si>
  <si>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</si>
  <si>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</si>
  <si>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</si>
  <si>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</si>
  <si>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</si>
  <si>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</si>
  <si>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</si>
  <si>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</si>
  <si>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</si>
  <si>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</si>
  <si>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</si>
  <si>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</si>
  <si>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</si>
  <si>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</si>
  <si>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</si>
  <si>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</si>
  <si>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</si>
  <si>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</si>
  <si>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</si>
  <si>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</si>
  <si>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</si>
  <si>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</si>
  <si>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</si>
  <si>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</si>
  <si>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</si>
  <si>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</si>
  <si>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</si>
  <si>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</si>
  <si>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</si>
  <si>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</si>
  <si>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</si>
  <si>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</si>
  <si>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</si>
  <si>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</si>
  <si>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</si>
  <si>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</si>
  <si>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</si>
  <si>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</si>
  <si>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</si>
  <si>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</si>
  <si>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</si>
  <si>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</si>
  <si>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</si>
  <si>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</si>
  <si>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</si>
  <si>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</si>
  <si>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</si>
  <si>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</si>
  <si>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</si>
  <si>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</si>
  <si>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</si>
  <si>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</si>
  <si>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</si>
  <si>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</si>
  <si>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</si>
  <si>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</si>
  <si>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</si>
  <si>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</si>
  <si>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</si>
  <si>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</si>
  <si>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</si>
  <si>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</si>
  <si>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</si>
  <si>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</si>
  <si>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</si>
  <si>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</si>
  <si>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</si>
  <si>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</si>
  <si>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</si>
  <si>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</si>
  <si>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</si>
  <si>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</si>
  <si>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</si>
  <si>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</si>
  <si>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</si>
  <si>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</si>
  <si>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</si>
  <si>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</si>
  <si>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</si>
  <si>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</si>
  <si>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</si>
  <si>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</si>
  <si>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</si>
  <si>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</si>
  <si>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</si>
  <si>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</si>
  <si>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</si>
  <si>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</si>
  <si>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</si>
  <si>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</si>
  <si>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</si>
  <si>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</si>
  <si>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</si>
  <si>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</si>
  <si>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</si>
  <si>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</si>
  <si>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</si>
  <si>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</si>
  <si>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</si>
  <si>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</si>
  <si>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</si>
  <si>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</si>
  <si>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</si>
  <si>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</si>
  <si>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</si>
  <si>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</si>
  <si>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</si>
  <si>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</si>
  <si>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</si>
  <si>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</si>
  <si>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</si>
  <si>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</si>
  <si>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</si>
  <si>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</si>
  <si>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</si>
  <si>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</si>
  <si>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</si>
  <si>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</si>
  <si>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</si>
  <si>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</si>
  <si>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</si>
  <si>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</si>
  <si>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</si>
  <si>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</si>
  <si>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</si>
  <si>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</si>
  <si>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</si>
  <si>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</si>
  <si>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</si>
  <si>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</si>
  <si>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</si>
  <si>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</si>
  <si>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</si>
  <si>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</si>
  <si>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</si>
  <si>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</si>
  <si>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</si>
  <si>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</si>
  <si>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</si>
  <si>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</si>
  <si>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</si>
  <si>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</si>
  <si>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</si>
  <si>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</si>
  <si>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</si>
  <si>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</si>
  <si>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</si>
  <si>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</si>
  <si>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</si>
  <si>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</si>
  <si>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</si>
  <si>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</si>
  <si>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</si>
  <si>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</si>
  <si>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</si>
  <si>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</si>
  <si>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</si>
  <si>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</si>
  <si>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</si>
  <si>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</si>
  <si>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</si>
  <si>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</si>
  <si>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</si>
  <si>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</si>
  <si>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</si>
  <si>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</si>
  <si>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</si>
  <si>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</si>
  <si>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</si>
  <si>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</si>
  <si>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</si>
  <si>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</si>
  <si>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</si>
  <si>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</si>
  <si>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</si>
  <si>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</si>
  <si>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</si>
  <si>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</si>
  <si>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</si>
  <si>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</si>
  <si>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</si>
  <si>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</si>
  <si>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</si>
  <si>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</si>
  <si>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</si>
  <si>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</si>
  <si>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</si>
  <si>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</si>
  <si>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</si>
  <si>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</si>
  <si>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</si>
  <si>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</si>
  <si>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</si>
  <si>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</si>
  <si>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</si>
  <si>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</si>
  <si>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</si>
  <si>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</si>
  <si>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</si>
  <si>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</si>
  <si>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</si>
  <si>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</si>
  <si>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</si>
  <si>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</si>
  <si>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</si>
  <si>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</si>
  <si>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</si>
  <si>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</si>
  <si>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</si>
  <si>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</si>
  <si>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</si>
  <si>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</si>
  <si>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</si>
  <si>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</si>
  <si>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</si>
  <si>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</si>
  <si>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</si>
  <si>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</si>
  <si>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</si>
  <si>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</si>
  <si>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</si>
  <si>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</si>
  <si>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</si>
  <si>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</si>
  <si>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</si>
  <si>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</si>
  <si>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</si>
  <si>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</si>
  <si>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</si>
  <si>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</si>
  <si>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</si>
  <si>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</si>
  <si>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</si>
  <si>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</si>
  <si>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</si>
  <si>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</si>
  <si>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</si>
  <si>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</si>
  <si>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</si>
  <si>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</si>
  <si>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</si>
  <si>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</si>
  <si>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</si>
  <si>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</si>
  <si>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</si>
  <si>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</si>
  <si>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</si>
  <si>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</si>
  <si>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</si>
  <si>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</si>
  <si>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</si>
  <si>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</si>
  <si>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</si>
  <si>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</si>
  <si>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</si>
  <si>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</si>
  <si>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</si>
  <si>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</si>
  <si>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</si>
  <si>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</si>
  <si>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</si>
  <si>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</si>
  <si>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</si>
  <si>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</si>
  <si>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</si>
  <si>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</si>
  <si>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</si>
  <si>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</si>
  <si>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</si>
  <si>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</si>
  <si>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</si>
  <si>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</si>
  <si>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</si>
  <si>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</si>
  <si>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</si>
  <si>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</si>
  <si>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</si>
  <si>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</si>
  <si>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</si>
  <si>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</si>
  <si>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</si>
  <si>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</si>
  <si>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</si>
  <si>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</si>
  <si>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</si>
  <si>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</si>
  <si>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</si>
  <si>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</si>
  <si>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</si>
  <si>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</si>
  <si>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</si>
  <si>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</si>
  <si>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</si>
  <si>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</si>
  <si>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</si>
  <si>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</si>
  <si>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</si>
  <si>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</si>
  <si>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</si>
  <si>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</si>
  <si>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</si>
  <si>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</si>
  <si>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</si>
  <si>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</si>
  <si>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</si>
  <si>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</si>
  <si>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</si>
  <si>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</si>
  <si>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</si>
  <si>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</si>
  <si>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</si>
  <si>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</si>
  <si>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</si>
  <si>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</si>
  <si>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</si>
  <si>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</si>
  <si>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</si>
  <si>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</si>
  <si>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</si>
  <si>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</si>
  <si>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</si>
  <si>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</si>
  <si>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</si>
  <si>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</si>
  <si>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</si>
  <si>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</si>
  <si>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</si>
  <si>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</si>
  <si>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</si>
  <si>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</si>
  <si>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</si>
  <si>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</si>
  <si>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</si>
  <si>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</si>
  <si>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</si>
  <si>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</si>
  <si>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</si>
  <si>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</si>
  <si>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</si>
  <si>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</si>
  <si>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</si>
  <si>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</si>
  <si>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</si>
  <si>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</si>
  <si>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</si>
  <si>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</si>
  <si>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</si>
  <si>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</si>
  <si>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</si>
  <si>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</si>
  <si>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</si>
  <si>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</si>
  <si>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</si>
  <si>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</si>
  <si>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</si>
  <si>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</si>
  <si>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</si>
  <si>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</si>
  <si>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</si>
  <si>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</si>
  <si>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</si>
  <si>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</si>
  <si>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</si>
  <si>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</si>
  <si>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</si>
  <si>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</si>
  <si>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</si>
  <si>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</si>
  <si>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</si>
  <si>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</si>
  <si>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</si>
  <si>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</si>
  <si>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</si>
  <si>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</si>
  <si>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</si>
  <si>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</si>
  <si>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</si>
  <si>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</si>
  <si>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</si>
  <si>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</si>
  <si>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</si>
  <si>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</si>
  <si>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</si>
  <si>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</si>
  <si>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</si>
  <si>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</si>
  <si>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</si>
  <si>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</si>
  <si>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</si>
  <si>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</si>
  <si>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</si>
  <si>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</si>
  <si>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</si>
  <si>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</si>
  <si>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</si>
  <si>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</si>
  <si>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</si>
  <si>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</si>
  <si>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</si>
  <si>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</si>
  <si>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</si>
  <si>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</si>
  <si>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</si>
  <si>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</si>
  <si>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</si>
  <si>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</si>
  <si>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</si>
  <si>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</si>
  <si>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</si>
  <si>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</si>
  <si>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</si>
  <si>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</si>
  <si>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</si>
  <si>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</si>
  <si>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</si>
  <si>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</si>
  <si>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</si>
  <si>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</si>
  <si>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</si>
  <si>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</si>
  <si>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</si>
  <si>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</si>
  <si>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</si>
  <si>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</si>
  <si>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</si>
  <si>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</si>
  <si>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</si>
  <si>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</si>
  <si>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</si>
  <si>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</si>
  <si>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</si>
  <si>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</si>
  <si>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</si>
  <si>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</si>
  <si>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</si>
  <si>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</si>
  <si>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</si>
  <si>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</si>
  <si>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</si>
  <si>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</si>
  <si>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</si>
  <si>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</si>
  <si>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</si>
  <si>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</si>
  <si>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</si>
  <si>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</si>
  <si>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</si>
  <si>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</si>
  <si>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</si>
  <si>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</si>
  <si>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</si>
  <si>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</si>
  <si>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</si>
  <si>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</si>
  <si>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</si>
  <si>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</si>
  <si>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</si>
  <si>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</si>
  <si>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</si>
  <si>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</si>
  <si>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</si>
  <si>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</si>
  <si>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</si>
  <si>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</si>
  <si>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</si>
  <si>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</si>
  <si>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</si>
  <si>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</si>
  <si>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</si>
  <si>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</si>
  <si>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</si>
  <si>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</si>
  <si>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</si>
  <si>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</si>
  <si>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</si>
  <si>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</si>
  <si>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</si>
  <si>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</si>
  <si>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</si>
  <si>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</si>
  <si>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</si>
  <si>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</si>
  <si>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</si>
  <si>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</si>
  <si>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</si>
  <si>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</si>
  <si>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</si>
  <si>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</si>
  <si>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</si>
  <si>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</si>
  <si>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</si>
  <si>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</si>
  <si>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</si>
  <si>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</si>
  <si>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</si>
  <si>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</si>
  <si>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</si>
  <si>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</si>
  <si>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</si>
  <si>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</si>
  <si>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</si>
  <si>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</si>
  <si>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</si>
  <si>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</si>
  <si>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</si>
  <si>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</si>
  <si>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</si>
  <si>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</si>
  <si>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</si>
  <si>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</si>
  <si>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</si>
  <si>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</si>
  <si>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</si>
  <si>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</si>
  <si>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</si>
  <si>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</si>
  <si>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</si>
  <si>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</si>
  <si>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</si>
  <si>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</si>
  <si>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</si>
  <si>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</si>
  <si>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</si>
  <si>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</si>
  <si>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</si>
  <si>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</si>
  <si>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</si>
  <si>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</si>
  <si>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</si>
  <si>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</si>
  <si>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</si>
  <si>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</si>
  <si>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</si>
  <si>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</si>
  <si>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</si>
  <si>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</si>
  <si>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</si>
  <si>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</si>
  <si>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</si>
  <si>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</si>
  <si>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</si>
  <si>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</si>
  <si>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</si>
  <si>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</si>
  <si>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</si>
  <si>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</si>
  <si>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</si>
  <si>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</si>
  <si>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</si>
  <si>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</si>
  <si>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</si>
  <si>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</si>
  <si>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</si>
  <si>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</si>
  <si>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</si>
  <si>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</si>
  <si>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</si>
  <si>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</si>
  <si>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</si>
  <si>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</si>
  <si>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</si>
  <si>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</si>
  <si>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</si>
  <si>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</si>
  <si>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</si>
  <si>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</si>
  <si>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</si>
  <si>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</si>
  <si>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</si>
  <si>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</si>
  <si>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</si>
  <si>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</si>
  <si>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</si>
  <si>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</si>
  <si>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</si>
  <si>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</si>
  <si>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</si>
  <si>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</si>
  <si>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</si>
  <si>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</si>
  <si>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</si>
  <si>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</si>
  <si>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</si>
  <si>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</si>
  <si>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</si>
  <si>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</si>
  <si>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</si>
  <si>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</si>
  <si>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</si>
  <si>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</si>
  <si>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</si>
  <si>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</si>
  <si>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</si>
  <si>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</si>
  <si>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</si>
  <si>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</si>
  <si>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</si>
  <si>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</si>
  <si>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</si>
  <si>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</si>
  <si>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</si>
  <si>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</si>
  <si>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</si>
  <si>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</si>
  <si>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</si>
  <si>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</si>
  <si>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</si>
  <si>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</si>
  <si>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</si>
  <si>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</si>
  <si>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</si>
  <si>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</si>
  <si>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</si>
  <si>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</si>
  <si>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</si>
  <si>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</si>
  <si>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</si>
  <si>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</si>
  <si>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</si>
  <si>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</si>
  <si>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</si>
  <si>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</si>
  <si>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</si>
  <si>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</si>
  <si>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</si>
  <si>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</si>
  <si>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</si>
  <si>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</si>
  <si>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</si>
  <si>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</si>
  <si>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</si>
  <si>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</si>
  <si>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</si>
  <si>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</si>
  <si>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</si>
  <si>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</si>
  <si>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</si>
  <si>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</si>
  <si>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</si>
  <si>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</si>
  <si>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</si>
  <si>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</si>
  <si>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</si>
  <si>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</si>
  <si>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</si>
  <si>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</si>
  <si>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</si>
  <si>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</si>
  <si>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</si>
  <si>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</si>
  <si>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</si>
  <si>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</si>
  <si>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</si>
  <si>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</si>
  <si>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</si>
  <si>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</si>
  <si>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</si>
  <si>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</si>
  <si>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</si>
  <si>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</si>
  <si>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</si>
  <si>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</si>
  <si>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</si>
  <si>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</si>
  <si>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</si>
  <si>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</si>
  <si>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</si>
  <si>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</si>
  <si>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</si>
  <si>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</si>
  <si>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</si>
  <si>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</si>
  <si>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</si>
  <si>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</si>
  <si>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</si>
  <si>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</si>
  <si>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</si>
  <si>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</si>
  <si>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</si>
  <si>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</si>
  <si>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</si>
  <si>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</si>
  <si>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</si>
  <si>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</si>
  <si>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</si>
  <si>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</si>
  <si>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</si>
  <si>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</si>
  <si>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</si>
  <si>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</si>
  <si>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</si>
  <si>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</si>
  <si>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</si>
  <si>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</si>
  <si>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</si>
  <si>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</si>
  <si>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</si>
  <si>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</si>
  <si>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</si>
  <si>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</si>
  <si>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</si>
  <si>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</si>
  <si>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</si>
  <si>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</si>
  <si>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</si>
  <si>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</si>
  <si>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</si>
  <si>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</si>
  <si>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</si>
  <si>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</si>
  <si>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</si>
  <si>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</si>
  <si>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</si>
  <si>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</si>
  <si>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</si>
  <si>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</si>
  <si>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</si>
  <si>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</si>
  <si>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</si>
  <si>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</si>
  <si>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</si>
  <si>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</si>
  <si>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</si>
  <si>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</si>
  <si>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</si>
  <si>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</si>
  <si>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</si>
  <si>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</si>
  <si>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</si>
  <si>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</si>
  <si>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</si>
  <si>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</si>
  <si>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</si>
  <si>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</si>
  <si>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</si>
  <si>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</si>
  <si>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</si>
  <si>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</si>
  <si>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</si>
  <si>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</si>
  <si>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</si>
  <si>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</si>
  <si>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</si>
  <si>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</si>
  <si>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</si>
  <si>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</si>
  <si>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</si>
  <si>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</si>
  <si>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</si>
  <si>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</si>
  <si>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</si>
  <si>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</si>
  <si>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</si>
  <si>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</si>
  <si>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</si>
  <si>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</si>
  <si>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</si>
  <si>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</si>
  <si>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</si>
  <si>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</si>
  <si>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</si>
  <si>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</si>
  <si>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</si>
  <si>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</si>
  <si>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</si>
  <si>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</si>
  <si>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</si>
  <si>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</si>
  <si>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</si>
  <si>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</si>
  <si>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</si>
  <si>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</si>
  <si>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</si>
  <si>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</si>
  <si>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</si>
  <si>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</si>
  <si>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</si>
  <si>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</si>
  <si>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</si>
  <si>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</si>
  <si>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</si>
  <si>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</si>
  <si>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</si>
  <si>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</si>
  <si>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</si>
  <si>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</si>
  <si>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</si>
  <si>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</si>
  <si>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</si>
  <si>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</si>
  <si>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</si>
  <si>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</si>
  <si>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</si>
  <si>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</si>
  <si>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</si>
  <si>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</si>
  <si>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</si>
  <si>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</si>
  <si>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</si>
  <si>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</si>
  <si>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</si>
  <si>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</si>
  <si>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</si>
  <si>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</si>
  <si>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</si>
  <si>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</si>
  <si>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</si>
  <si>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</si>
  <si>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</si>
  <si>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</si>
  <si>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</si>
  <si>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</si>
  <si>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</si>
  <si>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</si>
  <si>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</si>
  <si>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</si>
  <si>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</si>
  <si>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</si>
  <si>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</si>
  <si>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</si>
  <si>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</si>
  <si>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</si>
  <si>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</si>
  <si>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</si>
  <si>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</si>
  <si>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</si>
  <si>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</si>
  <si>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</si>
  <si>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</si>
  <si>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</si>
  <si>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</si>
  <si>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</si>
  <si>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</si>
  <si>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</si>
  <si>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</si>
  <si>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</si>
  <si>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</si>
  <si>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</si>
  <si>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</si>
  <si>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</si>
  <si>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</si>
  <si>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</si>
  <si>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</si>
  <si>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</si>
  <si>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</si>
  <si>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</si>
  <si>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</si>
  <si>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</si>
  <si>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</si>
  <si>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</si>
  <si>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</si>
  <si>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</si>
  <si>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</si>
  <si>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</si>
  <si>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</si>
  <si>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</si>
  <si>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</si>
  <si>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</si>
  <si>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</si>
  <si>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</si>
  <si>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</si>
  <si>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</si>
  <si>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</si>
  <si>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</si>
  <si>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</si>
  <si>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</si>
  <si>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</si>
  <si>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</si>
  <si>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</si>
  <si>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</si>
  <si>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</si>
  <si>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</si>
  <si>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</si>
  <si>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</si>
  <si>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</si>
  <si>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</si>
  <si>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</si>
  <si>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</si>
  <si>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</si>
  <si>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</si>
  <si>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</si>
  <si>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</si>
  <si>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</si>
  <si>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</si>
  <si>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</si>
  <si>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</si>
  <si>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</si>
  <si>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</si>
  <si>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</si>
  <si>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</si>
  <si>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</si>
  <si>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</si>
  <si>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</si>
  <si>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</si>
  <si>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</si>
  <si>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</si>
  <si>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</si>
  <si>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</si>
  <si>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</si>
  <si>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</si>
  <si>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</si>
  <si>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</si>
  <si>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</si>
  <si>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</si>
  <si>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</si>
  <si>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</si>
  <si>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</si>
  <si>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</si>
  <si>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</si>
  <si>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</si>
  <si>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</si>
  <si>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</si>
  <si>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</si>
  <si>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</si>
  <si>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</si>
  <si>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</si>
  <si>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</si>
  <si>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</si>
  <si>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</si>
  <si>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</si>
  <si>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</si>
  <si>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</si>
  <si>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</si>
  <si>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</si>
  <si>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</si>
  <si>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</si>
  <si>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</si>
  <si>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</si>
  <si>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</si>
  <si>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</si>
  <si>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</si>
  <si>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</si>
  <si>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</si>
  <si>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</si>
  <si>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</si>
  <si>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</si>
  <si>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</si>
  <si>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</si>
  <si>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</si>
  <si>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</si>
  <si>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</si>
  <si>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</si>
  <si>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</si>
  <si>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</si>
  <si>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</si>
  <si>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</si>
  <si>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</si>
  <si>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</si>
  <si>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</si>
  <si>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</si>
  <si>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</si>
  <si>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</si>
  <si>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</si>
  <si>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</si>
  <si>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</si>
  <si>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</si>
  <si>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</si>
  <si>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</si>
  <si>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</si>
  <si>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</si>
  <si>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</si>
  <si>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</si>
  <si>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</si>
  <si>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</si>
  <si>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</si>
  <si>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</si>
  <si>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</si>
  <si>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</si>
  <si>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</si>
  <si>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</si>
  <si>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</si>
  <si>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</si>
  <si>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</si>
  <si>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</si>
  <si>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</si>
  <si>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</si>
  <si>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</si>
  <si>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</si>
  <si>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</si>
  <si>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</si>
  <si>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</si>
  <si>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</si>
  <si>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</si>
  <si>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</si>
  <si>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</si>
  <si>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</si>
  <si>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</si>
  <si>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</si>
  <si>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</si>
  <si>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</si>
  <si>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</si>
  <si>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</si>
  <si>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</si>
  <si>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</si>
  <si>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</si>
  <si>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</si>
  <si>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</si>
  <si>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</si>
  <si>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</si>
  <si>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</si>
  <si>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</si>
  <si>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</si>
  <si>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</si>
  <si>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</si>
  <si>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</si>
  <si>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</si>
  <si>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</si>
  <si>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</si>
  <si>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</si>
  <si>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</si>
  <si>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</si>
  <si>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</si>
  <si>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</si>
  <si>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</si>
  <si>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</si>
  <si>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</si>
  <si>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</si>
  <si>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</si>
  <si>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</si>
  <si>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</si>
  <si>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</si>
  <si>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</si>
  <si>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</si>
  <si>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</si>
  <si>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</si>
  <si>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</si>
  <si>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</si>
  <si>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</si>
  <si>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</si>
  <si>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</si>
  <si>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</si>
  <si>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</si>
  <si>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</si>
  <si>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</si>
  <si>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</si>
  <si>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</si>
  <si>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</si>
  <si>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</si>
  <si>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</si>
  <si>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</si>
  <si>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</si>
  <si>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</si>
  <si>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</si>
  <si>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</si>
  <si>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</si>
  <si>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</si>
  <si>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</si>
  <si>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</si>
  <si>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</si>
  <si>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</si>
  <si>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</si>
  <si>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</si>
  <si>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</si>
  <si>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</si>
  <si>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</si>
  <si>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</si>
  <si>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</si>
  <si>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</si>
  <si>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</si>
  <si>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</si>
  <si>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</si>
  <si>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</si>
  <si>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</si>
  <si>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</si>
  <si>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</si>
  <si>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</si>
  <si>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</si>
  <si>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</si>
  <si>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</si>
  <si>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</si>
  <si>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</si>
  <si>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</si>
  <si>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</si>
  <si>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</si>
  <si>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</si>
  <si>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</si>
  <si>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</si>
  <si>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</si>
  <si>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</si>
  <si>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</si>
  <si>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</si>
  <si>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</si>
  <si>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</si>
  <si>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</si>
  <si>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</si>
  <si>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</si>
  <si>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</si>
  <si>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</si>
  <si>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</si>
  <si>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</si>
  <si>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</si>
  <si>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</si>
  <si>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</si>
  <si>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</si>
  <si>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</si>
  <si>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</si>
  <si>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</si>
  <si>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</si>
  <si>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</si>
  <si>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</si>
  <si>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</si>
  <si>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</si>
  <si>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</si>
  <si>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</si>
  <si>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</si>
  <si>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</si>
  <si>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</si>
  <si>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</si>
  <si>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</si>
  <si>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</si>
  <si>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</si>
  <si>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</si>
  <si>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</si>
  <si>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</si>
  <si>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</si>
  <si>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</si>
  <si>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</si>
  <si>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</si>
  <si>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</si>
  <si>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</si>
  <si>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</si>
  <si>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</si>
  <si>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</si>
  <si>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</si>
  <si>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</si>
  <si>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</si>
  <si>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</si>
  <si>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</si>
  <si>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</si>
  <si>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</si>
  <si>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</si>
  <si>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</si>
  <si>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</si>
  <si>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</si>
  <si>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</si>
  <si>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</si>
  <si>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</si>
  <si>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</si>
  <si>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</si>
  <si>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</si>
  <si>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</si>
  <si>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</si>
  <si>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</si>
  <si>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</si>
  <si>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</si>
  <si>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</si>
  <si>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</si>
  <si>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</si>
  <si>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</si>
  <si>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</si>
  <si>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</si>
  <si>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</si>
  <si>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</si>
  <si>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</si>
  <si>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</si>
  <si>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</si>
  <si>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</si>
  <si>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</si>
  <si>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</si>
  <si>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</si>
  <si>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</si>
  <si>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</si>
  <si>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</si>
  <si>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</si>
  <si>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</si>
  <si>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</si>
  <si>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</si>
  <si>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</si>
  <si>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</si>
  <si>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</si>
  <si>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</si>
  <si>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</si>
  <si>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</si>
  <si>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</si>
  <si>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</si>
  <si>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</si>
  <si>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</si>
  <si>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</si>
  <si>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</si>
  <si>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</si>
  <si>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</si>
  <si>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</si>
  <si>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</si>
  <si>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</si>
  <si>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</si>
  <si>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</si>
  <si>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</si>
  <si>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</si>
  <si>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</si>
  <si>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</si>
  <si>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</si>
  <si>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</si>
  <si>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</si>
  <si>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</si>
  <si>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</si>
  <si>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</si>
  <si>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</si>
  <si>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</si>
  <si>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</si>
  <si>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</si>
  <si>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</si>
  <si>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</si>
  <si>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</si>
  <si>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</si>
  <si>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</si>
  <si>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</si>
  <si>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</si>
  <si>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</si>
  <si>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</si>
  <si>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</si>
  <si>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</si>
  <si>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</si>
  <si>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</si>
  <si>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</si>
  <si>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</si>
  <si>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</si>
  <si>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</si>
  <si>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</si>
  <si>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</si>
  <si>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</si>
  <si>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</si>
  <si>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</si>
  <si>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</si>
  <si>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</si>
  <si>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</si>
  <si>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</si>
  <si>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</si>
  <si>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</si>
  <si>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</si>
  <si>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</si>
  <si>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</si>
  <si>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</si>
  <si>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</si>
  <si>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</si>
  <si>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</si>
  <si>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</si>
  <si>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</si>
  <si>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</si>
  <si>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</si>
  <si>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</si>
  <si>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</si>
  <si>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</si>
  <si>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</si>
  <si>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</si>
  <si>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</si>
  <si>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</si>
  <si>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</si>
  <si>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</si>
  <si>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</si>
  <si>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</si>
  <si>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</si>
  <si>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</si>
  <si>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</si>
  <si>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</si>
  <si>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</si>
  <si>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</si>
  <si>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</si>
  <si>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</si>
  <si>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</si>
  <si>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</si>
  <si>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</si>
  <si>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</si>
  <si>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</si>
  <si>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</si>
  <si>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</si>
  <si>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</si>
  <si>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</si>
  <si>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</si>
  <si>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</si>
  <si>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06/19</t>
  </si>
  <si>
    <t>08/24</t>
  </si>
  <si>
    <t>Local Summer Lunch Program - NHCF</t>
  </si>
  <si>
    <t>Fresh Fruits &amp; Vegetable Grant</t>
  </si>
  <si>
    <t>PY 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</si>
</sst>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1183</v>
      </c>
      <c r="B2" s="126">
        <f>INDEX('School Tables'!$AH$3:$AH$208,MATCH('DOE25'!A2,'School Tables'!$AJ$3:$AJ$208,0))</f>
        <v>305</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1949885.31+4098.83</f>
        <v>1953984.1400000001</v>
      </c>
      <c r="G9" s="18"/>
      <c r="H9" s="18"/>
      <c r="I9" s="18"/>
      <c r="J9" s="67">
        <f>SUM(I440)</f>
        <v>424956.13999999996</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f>1396721.02-82397.95-436898.63-10771.98</f>
        <v>866652.46000000008</v>
      </c>
      <c r="G12" s="18">
        <v>14929.94</v>
      </c>
      <c r="H12" s="18">
        <f>21324.15+28761.9+7500.03+28447.76+4294.88+5755.58+10962.85+37802.29+51536.5+12523.24</f>
        <v>208909.18</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v>35217.480000000003</v>
      </c>
      <c r="H13" s="18">
        <f>21567.91+48622.86+22170.34</f>
        <v>92361.11</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f>4709.21</f>
        <v>4709.21</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f>113406.25</f>
        <v>113406.25</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2938752.06</v>
      </c>
      <c r="G19" s="41">
        <f>SUM(G9:G18)</f>
        <v>50147.420000000006</v>
      </c>
      <c r="H19" s="41">
        <f>SUM(H9:H18)</f>
        <v>301270.28999999998</v>
      </c>
      <c r="I19" s="41">
        <f>SUM(I9:I18)</f>
        <v>0</v>
      </c>
      <c r="J19" s="41">
        <f>SUM(J9:J18)</f>
        <v>424956.13999999996</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f>1246262.55-82397.95</f>
        <v>1163864.6000000001</v>
      </c>
      <c r="G22" s="18">
        <v>1</v>
      </c>
      <c r="H22" s="18">
        <f>21324.15+50329.81+28627.79+19995.07+7500.03+28447.76+676+10962.85+37802.29+0.28+17328.34+4842+51536.5</f>
        <v>279372.87</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f>359819.98+14746.84-25.78-66156.54-563.45</f>
        <v>307821.05</v>
      </c>
      <c r="G28" s="18">
        <f>36623.95</f>
        <v>36623.949999999997</v>
      </c>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9962.1299999999992</v>
      </c>
      <c r="H30" s="18">
        <f>3618.88+9549.89</f>
        <v>13168.77</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1471685.6500000001</v>
      </c>
      <c r="G32" s="41">
        <f>SUM(G22:G31)</f>
        <v>46587.079999999994</v>
      </c>
      <c r="H32" s="41">
        <f>SUM(H22:H31)</f>
        <v>292541.64</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f>5483.33-1922.99</f>
        <v>3560.34</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100000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150000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424956.13999999996</v>
      </c>
      <c r="K48" s="24" t="s">
        <v>288</v>
      </c>
      <c r="L48" s="24" t="s">
        <v>288</v>
      </c>
      <c r="M48" s="8"/>
      <c r="N48" s="265"/>
    </row>
    <row r="49" spans="1:14" s="3" customFormat="1" ht="12.2" customHeight="1" x14ac:dyDescent="0.15">
      <c r="A49" s="1" t="s">
        <v>859</v>
      </c>
      <c r="B49" s="2" t="s">
        <v>289</v>
      </c>
      <c r="C49" s="6">
        <v>34</v>
      </c>
      <c r="D49" s="2"/>
      <c r="E49" s="6">
        <v>753</v>
      </c>
      <c r="F49" s="18">
        <v>692105.87</v>
      </c>
      <c r="G49" s="18"/>
      <c r="H49" s="18">
        <f>8728.65</f>
        <v>8728.65</v>
      </c>
      <c r="I49" s="18"/>
      <c r="J49" s="13">
        <f>I455</f>
        <v>0</v>
      </c>
      <c r="K49" s="24"/>
      <c r="L49" s="24"/>
      <c r="M49" s="8"/>
      <c r="N49" s="265"/>
    </row>
    <row r="50" spans="1:14" s="3" customFormat="1" ht="12.2" customHeight="1" thickBot="1" x14ac:dyDescent="0.2">
      <c r="A50" s="29" t="s">
        <v>840</v>
      </c>
      <c r="B50" s="2" t="s">
        <v>289</v>
      </c>
      <c r="C50" s="71">
        <v>35</v>
      </c>
      <c r="D50" s="2" t="s">
        <v>653</v>
      </c>
      <c r="E50" s="6">
        <v>770</v>
      </c>
      <c r="F50" s="18">
        <f>536293.74-11333.2</f>
        <v>524960.54</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1467066.4100000001</v>
      </c>
      <c r="G51" s="41">
        <f>SUM(G35:G50)</f>
        <v>3560.34</v>
      </c>
      <c r="H51" s="41">
        <f>SUM(H35:H50)</f>
        <v>8728.65</v>
      </c>
      <c r="I51" s="41">
        <f>SUM(I35:I50)</f>
        <v>0</v>
      </c>
      <c r="J51" s="41">
        <f>SUM(J35:J50)</f>
        <v>424956.13999999996</v>
      </c>
      <c r="K51" s="45" t="s">
        <v>288</v>
      </c>
      <c r="L51" s="45" t="s">
        <v>288</v>
      </c>
      <c r="N51" s="263"/>
    </row>
    <row r="52" spans="1:14" s="3" customFormat="1" ht="12.2" customHeight="1" thickTop="1" x14ac:dyDescent="0.15">
      <c r="A52" s="38" t="s">
        <v>455</v>
      </c>
      <c r="B52" s="39" t="s">
        <v>289</v>
      </c>
      <c r="C52" s="6">
        <v>37</v>
      </c>
      <c r="D52" s="39" t="s">
        <v>653</v>
      </c>
      <c r="E52" s="39"/>
      <c r="F52" s="41">
        <f>F51+F32</f>
        <v>2938752.0600000005</v>
      </c>
      <c r="G52" s="41">
        <f>G51+G32</f>
        <v>50147.42</v>
      </c>
      <c r="H52" s="41">
        <f>H51+H32</f>
        <v>301270.29000000004</v>
      </c>
      <c r="I52" s="41">
        <f>I51+I32</f>
        <v>0</v>
      </c>
      <c r="J52" s="41">
        <f>J51+J32</f>
        <v>424956.13999999996</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f>5001318</f>
        <v>5001318</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5001318</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5000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5000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0.48</v>
      </c>
      <c r="G96" s="18"/>
      <c r="H96" s="18"/>
      <c r="I96" s="18"/>
      <c r="J96" s="18">
        <f>21.09+493.56</f>
        <v>514.65</v>
      </c>
      <c r="K96" s="24" t="s">
        <v>288</v>
      </c>
      <c r="L96" s="24" t="s">
        <v>288</v>
      </c>
      <c r="M96" s="8"/>
      <c r="N96" s="265"/>
    </row>
    <row r="97" spans="1:14" s="3" customFormat="1" ht="12.2" customHeight="1" x14ac:dyDescent="0.15">
      <c r="A97" s="1" t="s">
        <v>503</v>
      </c>
      <c r="B97" s="2" t="s">
        <v>315</v>
      </c>
      <c r="C97" s="6">
        <v>12</v>
      </c>
      <c r="D97" s="2" t="s">
        <v>430</v>
      </c>
      <c r="E97" s="6">
        <v>1600</v>
      </c>
      <c r="F97" s="24" t="s">
        <v>288</v>
      </c>
      <c r="G97" s="18">
        <f>3945.62+3183.15+2360.75+854.36</f>
        <v>10343.880000000001</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3930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7426.02</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8752.06</v>
      </c>
      <c r="G110" s="18"/>
      <c r="H110" s="18">
        <v>3794.31</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20108.559999999998</v>
      </c>
      <c r="G111" s="41">
        <f>SUM(G96:G110)</f>
        <v>10343.880000000001</v>
      </c>
      <c r="H111" s="41">
        <f>SUM(H96:H110)</f>
        <v>3794.31</v>
      </c>
      <c r="I111" s="41">
        <f>SUM(I96:I110)</f>
        <v>0</v>
      </c>
      <c r="J111" s="41">
        <f>SUM(J96:J110)</f>
        <v>514.65</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5026426.5599999996</v>
      </c>
      <c r="G112" s="41">
        <f>G60+G111</f>
        <v>10343.880000000001</v>
      </c>
      <c r="H112" s="41">
        <f>H60+H79+H94+H111</f>
        <v>3794.31</v>
      </c>
      <c r="I112" s="41">
        <f>I60+I111</f>
        <v>0</v>
      </c>
      <c r="J112" s="41">
        <f>J60+J111</f>
        <v>514.65</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331890.65999999997</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2398616</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2730506.66</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f>2590.28</f>
        <v>2590.2800000000002</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2590.2800000000002</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2730506.66</v>
      </c>
      <c r="G140" s="41">
        <f>G121+SUM(G136:G137)</f>
        <v>2590.2800000000002</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v>7629.86</v>
      </c>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7629.86</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14509.77</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73166.41</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8777.28+4396.73+518</f>
        <v>13692.01</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186831.43+6289.16</f>
        <v>193120.59</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116874.45</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26070.45</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73706.84</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26070.45</v>
      </c>
      <c r="G163" s="41">
        <f>SUM(G150:G162)</f>
        <v>193120.59</v>
      </c>
      <c r="H163" s="41">
        <f>SUM(H150:H162)</f>
        <v>291949.48</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f>50017.28</f>
        <v>50017.279999999999</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76087.73</v>
      </c>
      <c r="G170" s="41">
        <f>G147+G163+SUM(G164:G169)</f>
        <v>200750.44999999998</v>
      </c>
      <c r="H170" s="41">
        <f>H147+H163+SUM(H164:H169)</f>
        <v>291949.48</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f>540000</f>
        <v>540000</v>
      </c>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540000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6619.67</v>
      </c>
      <c r="H180" s="18"/>
      <c r="I180" s="18"/>
      <c r="J180" s="18">
        <v>284000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6619.67</v>
      </c>
      <c r="H184" s="41">
        <f>SUM(H180:H183)</f>
        <v>0</v>
      </c>
      <c r="I184" s="41">
        <f>SUM(I180:I183)</f>
        <v>0</v>
      </c>
      <c r="J184" s="41">
        <f>SUM(J180:J183)</f>
        <v>284000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540000</v>
      </c>
      <c r="G193" s="41">
        <f>G184+SUM(G189:G192)</f>
        <v>6619.67</v>
      </c>
      <c r="H193" s="41">
        <f>+H184+SUM(H189:H192)</f>
        <v>0</v>
      </c>
      <c r="I193" s="41">
        <f>I178+I184+SUM(I189:I192)</f>
        <v>0</v>
      </c>
      <c r="J193" s="41">
        <f>J184</f>
        <v>284000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8373020.9500000002</v>
      </c>
      <c r="G194" s="47">
        <f>G112+G140+G170+G193</f>
        <v>220304.28</v>
      </c>
      <c r="H194" s="47">
        <f>H112+H140+H170+H193</f>
        <v>295743.78999999998</v>
      </c>
      <c r="I194" s="47">
        <f>I112+I140+I170+I193</f>
        <v>0</v>
      </c>
      <c r="J194" s="47">
        <f>J112+J140+J193</f>
        <v>284514.65000000002</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832468.63+15570</f>
        <v>848038.63</v>
      </c>
      <c r="G198" s="18">
        <f>273267.78+6351.72+739.01+247.09+60052.75+176464.19+2366.39+6.36</f>
        <v>519495.29000000004</v>
      </c>
      <c r="H198" s="18">
        <f>18118.54+12912.11+6152.38+42.12</f>
        <v>37225.15</v>
      </c>
      <c r="I198" s="18">
        <f>11539.49+10039.18+60.82+545.35+6458.6+2394.15</f>
        <v>31037.589999999997</v>
      </c>
      <c r="J198" s="18">
        <f>354.42+656.64+1165.87</f>
        <v>2176.9299999999998</v>
      </c>
      <c r="K198" s="18">
        <f>3544.92</f>
        <v>3544.92</v>
      </c>
      <c r="L198" s="19">
        <f>SUM(F198:K198)</f>
        <v>1441518.5099999998</v>
      </c>
      <c r="M198" s="8"/>
      <c r="N198" s="265"/>
    </row>
    <row r="199" spans="1:14" s="3" customFormat="1" ht="12.2" customHeight="1" x14ac:dyDescent="0.15">
      <c r="A199" s="1" t="s">
        <v>439</v>
      </c>
      <c r="B199" s="2" t="s">
        <v>341</v>
      </c>
      <c r="C199" s="2" t="s">
        <v>291</v>
      </c>
      <c r="D199" s="2" t="s">
        <v>431</v>
      </c>
      <c r="E199" s="6">
        <v>1200</v>
      </c>
      <c r="F199" s="18">
        <f>279721.48+10755+11652.62+7729.2</f>
        <v>309858.3</v>
      </c>
      <c r="G199" s="18">
        <f>90029.46+2312.22+269.24+20849.9+21468.04+26276.89+731.95+1208.56+1410.91+1252.77+41.61+1343.14+58.14+566.9+1624.68+20.11</f>
        <v>169464.52</v>
      </c>
      <c r="H199" s="18">
        <f>174166.63+1894.75+1020.53+31666.66</f>
        <v>208748.57</v>
      </c>
      <c r="I199" s="18">
        <f>1670.89+99.4+299.99</f>
        <v>2070.2800000000002</v>
      </c>
      <c r="J199" s="18"/>
      <c r="K199" s="18">
        <v>185</v>
      </c>
      <c r="L199" s="19">
        <f>SUM(F199:K199)</f>
        <v>690326.66999999993</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f>764</f>
        <v>764</v>
      </c>
      <c r="G201" s="18">
        <f>55.57+160.59+1.99</f>
        <v>218.15</v>
      </c>
      <c r="H201" s="18"/>
      <c r="I201" s="18"/>
      <c r="J201" s="18"/>
      <c r="K201" s="18"/>
      <c r="L201" s="19">
        <f>SUM(F201:K201)</f>
        <v>982.15</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25729.9+60434+20152.58</f>
        <v>106316.48</v>
      </c>
      <c r="G203" s="18">
        <f>10671.17+21.84+1739.8+5408.51+66.94+18381.12+397.98+50.88+4197.15+12703.33+157.22+1075.07+50.88+1623.97+4236.12+52.43+6.36-6.36</f>
        <v>60834.41</v>
      </c>
      <c r="H203" s="18">
        <f>71.68+3075+27988.71+108962.43+2539.35+5340+32094.25+1609.5</f>
        <v>181680.92</v>
      </c>
      <c r="I203" s="18">
        <f>21.99+36.56+47.52+190.72+298.57</f>
        <v>595.3599999999999</v>
      </c>
      <c r="J203" s="18"/>
      <c r="K203" s="18">
        <f>179</f>
        <v>179</v>
      </c>
      <c r="L203" s="19">
        <f t="shared" ref="L203:L209" si="0">SUM(F203:K203)</f>
        <v>349606.17000000004</v>
      </c>
      <c r="M203" s="8"/>
      <c r="N203" s="265"/>
    </row>
    <row r="204" spans="1:14" s="3" customFormat="1" ht="12.2" customHeight="1" x14ac:dyDescent="0.15">
      <c r="A204" s="1" t="s">
        <v>443</v>
      </c>
      <c r="B204" s="2" t="s">
        <v>341</v>
      </c>
      <c r="C204" s="2" t="s">
        <v>295</v>
      </c>
      <c r="D204" s="2" t="s">
        <v>431</v>
      </c>
      <c r="E204" s="6">
        <v>2200</v>
      </c>
      <c r="F204" s="18">
        <f>2000+27683.13</f>
        <v>29683.13</v>
      </c>
      <c r="G204" s="18">
        <f>142.68+420.4+1764.99+1100+912.86+13032.91+127.37+24.48+1758.33+1053.97+4243.21+72.02</f>
        <v>24653.219999999998</v>
      </c>
      <c r="H204" s="18">
        <f>4554.29+500</f>
        <v>5054.29</v>
      </c>
      <c r="I204" s="18">
        <f>61.11+211.97+1769.2+30.96+318+116.06+496.22+515.14</f>
        <v>3518.6599999999994</v>
      </c>
      <c r="J204" s="18"/>
      <c r="K204" s="18"/>
      <c r="L204" s="19">
        <f t="shared" si="0"/>
        <v>62909.299999999996</v>
      </c>
      <c r="M204" s="8"/>
      <c r="N204" s="265"/>
    </row>
    <row r="205" spans="1:14" s="3" customFormat="1" ht="12.2" customHeight="1" x14ac:dyDescent="0.15">
      <c r="A205" s="1" t="s">
        <v>444</v>
      </c>
      <c r="B205" s="2" t="s">
        <v>341</v>
      </c>
      <c r="C205" s="2" t="s">
        <v>296</v>
      </c>
      <c r="D205" s="2" t="s">
        <v>431</v>
      </c>
      <c r="E205" s="6">
        <v>2300</v>
      </c>
      <c r="F205" s="18">
        <f>2457.5+464.4+1720+554.7+167088.7</f>
        <v>172285.30000000002</v>
      </c>
      <c r="G205" s="18">
        <f>188.03+33.67+65.28+131.6+42.03+26479.14+684.2+278.02+12200.62+10805.15+525.5+434.68+538.36</f>
        <v>52406.280000000006</v>
      </c>
      <c r="H205" s="18">
        <f>1659.34+722.85+147.83+866.67+117.98+3887.29+4697.75+14823.19+8399.05+832.53+4902+256.88+284.11+4703.98+139.3+631.17</f>
        <v>47071.92</v>
      </c>
      <c r="I205" s="18">
        <f>27.82+225.24+1177.53+259.2+267.52+49.9</f>
        <v>2007.21</v>
      </c>
      <c r="J205" s="18"/>
      <c r="K205" s="18">
        <f>1383.95+430+1065.76+343.82</f>
        <v>3223.53</v>
      </c>
      <c r="L205" s="19">
        <f t="shared" si="0"/>
        <v>276994.24000000005</v>
      </c>
      <c r="M205" s="8"/>
      <c r="N205" s="265"/>
    </row>
    <row r="206" spans="1:14" s="3" customFormat="1" ht="12.2" customHeight="1" x14ac:dyDescent="0.15">
      <c r="A206" s="1" t="s">
        <v>445</v>
      </c>
      <c r="B206" s="2" t="s">
        <v>341</v>
      </c>
      <c r="C206" s="2" t="s">
        <v>297</v>
      </c>
      <c r="D206" s="2" t="s">
        <v>431</v>
      </c>
      <c r="E206" s="6">
        <v>2400</v>
      </c>
      <c r="F206" s="18">
        <f>103595.69</f>
        <v>103595.69</v>
      </c>
      <c r="G206" s="18">
        <f>10477.74+318.44+235.8+7672.19+4285.14+15369.41+269.5</f>
        <v>38628.22</v>
      </c>
      <c r="H206" s="18">
        <f>89.01+1790.01+975+1503.78</f>
        <v>4357.8</v>
      </c>
      <c r="I206" s="18">
        <f>2046.46+3851.1</f>
        <v>5897.5599999999995</v>
      </c>
      <c r="J206" s="18">
        <f>8924.86+657.21</f>
        <v>9582.07</v>
      </c>
      <c r="K206" s="18">
        <f>2513.83</f>
        <v>2513.83</v>
      </c>
      <c r="L206" s="19">
        <f t="shared" si="0"/>
        <v>164575.16999999998</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f>39561.15</f>
        <v>39561.15</v>
      </c>
      <c r="G208" s="18">
        <f>3888.28+168.41+26.92+2978.46+4599.72+102.92</f>
        <v>11764.710000000001</v>
      </c>
      <c r="H208" s="18">
        <f>66642.91+2524.08+3890.66+4337.11+7939.89+2873.89+289.14+1360.96</f>
        <v>89858.640000000014</v>
      </c>
      <c r="I208" s="18">
        <f>18878.87+14891.09+15013.68+201.19+298.21</f>
        <v>49283.040000000001</v>
      </c>
      <c r="J208" s="18">
        <f>664.67+206.39</f>
        <v>871.06</v>
      </c>
      <c r="K208" s="18">
        <f>12356.66</f>
        <v>12356.66</v>
      </c>
      <c r="L208" s="19">
        <f t="shared" si="0"/>
        <v>203695.26</v>
      </c>
      <c r="M208" s="8"/>
      <c r="N208" s="265"/>
    </row>
    <row r="209" spans="1:14" s="3" customFormat="1" ht="12.2" customHeight="1" x14ac:dyDescent="0.15">
      <c r="A209" s="1" t="s">
        <v>448</v>
      </c>
      <c r="B209" s="2" t="s">
        <v>341</v>
      </c>
      <c r="C209" s="2" t="s">
        <v>300</v>
      </c>
      <c r="D209" s="2" t="s">
        <v>431</v>
      </c>
      <c r="E209" s="6">
        <v>2700</v>
      </c>
      <c r="F209" s="18"/>
      <c r="G209" s="18"/>
      <c r="H209" s="18">
        <f>46333.27+1445.7+980.7+3015.02</f>
        <v>51774.689999999988</v>
      </c>
      <c r="I209" s="18"/>
      <c r="J209" s="18"/>
      <c r="K209" s="18"/>
      <c r="L209" s="19">
        <f t="shared" si="0"/>
        <v>51774.689999999988</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1610102.6799999997</v>
      </c>
      <c r="G212" s="41">
        <f t="shared" si="1"/>
        <v>877464.8</v>
      </c>
      <c r="H212" s="41">
        <f t="shared" si="1"/>
        <v>625771.98</v>
      </c>
      <c r="I212" s="41">
        <f t="shared" si="1"/>
        <v>94409.699999999983</v>
      </c>
      <c r="J212" s="41">
        <f t="shared" si="1"/>
        <v>12630.06</v>
      </c>
      <c r="K212" s="41">
        <f t="shared" si="1"/>
        <v>22002.940000000002</v>
      </c>
      <c r="L212" s="41">
        <f t="shared" si="1"/>
        <v>3242382.1599999997</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f>504083.58+6255</f>
        <v>510338.58</v>
      </c>
      <c r="G216" s="18">
        <f>158978.21+3333.66+354.3+143.75+36125.65+278.38+105437.09+1360.09</f>
        <v>306011.13</v>
      </c>
      <c r="H216" s="18">
        <f>10685.85+8247.51+3576.96</f>
        <v>22510.32</v>
      </c>
      <c r="I216" s="18">
        <f>6927.19+169.6+1243.58+1395+1415.83</f>
        <v>11151.199999999999</v>
      </c>
      <c r="J216" s="18">
        <f>18.28+2269.6+5733</f>
        <v>8020.88</v>
      </c>
      <c r="K216" s="18">
        <f>2290</f>
        <v>2290</v>
      </c>
      <c r="L216" s="19">
        <f>SUM(F216:K216)</f>
        <v>860322.10999999987</v>
      </c>
      <c r="M216" s="8"/>
      <c r="N216" s="265"/>
    </row>
    <row r="217" spans="1:14" s="3" customFormat="1" ht="12.2" customHeight="1" x14ac:dyDescent="0.15">
      <c r="A217" s="1" t="s">
        <v>439</v>
      </c>
      <c r="B217" s="2" t="s">
        <v>346</v>
      </c>
      <c r="C217" s="2" t="s">
        <v>291</v>
      </c>
      <c r="D217" s="2" t="s">
        <v>431</v>
      </c>
      <c r="E217" s="6">
        <v>1200</v>
      </c>
      <c r="F217" s="18">
        <f>90401.27+9090</f>
        <v>99491.27</v>
      </c>
      <c r="G217" s="18">
        <f>61578.72+1193.94+131.44+7630.8+8619.52+9203.47+329.94</f>
        <v>88687.830000000016</v>
      </c>
      <c r="H217" s="18">
        <f>560.04</f>
        <v>560.04</v>
      </c>
      <c r="I217" s="18"/>
      <c r="J217" s="18"/>
      <c r="K217" s="18"/>
      <c r="L217" s="19">
        <f>SUM(F217:K217)</f>
        <v>188739.14000000004</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f>12337+2880</f>
        <v>15217</v>
      </c>
      <c r="G219" s="18">
        <f>933.12+543.78+32.09+29.95+215.97+605.38</f>
        <v>2360.29</v>
      </c>
      <c r="H219" s="18">
        <f>2414</f>
        <v>2414</v>
      </c>
      <c r="I219" s="18">
        <f>5860.12</f>
        <v>5860.12</v>
      </c>
      <c r="J219" s="18"/>
      <c r="K219" s="18">
        <f>1798.25</f>
        <v>1798.25</v>
      </c>
      <c r="L219" s="19">
        <f>SUM(F219:K219)</f>
        <v>27649.66</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f>14959.36+43353.5+11716.58</f>
        <v>70029.440000000002</v>
      </c>
      <c r="G221" s="18">
        <f>6204.12+12.72+1011.65+3144.44+38.92+18198.14+338.21+11.4+2974.3+2659.29+5137.09+112.78+625.03+944.06+2462.89+30.48</f>
        <v>43905.52</v>
      </c>
      <c r="H221" s="18">
        <f>1175+17263.48+3866.5</f>
        <v>22304.98</v>
      </c>
      <c r="I221" s="18">
        <f>250.98+32.04+132.66</f>
        <v>415.67999999999995</v>
      </c>
      <c r="J221" s="18"/>
      <c r="K221" s="18"/>
      <c r="L221" s="19">
        <f t="shared" ref="L221:L227" si="2">SUM(F221:K221)</f>
        <v>136655.62</v>
      </c>
      <c r="M221" s="8"/>
      <c r="N221" s="265"/>
    </row>
    <row r="222" spans="1:14" s="3" customFormat="1" ht="12.2" customHeight="1" x14ac:dyDescent="0.15">
      <c r="A222" s="1" t="s">
        <v>443</v>
      </c>
      <c r="B222" s="2" t="s">
        <v>346</v>
      </c>
      <c r="C222" s="2" t="s">
        <v>295</v>
      </c>
      <c r="D222" s="2" t="s">
        <v>431</v>
      </c>
      <c r="E222" s="6">
        <v>2200</v>
      </c>
      <c r="F222" s="18">
        <f>1000+20129.73</f>
        <v>21129.73</v>
      </c>
      <c r="G222" s="18">
        <f>70.34+210.2+2113+8888+1288.75+8753.24+99.55+20.74+1317.45+612.85+3315.01+52.37</f>
        <v>26741.499999999996</v>
      </c>
      <c r="H222" s="18">
        <f>2786.23</f>
        <v>2786.23</v>
      </c>
      <c r="I222" s="18">
        <f>37.84+62.91+805.95+152.94+150+67.47+524.84+299.5</f>
        <v>2101.4500000000003</v>
      </c>
      <c r="J222" s="18"/>
      <c r="K222" s="18"/>
      <c r="L222" s="19">
        <f t="shared" si="2"/>
        <v>52758.909999999996</v>
      </c>
      <c r="M222" s="8"/>
      <c r="N222" s="265"/>
    </row>
    <row r="223" spans="1:14" s="3" customFormat="1" ht="12.2" customHeight="1" x14ac:dyDescent="0.15">
      <c r="A223" s="1" t="s">
        <v>444</v>
      </c>
      <c r="B223" s="2" t="s">
        <v>346</v>
      </c>
      <c r="C223" s="2" t="s">
        <v>296</v>
      </c>
      <c r="D223" s="2" t="s">
        <v>431</v>
      </c>
      <c r="E223" s="6">
        <v>2300</v>
      </c>
      <c r="F223" s="18">
        <f>1452.5+270+1000+322.5+95706.54</f>
        <v>98751.54</v>
      </c>
      <c r="G223" s="18">
        <f>111.13+19.56+37.93+76.52+24.49+15394.57+398.24+173.94+6985.11+6281.96+248.98+313</f>
        <v>30065.429999999997</v>
      </c>
      <c r="H223" s="18">
        <f>964.73+433.71+85.95+503.88+67.83+2260.06+2731.25+4223.85+4883.17+303.73+2850+149.37+165.19+2729.74+81.62+434.59</f>
        <v>22868.67</v>
      </c>
      <c r="I223" s="18">
        <f>16.18+130.96+640.43+150.7+155.54+29.02</f>
        <v>1122.83</v>
      </c>
      <c r="J223" s="18"/>
      <c r="K223" s="18">
        <f>804.62+250+619.63+130</f>
        <v>1804.25</v>
      </c>
      <c r="L223" s="19">
        <f t="shared" si="2"/>
        <v>154612.71999999997</v>
      </c>
      <c r="M223" s="8"/>
      <c r="N223" s="265"/>
    </row>
    <row r="224" spans="1:14" s="3" customFormat="1" ht="12.2" customHeight="1" x14ac:dyDescent="0.15">
      <c r="A224" s="1" t="s">
        <v>445</v>
      </c>
      <c r="B224" s="2" t="s">
        <v>346</v>
      </c>
      <c r="C224" s="2" t="s">
        <v>297</v>
      </c>
      <c r="D224" s="2" t="s">
        <v>431</v>
      </c>
      <c r="E224" s="6">
        <v>2400</v>
      </c>
      <c r="F224" s="18">
        <f>62233.86</f>
        <v>62233.86</v>
      </c>
      <c r="G224" s="18">
        <f>15528.49+401.55+103.32+4441.88+1393.81+10997.74+161.9+220</f>
        <v>33248.69</v>
      </c>
      <c r="H224" s="18">
        <f>51.75+1040.71+551.59+781.35+291.14</f>
        <v>2716.54</v>
      </c>
      <c r="I224" s="18">
        <f>708.63+2272.96+230</f>
        <v>3211.59</v>
      </c>
      <c r="J224" s="18">
        <f>5188.9</f>
        <v>5188.8999999999996</v>
      </c>
      <c r="K224" s="18">
        <f>1214.25</f>
        <v>1214.25</v>
      </c>
      <c r="L224" s="19">
        <f t="shared" si="2"/>
        <v>107813.82999999999</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f>52589.91</f>
        <v>52589.91</v>
      </c>
      <c r="G226" s="18">
        <f>10604.55+27.32+3909.96+4266.7+136.81</f>
        <v>18945.34</v>
      </c>
      <c r="H226" s="18">
        <f>1597.71+1407.9+2602.27+9259.25+1670.87+289.14+467.05</f>
        <v>17294.189999999999</v>
      </c>
      <c r="I226" s="18">
        <f>10523.47+11226.94+30129.73+1422.68+173.38</f>
        <v>53476.2</v>
      </c>
      <c r="J226" s="18">
        <f>1393.95+120</f>
        <v>1513.95</v>
      </c>
      <c r="K226" s="18">
        <f>4728.17</f>
        <v>4728.17</v>
      </c>
      <c r="L226" s="19">
        <f t="shared" si="2"/>
        <v>148547.76000000004</v>
      </c>
      <c r="M226" s="8"/>
      <c r="N226" s="265"/>
    </row>
    <row r="227" spans="1:14" s="3" customFormat="1" ht="12.2" customHeight="1" x14ac:dyDescent="0.15">
      <c r="A227" s="1" t="s">
        <v>448</v>
      </c>
      <c r="B227" s="2" t="s">
        <v>346</v>
      </c>
      <c r="C227" s="2" t="s">
        <v>300</v>
      </c>
      <c r="D227" s="2" t="s">
        <v>431</v>
      </c>
      <c r="E227" s="6">
        <v>2700</v>
      </c>
      <c r="F227" s="18"/>
      <c r="G227" s="18"/>
      <c r="H227" s="18">
        <f>29336.09+5032.36+4951.51</f>
        <v>39319.96</v>
      </c>
      <c r="I227" s="18"/>
      <c r="J227" s="18"/>
      <c r="K227" s="18"/>
      <c r="L227" s="19">
        <f t="shared" si="2"/>
        <v>39319.96</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929781.33000000007</v>
      </c>
      <c r="G230" s="41">
        <f>SUM(G216:G229)</f>
        <v>549965.73</v>
      </c>
      <c r="H230" s="41">
        <f>SUM(H216:H229)</f>
        <v>132774.93</v>
      </c>
      <c r="I230" s="41">
        <f>SUM(I216:I229)</f>
        <v>77339.069999999992</v>
      </c>
      <c r="J230" s="41">
        <f>SUM(J216:J229)</f>
        <v>14723.73</v>
      </c>
      <c r="K230" s="41">
        <f t="shared" si="3"/>
        <v>11834.92</v>
      </c>
      <c r="L230" s="41">
        <f t="shared" si="3"/>
        <v>1716419.7099999997</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f>729629.03+30120</f>
        <v>759749.03</v>
      </c>
      <c r="G234" s="18">
        <f>217288.79+4185.68+673.88+183.91+54378.05+149298.52+1898.13</f>
        <v>427906.95999999996</v>
      </c>
      <c r="H234" s="18">
        <f>13604.21+11202.28+4578.52+10888.13+164.59</f>
        <v>40437.729999999996</v>
      </c>
      <c r="I234" s="18">
        <f>9148.29+8343.46+247.62+4286.69+280.17+2325.98+1767.74</f>
        <v>26399.949999999997</v>
      </c>
      <c r="J234" s="18">
        <f>4353.88+429.41+20201.44+6667.27</f>
        <v>31652</v>
      </c>
      <c r="K234" s="18">
        <f>3603.08</f>
        <v>3603.08</v>
      </c>
      <c r="L234" s="19">
        <f>SUM(F234:K234)</f>
        <v>1289748.75</v>
      </c>
      <c r="M234" s="8"/>
      <c r="N234" s="265"/>
    </row>
    <row r="235" spans="1:14" s="3" customFormat="1" ht="12.2" customHeight="1" x14ac:dyDescent="0.15">
      <c r="A235" s="1" t="s">
        <v>439</v>
      </c>
      <c r="B235" s="2" t="s">
        <v>350</v>
      </c>
      <c r="C235" s="2" t="s">
        <v>291</v>
      </c>
      <c r="D235" s="2" t="s">
        <v>431</v>
      </c>
      <c r="E235" s="6">
        <v>1200</v>
      </c>
      <c r="F235" s="18">
        <f>47071.57+2385</f>
        <v>49456.57</v>
      </c>
      <c r="G235" s="18">
        <f>1406.25+69.96+3891.03+2838.87+5650.2+122.46</f>
        <v>13978.77</v>
      </c>
      <c r="H235" s="18">
        <f>3038.75+727.71+50+32083.68-41025+56753.28-32083.68</f>
        <v>19544.739999999998</v>
      </c>
      <c r="I235" s="18">
        <f>199.91+237.88</f>
        <v>437.78999999999996</v>
      </c>
      <c r="J235" s="18"/>
      <c r="K235" s="18"/>
      <c r="L235" s="19">
        <f>SUM(F235:K235)</f>
        <v>83417.869999999981</v>
      </c>
      <c r="M235" s="8"/>
      <c r="N235" s="265"/>
    </row>
    <row r="236" spans="1:14" s="3" customFormat="1" ht="12.2" customHeight="1" x14ac:dyDescent="0.15">
      <c r="A236" s="1" t="s">
        <v>440</v>
      </c>
      <c r="B236" s="2" t="s">
        <v>350</v>
      </c>
      <c r="C236" s="2" t="s">
        <v>292</v>
      </c>
      <c r="D236" s="2" t="s">
        <v>431</v>
      </c>
      <c r="E236" s="6">
        <v>1300</v>
      </c>
      <c r="F236" s="18"/>
      <c r="G236" s="18"/>
      <c r="H236" s="18">
        <f>4202.46</f>
        <v>4202.46</v>
      </c>
      <c r="I236" s="18"/>
      <c r="J236" s="18"/>
      <c r="K236" s="18"/>
      <c r="L236" s="19">
        <f>SUM(F236:K236)</f>
        <v>4202.46</v>
      </c>
      <c r="M236" s="8"/>
      <c r="N236" s="265"/>
    </row>
    <row r="237" spans="1:14" s="3" customFormat="1" ht="12.2" customHeight="1" x14ac:dyDescent="0.15">
      <c r="A237" s="1" t="s">
        <v>441</v>
      </c>
      <c r="B237" s="2" t="s">
        <v>350</v>
      </c>
      <c r="C237" s="2" t="s">
        <v>293</v>
      </c>
      <c r="D237" s="2" t="s">
        <v>431</v>
      </c>
      <c r="E237" s="6">
        <v>1400</v>
      </c>
      <c r="F237" s="18">
        <f>52818+7600</f>
        <v>60418</v>
      </c>
      <c r="G237" s="18">
        <f>3992.82+566.96+2766.34+137.41+90+567.18+1597.52</f>
        <v>9718.2300000000014</v>
      </c>
      <c r="H237" s="18">
        <f>13828+475.2</f>
        <v>14303.2</v>
      </c>
      <c r="I237" s="18">
        <f>22299.67</f>
        <v>22299.67</v>
      </c>
      <c r="J237" s="18">
        <f>4482.9</f>
        <v>4482.8999999999996</v>
      </c>
      <c r="K237" s="18">
        <f>5404.75</f>
        <v>5404.75</v>
      </c>
      <c r="L237" s="19">
        <f>SUM(F237:K237)</f>
        <v>116626.74999999999</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f>19147.74+59775.94+14997.32</f>
        <v>93921</v>
      </c>
      <c r="G239" s="18">
        <f>7941.19+16.32+1294.52+4024.82+49.81+24999.46+457.75+64.92+4104.06+3250.27+7705.64+155.51+799.9+1208.44+3152.33+39.02</f>
        <v>59263.959999999992</v>
      </c>
      <c r="H239" s="18">
        <f>20000+4753.32+2.6+688.63+93.6+1200+22193.74+105+4070</f>
        <v>53106.89</v>
      </c>
      <c r="I239" s="18">
        <f>310.79+173.81+99.39</f>
        <v>583.99</v>
      </c>
      <c r="J239" s="18"/>
      <c r="K239" s="18"/>
      <c r="L239" s="19">
        <f t="shared" ref="L239:L245" si="4">SUM(F239:K239)</f>
        <v>206875.83999999997</v>
      </c>
      <c r="M239" s="8"/>
      <c r="N239" s="265"/>
    </row>
    <row r="240" spans="1:14" s="3" customFormat="1" ht="12.2" customHeight="1" x14ac:dyDescent="0.15">
      <c r="A240" s="1" t="s">
        <v>443</v>
      </c>
      <c r="B240" s="2" t="s">
        <v>350</v>
      </c>
      <c r="C240" s="2" t="s">
        <v>295</v>
      </c>
      <c r="D240" s="2" t="s">
        <v>431</v>
      </c>
      <c r="E240" s="6">
        <v>2200</v>
      </c>
      <c r="F240" s="18">
        <f>2000+32704.75</f>
        <v>34704.75</v>
      </c>
      <c r="G240" s="18">
        <f>141.76+420.4+1397+11447+121.28+13225.67+171.06+34.08+2193.46+784.33+5702.01+85.08</f>
        <v>35723.130000000005</v>
      </c>
      <c r="H240" s="18">
        <f>3486.11+108.53</f>
        <v>3594.6400000000003</v>
      </c>
      <c r="I240" s="18">
        <f>46.57+101.72+352.97+1107.82+192+86.36+605.62+383.36</f>
        <v>2876.42</v>
      </c>
      <c r="J240" s="18"/>
      <c r="K240" s="18"/>
      <c r="L240" s="19">
        <f t="shared" si="4"/>
        <v>76898.94</v>
      </c>
      <c r="M240" s="8"/>
      <c r="N240" s="265"/>
    </row>
    <row r="241" spans="1:14" s="3" customFormat="1" ht="12.2" customHeight="1" x14ac:dyDescent="0.15">
      <c r="A241" s="1" t="s">
        <v>444</v>
      </c>
      <c r="B241" s="2" t="s">
        <v>350</v>
      </c>
      <c r="C241" s="2" t="s">
        <v>296</v>
      </c>
      <c r="D241" s="2" t="s">
        <v>431</v>
      </c>
      <c r="E241" s="6">
        <v>2300</v>
      </c>
      <c r="F241" s="18">
        <f>1840+345.6+1280+412.8+122491.9</f>
        <v>126370.29999999999</v>
      </c>
      <c r="G241" s="18">
        <f>140.72+25.01+48.75+97.88+31.27+19704.85+509.48+188.48+8939.57+8040.69+4283.95+318.66+400.64</f>
        <v>42729.95</v>
      </c>
      <c r="H241" s="18">
        <f>1234.86+578.28+110.02+644.95+87.51+2892.88+3496+5443.73+6250.46+563.23+3648+191.16+211.43+3534.28+103.67+510.94</f>
        <v>29501.399999999994</v>
      </c>
      <c r="I241" s="18">
        <f>20.71+167.58+928.94+192.9+199.07+37.13</f>
        <v>1546.3300000000002</v>
      </c>
      <c r="J241" s="18"/>
      <c r="K241" s="18">
        <f>1029.92+320+793.13+407.84</f>
        <v>2550.8900000000003</v>
      </c>
      <c r="L241" s="19">
        <f t="shared" si="4"/>
        <v>202698.87</v>
      </c>
      <c r="M241" s="8"/>
      <c r="N241" s="265"/>
    </row>
    <row r="242" spans="1:14" s="3" customFormat="1" ht="12.2" customHeight="1" x14ac:dyDescent="0.15">
      <c r="A242" s="1" t="s">
        <v>445</v>
      </c>
      <c r="B242" s="2" t="s">
        <v>350</v>
      </c>
      <c r="C242" s="2" t="s">
        <v>297</v>
      </c>
      <c r="D242" s="2" t="s">
        <v>431</v>
      </c>
      <c r="E242" s="6">
        <v>2400</v>
      </c>
      <c r="F242" s="18">
        <f>67392.2</f>
        <v>67392.2</v>
      </c>
      <c r="G242" s="18">
        <f>17191.29+473.95+149.04+4807.08+2119.09+10997.74+175.32+455</f>
        <v>36368.51</v>
      </c>
      <c r="H242" s="18">
        <f>66.24+2707.81+874.31+1218.56+291.14+462</f>
        <v>5620.06</v>
      </c>
      <c r="I242" s="18">
        <f>2416.86+2881.9+1200.17</f>
        <v>6498.93</v>
      </c>
      <c r="J242" s="18">
        <f>8203.54+557.75</f>
        <v>8761.2900000000009</v>
      </c>
      <c r="K242" s="18">
        <f>1597.92</f>
        <v>1597.92</v>
      </c>
      <c r="L242" s="19">
        <f t="shared" si="4"/>
        <v>126238.90999999999</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f>83392.77+398.23</f>
        <v>83791</v>
      </c>
      <c r="G244" s="18">
        <f>18381.12+397.98+47.55+6179.55+9219.07+217.96</f>
        <v>34443.229999999996</v>
      </c>
      <c r="H244" s="18">
        <f>5606.19+1132.29+1099.99+3469.69+12689.52+2138.71+289.14+467.05</f>
        <v>26892.579999999998</v>
      </c>
      <c r="I244" s="18">
        <f>13611.8+13227.3+42465.85+1869.7+221.92</f>
        <v>71396.569999999992</v>
      </c>
      <c r="J244" s="18">
        <f>1412.78+153.6</f>
        <v>1566.3799999999999</v>
      </c>
      <c r="K244" s="18">
        <f>7093.66</f>
        <v>7093.66</v>
      </c>
      <c r="L244" s="19">
        <f t="shared" si="4"/>
        <v>225183.42</v>
      </c>
      <c r="M244" s="8"/>
      <c r="N244" s="265"/>
    </row>
    <row r="245" spans="1:14" s="3" customFormat="1" ht="12.2" customHeight="1" x14ac:dyDescent="0.15">
      <c r="A245" s="1" t="s">
        <v>448</v>
      </c>
      <c r="B245" s="2" t="s">
        <v>350</v>
      </c>
      <c r="C245" s="2" t="s">
        <v>300</v>
      </c>
      <c r="D245" s="2" t="s">
        <v>431</v>
      </c>
      <c r="E245" s="6">
        <v>2700</v>
      </c>
      <c r="F245" s="18"/>
      <c r="G245" s="18"/>
      <c r="H245" s="18">
        <f>30217.2+52514.46+13157.14+1275.21</f>
        <v>97164.010000000009</v>
      </c>
      <c r="I245" s="18"/>
      <c r="J245" s="18"/>
      <c r="K245" s="18"/>
      <c r="L245" s="19">
        <f t="shared" si="4"/>
        <v>97164.010000000009</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1275802.8499999999</v>
      </c>
      <c r="G248" s="41">
        <f t="shared" si="5"/>
        <v>660132.73999999987</v>
      </c>
      <c r="H248" s="41">
        <f t="shared" si="5"/>
        <v>294367.70999999996</v>
      </c>
      <c r="I248" s="41">
        <f t="shared" si="5"/>
        <v>132039.65</v>
      </c>
      <c r="J248" s="41">
        <f t="shared" si="5"/>
        <v>46462.57</v>
      </c>
      <c r="K248" s="41">
        <f t="shared" si="5"/>
        <v>20250.300000000003</v>
      </c>
      <c r="L248" s="41">
        <f t="shared" si="5"/>
        <v>2429055.8200000003</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f>138500</f>
        <v>138500</v>
      </c>
      <c r="I256" s="18"/>
      <c r="J256" s="18"/>
      <c r="K256" s="18"/>
      <c r="L256" s="19">
        <f t="shared" si="6"/>
        <v>138500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138500</v>
      </c>
      <c r="I257" s="41">
        <f t="shared" si="7"/>
        <v>0</v>
      </c>
      <c r="J257" s="41">
        <f t="shared" si="7"/>
        <v>0</v>
      </c>
      <c r="K257" s="41">
        <f t="shared" si="7"/>
        <v>0</v>
      </c>
      <c r="L257" s="41">
        <f>SUM(F257:K257)</f>
        <v>138500</v>
      </c>
      <c r="M257" s="8"/>
      <c r="N257" s="265"/>
    </row>
    <row r="258" spans="1:14" s="3" customFormat="1" ht="12.2" customHeight="1" thickTop="1" x14ac:dyDescent="0.15">
      <c r="A258" s="38" t="s">
        <v>462</v>
      </c>
      <c r="B258" s="40">
        <v>10</v>
      </c>
      <c r="C258" s="40">
        <v>8</v>
      </c>
      <c r="D258" s="39" t="s">
        <v>431</v>
      </c>
      <c r="E258" s="40"/>
      <c r="F258" s="41">
        <f t="shared" ref="F258:L258" si="8">F212+F230+F248+F257</f>
        <v>3815686.8599999994</v>
      </c>
      <c r="G258" s="41">
        <f t="shared" si="8"/>
        <v>2087563.27</v>
      </c>
      <c r="H258" s="41">
        <f t="shared" si="8"/>
        <v>1191414.6199999999</v>
      </c>
      <c r="I258" s="41">
        <f t="shared" si="8"/>
        <v>303788.41999999993</v>
      </c>
      <c r="J258" s="41">
        <f t="shared" si="8"/>
        <v>73816.36</v>
      </c>
      <c r="K258" s="41">
        <f t="shared" si="8"/>
        <v>54088.160000000003</v>
      </c>
      <c r="L258" s="41">
        <f t="shared" si="8"/>
        <v>7526357.6899999995</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f>75000</f>
        <v>75000</v>
      </c>
      <c r="L261" s="19">
        <f>SUM(F261:K261)</f>
        <v>75000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f>12622.5</f>
        <v>12622.5</v>
      </c>
      <c r="L262" s="19">
        <f>SUM(F262:K262)</f>
        <v>12622.5</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6619.67</f>
        <v>6619.67</v>
      </c>
      <c r="L264" s="19">
        <f>SUM(F264:K264)</f>
        <v>6619.67</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f>100000+184000</f>
        <v>284000</v>
      </c>
      <c r="L267" s="19">
        <f t="shared" si="9"/>
        <v>284000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f>32083.68</f>
        <v>32083.68</v>
      </c>
      <c r="L269" s="19">
        <f t="shared" si="9"/>
        <v>32083.68</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410325.85</v>
      </c>
      <c r="L271" s="41">
        <f t="shared" si="9"/>
        <v>410325.85</v>
      </c>
      <c r="M271" s="8"/>
      <c r="N271" s="265"/>
    </row>
    <row r="272" spans="1:14" s="34" customFormat="1" ht="12.2" customHeight="1" thickTop="1" x14ac:dyDescent="0.2">
      <c r="A272" s="43" t="s">
        <v>464</v>
      </c>
      <c r="B272" s="40">
        <v>10</v>
      </c>
      <c r="C272" s="40">
        <v>18</v>
      </c>
      <c r="D272" s="39" t="s">
        <v>431</v>
      </c>
      <c r="E272" s="40"/>
      <c r="F272" s="42">
        <f t="shared" ref="F272:L272" si="11">F258+F271</f>
        <v>3815686.8599999994</v>
      </c>
      <c r="G272" s="42">
        <f t="shared" si="11"/>
        <v>2087563.27</v>
      </c>
      <c r="H272" s="42">
        <f t="shared" si="11"/>
        <v>1191414.6199999999</v>
      </c>
      <c r="I272" s="42">
        <f t="shared" si="11"/>
        <v>303788.41999999993</v>
      </c>
      <c r="J272" s="42">
        <f t="shared" si="11"/>
        <v>73816.36</v>
      </c>
      <c r="K272" s="42">
        <f t="shared" si="11"/>
        <v>464414.01</v>
      </c>
      <c r="L272" s="42">
        <f t="shared" si="11"/>
        <v>7936683.5399999991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58427.69+18729.59</f>
        <v>77157.279999999999</v>
      </c>
      <c r="G277" s="18">
        <f>4343.26+10395.46+3063.52+132.66+1396.21+3936.98</f>
        <v>23268.089999999997</v>
      </c>
      <c r="H277" s="18"/>
      <c r="I277" s="18">
        <f>4874.74</f>
        <v>4874.74</v>
      </c>
      <c r="J277" s="18">
        <v>1028.1300000000001</v>
      </c>
      <c r="K277" s="18"/>
      <c r="L277" s="19">
        <f>SUM(F277:K277)</f>
        <v>106328.24</v>
      </c>
      <c r="M277" s="8"/>
      <c r="N277" s="265"/>
    </row>
    <row r="278" spans="1:14" s="3" customFormat="1" ht="12.2" customHeight="1" x14ac:dyDescent="0.15">
      <c r="A278" s="1" t="s">
        <v>439</v>
      </c>
      <c r="B278" s="2" t="s">
        <v>357</v>
      </c>
      <c r="C278" s="2" t="s">
        <v>291</v>
      </c>
      <c r="D278" s="2" t="s">
        <v>431</v>
      </c>
      <c r="E278" s="6">
        <v>1200</v>
      </c>
      <c r="F278" s="18">
        <f>1634.88+4342.38</f>
        <v>5977.26</v>
      </c>
      <c r="G278" s="18"/>
      <c r="H278" s="18">
        <f>19990.5</f>
        <v>19990.5</v>
      </c>
      <c r="I278" s="18"/>
      <c r="J278" s="18">
        <f>324.39</f>
        <v>324.39</v>
      </c>
      <c r="K278" s="18"/>
      <c r="L278" s="19">
        <f>SUM(F278:K278)</f>
        <v>26292.15</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f>20251.29+1614</f>
        <v>21865.29</v>
      </c>
      <c r="I282" s="18">
        <f>3794.31</f>
        <v>3794.31</v>
      </c>
      <c r="J282" s="18"/>
      <c r="K282" s="18"/>
      <c r="L282" s="19">
        <f t="shared" ref="L282:L288" si="12">SUM(F282:K282)</f>
        <v>25659.600000000002</v>
      </c>
      <c r="M282" s="8"/>
      <c r="N282" s="265"/>
    </row>
    <row r="283" spans="1:14" s="3" customFormat="1" ht="12.2" customHeight="1" x14ac:dyDescent="0.15">
      <c r="A283" s="1" t="s">
        <v>443</v>
      </c>
      <c r="B283" s="2" t="s">
        <v>357</v>
      </c>
      <c r="C283" s="2" t="s">
        <v>295</v>
      </c>
      <c r="D283" s="2" t="s">
        <v>431</v>
      </c>
      <c r="E283" s="6">
        <v>2200</v>
      </c>
      <c r="F283" s="18"/>
      <c r="G283" s="18"/>
      <c r="H283" s="18">
        <f>518+8777.28</f>
        <v>9295.2800000000007</v>
      </c>
      <c r="I283" s="18"/>
      <c r="J283" s="18"/>
      <c r="K283" s="18"/>
      <c r="L283" s="19">
        <f t="shared" si="12"/>
        <v>9295.2800000000007</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83134.539999999994</v>
      </c>
      <c r="G291" s="42">
        <f t="shared" si="13"/>
        <v>23268.089999999997</v>
      </c>
      <c r="H291" s="42">
        <f t="shared" si="13"/>
        <v>51151.07</v>
      </c>
      <c r="I291" s="42">
        <f t="shared" si="13"/>
        <v>8669.0499999999993</v>
      </c>
      <c r="J291" s="42">
        <f t="shared" si="13"/>
        <v>1352.52</v>
      </c>
      <c r="K291" s="42">
        <f t="shared" si="13"/>
        <v>0</v>
      </c>
      <c r="L291" s="41">
        <f t="shared" si="13"/>
        <v>167575.27000000002</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f>18729.41</f>
        <v>18729.41</v>
      </c>
      <c r="G296" s="18">
        <f>3063.52+132.66+1396.11+3936.93</f>
        <v>8529.2199999999993</v>
      </c>
      <c r="H296" s="18"/>
      <c r="I296" s="18">
        <f>3385.31+14347.25</f>
        <v>17732.560000000001</v>
      </c>
      <c r="J296" s="18">
        <f>1507.89</f>
        <v>1507.89</v>
      </c>
      <c r="K296" s="18">
        <f>1375</f>
        <v>1375</v>
      </c>
      <c r="L296" s="19">
        <f>SUM(F296:K296)</f>
        <v>47874.080000000002</v>
      </c>
      <c r="M296" s="8"/>
      <c r="N296" s="265"/>
    </row>
    <row r="297" spans="1:14" s="3" customFormat="1" ht="12.2" customHeight="1" x14ac:dyDescent="0.15">
      <c r="A297" s="1" t="s">
        <v>439</v>
      </c>
      <c r="B297" s="2" t="s">
        <v>358</v>
      </c>
      <c r="C297" s="2" t="s">
        <v>291</v>
      </c>
      <c r="D297" s="2" t="s">
        <v>431</v>
      </c>
      <c r="E297" s="6">
        <v>1200</v>
      </c>
      <c r="F297" s="18">
        <f>36426.78</f>
        <v>36426.78</v>
      </c>
      <c r="G297" s="18">
        <f>1663.03+3056.43</f>
        <v>4719.46</v>
      </c>
      <c r="H297" s="18"/>
      <c r="I297" s="18"/>
      <c r="J297" s="18"/>
      <c r="K297" s="18"/>
      <c r="L297" s="19">
        <f>SUM(F297:K297)</f>
        <v>41146.239999999998</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f>12484.52+1614</f>
        <v>14098.52</v>
      </c>
      <c r="I301" s="18"/>
      <c r="J301" s="18"/>
      <c r="K301" s="18"/>
      <c r="L301" s="19">
        <f t="shared" ref="L301:L307" si="14">SUM(F301:K301)</f>
        <v>14098.52</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55156.19</v>
      </c>
      <c r="G310" s="42">
        <f t="shared" si="15"/>
        <v>13248.68</v>
      </c>
      <c r="H310" s="42">
        <f t="shared" si="15"/>
        <v>14098.52</v>
      </c>
      <c r="I310" s="42">
        <f t="shared" si="15"/>
        <v>17732.560000000001</v>
      </c>
      <c r="J310" s="42">
        <f t="shared" si="15"/>
        <v>1507.89</v>
      </c>
      <c r="K310" s="42">
        <f t="shared" si="15"/>
        <v>1375</v>
      </c>
      <c r="L310" s="41">
        <f t="shared" si="15"/>
        <v>103118.84000000001</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f>4874.72</f>
        <v>4874.72</v>
      </c>
      <c r="J315" s="18">
        <f>1860.71</f>
        <v>1860.71</v>
      </c>
      <c r="K315" s="18"/>
      <c r="L315" s="19">
        <f>SUM(F315:K315)</f>
        <v>6735.43</v>
      </c>
      <c r="M315" s="8"/>
      <c r="N315" s="265"/>
    </row>
    <row r="316" spans="1:14" s="3" customFormat="1" ht="12.2" customHeight="1" x14ac:dyDescent="0.15">
      <c r="A316" s="1" t="s">
        <v>439</v>
      </c>
      <c r="B316" s="2" t="s">
        <v>359</v>
      </c>
      <c r="C316" s="2" t="s">
        <v>291</v>
      </c>
      <c r="D316" s="2" t="s">
        <v>431</v>
      </c>
      <c r="E316" s="6">
        <v>1200</v>
      </c>
      <c r="F316" s="18"/>
      <c r="G316" s="18"/>
      <c r="H316" s="18"/>
      <c r="I316" s="18"/>
      <c r="J316" s="18">
        <f>1105.99</f>
        <v>1105.99</v>
      </c>
      <c r="K316" s="18"/>
      <c r="L316" s="19">
        <f>SUM(F316:K316)</f>
        <v>1105.99</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f>15594.26+1614</f>
        <v>17208.260000000002</v>
      </c>
      <c r="I320" s="18"/>
      <c r="J320" s="18"/>
      <c r="K320" s="18"/>
      <c r="L320" s="19">
        <f t="shared" ref="L320:L326" si="16">SUM(F320:K320)</f>
        <v>17208.260000000002</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17208.260000000002</v>
      </c>
      <c r="I329" s="42">
        <f t="shared" si="17"/>
        <v>4874.72</v>
      </c>
      <c r="J329" s="42">
        <f t="shared" si="17"/>
        <v>2966.7</v>
      </c>
      <c r="K329" s="42">
        <f t="shared" si="17"/>
        <v>0</v>
      </c>
      <c r="L329" s="41">
        <f t="shared" si="17"/>
        <v>25049.68</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138290.72999999998</v>
      </c>
      <c r="G339" s="41">
        <f t="shared" si="20"/>
        <v>36516.769999999997</v>
      </c>
      <c r="H339" s="41">
        <f t="shared" si="20"/>
        <v>82457.850000000006</v>
      </c>
      <c r="I339" s="41">
        <f t="shared" si="20"/>
        <v>31276.33</v>
      </c>
      <c r="J339" s="41">
        <f t="shared" si="20"/>
        <v>5827.11</v>
      </c>
      <c r="K339" s="41">
        <f t="shared" si="20"/>
        <v>1375</v>
      </c>
      <c r="L339" s="41">
        <f t="shared" si="20"/>
        <v>295743.79000000004</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138290.72999999998</v>
      </c>
      <c r="G353" s="41">
        <f>G339</f>
        <v>36516.769999999997</v>
      </c>
      <c r="H353" s="41">
        <f>H339</f>
        <v>82457.850000000006</v>
      </c>
      <c r="I353" s="41">
        <f>I339</f>
        <v>31276.33</v>
      </c>
      <c r="J353" s="41">
        <f>J339</f>
        <v>5827.11</v>
      </c>
      <c r="K353" s="47">
        <f>K339+K352</f>
        <v>1375</v>
      </c>
      <c r="L353" s="41">
        <f>L339+L352</f>
        <v>295743.79000000004</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f>2473.28+575.5+90770.82-24444.21</f>
        <v>69375.390000000014</v>
      </c>
      <c r="I359" s="18">
        <f>713.37+24444.21</f>
        <v>25157.579999999998</v>
      </c>
      <c r="J359" s="18"/>
      <c r="K359" s="18"/>
      <c r="L359" s="13">
        <f>SUM(F359:K359)</f>
        <v>94532.970000000016</v>
      </c>
      <c r="M359" s="8"/>
      <c r="N359" s="265"/>
    </row>
    <row r="360" spans="1:22" s="3" customFormat="1" ht="12.2" customHeight="1" x14ac:dyDescent="0.15">
      <c r="A360" s="1" t="s">
        <v>542</v>
      </c>
      <c r="B360" s="2" t="s">
        <v>366</v>
      </c>
      <c r="C360" s="6">
        <v>2</v>
      </c>
      <c r="D360" s="2" t="s">
        <v>431</v>
      </c>
      <c r="E360" s="6"/>
      <c r="F360" s="18"/>
      <c r="G360" s="18"/>
      <c r="H360" s="18">
        <f>1437.97+773.33+52773.79-14211.75</f>
        <v>40773.340000000004</v>
      </c>
      <c r="I360" s="18">
        <f>414.77+14211.75</f>
        <v>14626.52</v>
      </c>
      <c r="J360" s="18"/>
      <c r="K360" s="18"/>
      <c r="L360" s="19">
        <f>SUM(F360:K360)</f>
        <v>55399.86</v>
      </c>
      <c r="M360" s="8"/>
      <c r="N360" s="265"/>
    </row>
    <row r="361" spans="1:22" s="3" customFormat="1" ht="12.2" customHeight="1" x14ac:dyDescent="0.15">
      <c r="A361" s="3" t="s">
        <v>543</v>
      </c>
      <c r="B361" s="2" t="s">
        <v>366</v>
      </c>
      <c r="C361" s="6">
        <v>3</v>
      </c>
      <c r="D361" s="2" t="s">
        <v>431</v>
      </c>
      <c r="E361" s="6"/>
      <c r="F361" s="18"/>
      <c r="G361" s="18"/>
      <c r="H361" s="18">
        <f>1840.58+449.62+67550.39-18191.04</f>
        <v>51649.549999999996</v>
      </c>
      <c r="I361" s="18">
        <f>530.86+18191.04</f>
        <v>18721.900000000001</v>
      </c>
      <c r="J361" s="18"/>
      <c r="K361" s="18"/>
      <c r="L361" s="19">
        <f>SUM(F361:K361)</f>
        <v>70371.45</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161798.28</v>
      </c>
      <c r="I363" s="47">
        <f t="shared" si="22"/>
        <v>58506</v>
      </c>
      <c r="J363" s="47">
        <f t="shared" si="22"/>
        <v>0</v>
      </c>
      <c r="K363" s="47">
        <f t="shared" si="22"/>
        <v>0</v>
      </c>
      <c r="L363" s="47">
        <f t="shared" si="22"/>
        <v>220304.28000000003</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24444.21</v>
      </c>
      <c r="G368" s="18">
        <v>14211.75</v>
      </c>
      <c r="H368" s="18">
        <v>18191.04</v>
      </c>
      <c r="I368" s="56">
        <f>SUM(F368:H368)</f>
        <v>56847</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f>25157.58-24444.21</f>
        <v>713.37000000000262</v>
      </c>
      <c r="G369" s="63">
        <v>414.77</v>
      </c>
      <c r="H369" s="63">
        <v>530.86</v>
      </c>
      <c r="I369" s="56">
        <f>SUM(F369:H369)</f>
        <v>1659.0000000000027</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25157.58</v>
      </c>
      <c r="G370" s="47">
        <f>SUM(G368:G369)</f>
        <v>14626.52</v>
      </c>
      <c r="H370" s="47">
        <f>SUM(H368:H369)</f>
        <v>18721.900000000001</v>
      </c>
      <c r="I370" s="47">
        <f>SUM(I368:I369)</f>
        <v>58506</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f>60000</f>
        <v>60000</v>
      </c>
      <c r="H397" s="18">
        <f>187.3</f>
        <v>187.3</v>
      </c>
      <c r="I397" s="18"/>
      <c r="J397" s="24" t="s">
        <v>288</v>
      </c>
      <c r="K397" s="24" t="s">
        <v>288</v>
      </c>
      <c r="L397" s="56">
        <f t="shared" si="26"/>
        <v>60187.3</v>
      </c>
      <c r="M397" s="8"/>
      <c r="N397" s="265"/>
    </row>
    <row r="398" spans="1:14" s="3" customFormat="1" ht="12.2" customHeight="1" x14ac:dyDescent="0.15">
      <c r="A398" s="79" t="s">
        <v>515</v>
      </c>
      <c r="B398" s="2" t="s">
        <v>381</v>
      </c>
      <c r="C398" s="6">
        <v>10</v>
      </c>
      <c r="D398" s="2" t="s">
        <v>432</v>
      </c>
      <c r="E398" s="6"/>
      <c r="F398" s="18"/>
      <c r="G398" s="18">
        <f>194000</f>
        <v>194000</v>
      </c>
      <c r="H398" s="18">
        <f>153.17</f>
        <v>153.16999999999999</v>
      </c>
      <c r="I398" s="18"/>
      <c r="J398" s="24" t="s">
        <v>288</v>
      </c>
      <c r="K398" s="24" t="s">
        <v>288</v>
      </c>
      <c r="L398" s="56">
        <f t="shared" si="26"/>
        <v>194153.17</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f>10000</f>
        <v>10000</v>
      </c>
      <c r="H400" s="18">
        <f>38.2</f>
        <v>38.200000000000003</v>
      </c>
      <c r="I400" s="18"/>
      <c r="J400" s="24" t="s">
        <v>288</v>
      </c>
      <c r="K400" s="24" t="s">
        <v>288</v>
      </c>
      <c r="L400" s="56">
        <f t="shared" si="26"/>
        <v>10038.200000000001</v>
      </c>
      <c r="M400" s="8"/>
      <c r="N400" s="265"/>
    </row>
    <row r="401" spans="1:21" s="3" customFormat="1" ht="12.2" customHeight="1" thickBot="1" x14ac:dyDescent="0.2">
      <c r="A401" s="79" t="s">
        <v>510</v>
      </c>
      <c r="B401" s="2" t="s">
        <v>381</v>
      </c>
      <c r="C401" s="6">
        <v>13</v>
      </c>
      <c r="D401" s="2" t="s">
        <v>432</v>
      </c>
      <c r="E401" s="6"/>
      <c r="F401" s="18"/>
      <c r="G401" s="18">
        <f>20000</f>
        <v>20000</v>
      </c>
      <c r="H401" s="18">
        <f>26.77+61.87+26.25+21.09</f>
        <v>135.97999999999999</v>
      </c>
      <c r="I401" s="18"/>
      <c r="J401" s="24" t="s">
        <v>288</v>
      </c>
      <c r="K401" s="24" t="s">
        <v>288</v>
      </c>
      <c r="L401" s="56">
        <f t="shared" si="26"/>
        <v>20135.98</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284000</v>
      </c>
      <c r="H402" s="47">
        <f>SUM(H396:H401)</f>
        <v>514.65</v>
      </c>
      <c r="I402" s="47">
        <f>SUM(I396:I401)</f>
        <v>0</v>
      </c>
      <c r="J402" s="45" t="s">
        <v>288</v>
      </c>
      <c r="K402" s="45" t="s">
        <v>288</v>
      </c>
      <c r="L402" s="47">
        <f>SUM(L396:L401)</f>
        <v>284514.65000000002</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284000</v>
      </c>
      <c r="H409" s="47">
        <f>H394+H402+H408</f>
        <v>514.65</v>
      </c>
      <c r="I409" s="47">
        <f>I394+I402+I408</f>
        <v>0</v>
      </c>
      <c r="J409" s="24" t="s">
        <v>288</v>
      </c>
      <c r="K409" s="24" t="s">
        <v>288</v>
      </c>
      <c r="L409" s="47">
        <f>L394+L402+L408</f>
        <v>284514.65000000002</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f>3905</f>
        <v>3905</v>
      </c>
      <c r="I423" s="18"/>
      <c r="J423" s="18"/>
      <c r="K423" s="18"/>
      <c r="L423" s="56">
        <f t="shared" si="29"/>
        <v>3905</v>
      </c>
      <c r="M423" s="8"/>
      <c r="N423" s="265"/>
    </row>
    <row r="424" spans="1:21" s="3" customFormat="1" ht="12.2" customHeight="1" x14ac:dyDescent="0.15">
      <c r="A424" s="79" t="s">
        <v>515</v>
      </c>
      <c r="B424" s="6">
        <v>17</v>
      </c>
      <c r="C424" s="6">
        <v>10</v>
      </c>
      <c r="D424" s="2" t="s">
        <v>432</v>
      </c>
      <c r="E424" s="6"/>
      <c r="F424" s="18"/>
      <c r="G424" s="18"/>
      <c r="H424" s="18">
        <v>150000</v>
      </c>
      <c r="I424" s="18"/>
      <c r="J424" s="18"/>
      <c r="K424" s="18"/>
      <c r="L424" s="56">
        <f t="shared" si="29"/>
        <v>150000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v>1500</v>
      </c>
      <c r="L427" s="56">
        <f t="shared" si="29"/>
        <v>1500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153905</v>
      </c>
      <c r="I428" s="47">
        <f t="shared" si="30"/>
        <v>0</v>
      </c>
      <c r="J428" s="47">
        <f t="shared" si="30"/>
        <v>0</v>
      </c>
      <c r="K428" s="47">
        <f t="shared" si="30"/>
        <v>1500</v>
      </c>
      <c r="L428" s="47">
        <f t="shared" si="30"/>
        <v>155405</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153905</v>
      </c>
      <c r="I435" s="47">
        <f t="shared" si="32"/>
        <v>0</v>
      </c>
      <c r="J435" s="47">
        <f t="shared" si="32"/>
        <v>0</v>
      </c>
      <c r="K435" s="47">
        <f t="shared" si="32"/>
        <v>1500</v>
      </c>
      <c r="L435" s="47">
        <f t="shared" si="32"/>
        <v>155405</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f>44153.17</f>
        <v>44153.17</v>
      </c>
      <c r="G440" s="18">
        <v>380802.97</v>
      </c>
      <c r="H440" s="18"/>
      <c r="I440" s="56">
        <f t="shared" ref="I440:I446" si="33">SUM(F440:H440)</f>
        <v>424956.13999999996</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44153.17</v>
      </c>
      <c r="G447" s="13">
        <f>SUM(G440:G446)</f>
        <v>380802.97</v>
      </c>
      <c r="H447" s="13">
        <f>SUM(H440:H446)</f>
        <v>0</v>
      </c>
      <c r="I447" s="13">
        <f>SUM(I440:I446)</f>
        <v>424956.13999999996</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44153.17</v>
      </c>
      <c r="G460" s="18">
        <v>380802.97</v>
      </c>
      <c r="H460" s="18"/>
      <c r="I460" s="56">
        <f t="shared" si="34"/>
        <v>424956.13999999996</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44153.17</v>
      </c>
      <c r="G461" s="83">
        <f>SUM(G455:G460)</f>
        <v>380802.97</v>
      </c>
      <c r="H461" s="83">
        <f>SUM(H455:H460)</f>
        <v>0</v>
      </c>
      <c r="I461" s="83">
        <f>SUM(I455:I460)</f>
        <v>424956.13999999996</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44153.17</v>
      </c>
      <c r="G462" s="42">
        <f>G453+G461</f>
        <v>380802.97</v>
      </c>
      <c r="H462" s="42">
        <f>H453+H461</f>
        <v>0</v>
      </c>
      <c r="I462" s="42">
        <f>I453+I461</f>
        <v>424956.13999999996</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1030729</v>
      </c>
      <c r="G466" s="18">
        <v>3560.34</v>
      </c>
      <c r="H466" s="18">
        <v>41122.82</v>
      </c>
      <c r="I466" s="18">
        <v>35686.230000000003</v>
      </c>
      <c r="J466" s="18">
        <v>295846.49</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8373020.9500000002</v>
      </c>
      <c r="G469" s="18">
        <f>G194</f>
        <v>220304.28</v>
      </c>
      <c r="H469" s="18">
        <f>H194</f>
        <v>295743.78999999998</v>
      </c>
      <c r="I469" s="18"/>
      <c r="J469" s="18">
        <f>J194</f>
        <v>284514.65000000002</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8373020.9500000002</v>
      </c>
      <c r="G471" s="53">
        <f>SUM(G469:G470)</f>
        <v>220304.28</v>
      </c>
      <c r="H471" s="53">
        <f>SUM(H469:H470)</f>
        <v>295743.78999999998</v>
      </c>
      <c r="I471" s="53">
        <f>SUM(I469:I470)</f>
        <v>0</v>
      </c>
      <c r="J471" s="53">
        <f>SUM(J469:J470)</f>
        <v>284514.65000000002</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7936683.5399999991</v>
      </c>
      <c r="G473" s="18">
        <f>L363</f>
        <v>220304.28000000003</v>
      </c>
      <c r="H473" s="18">
        <f>L353</f>
        <v>295743.79000000004</v>
      </c>
      <c r="I473" s="18"/>
      <c r="J473" s="18">
        <f>L435</f>
        <v>155405</v>
      </c>
      <c r="K473" s="24" t="s">
        <v>288</v>
      </c>
      <c r="L473" s="24" t="s">
        <v>288</v>
      </c>
      <c r="N473" s="264"/>
    </row>
    <row r="474" spans="1:14" s="52" customFormat="1" ht="12.2" customHeight="1" x14ac:dyDescent="0.2">
      <c r="A474" s="93" t="s">
        <v>613</v>
      </c>
      <c r="B474" s="75">
        <v>19</v>
      </c>
      <c r="C474" s="80">
        <v>6</v>
      </c>
      <c r="D474" s="2" t="s">
        <v>432</v>
      </c>
      <c r="E474" s="80"/>
      <c r="F474" s="18"/>
      <c r="G474" s="18"/>
      <c r="H474" s="18">
        <v>32394.17</v>
      </c>
      <c r="I474" s="18">
        <v>35686.230000000003</v>
      </c>
      <c r="J474" s="18"/>
      <c r="K474" s="24" t="s">
        <v>288</v>
      </c>
      <c r="L474" s="24" t="s">
        <v>288</v>
      </c>
      <c r="N474" s="264"/>
    </row>
    <row r="475" spans="1:14" s="52" customFormat="1" ht="12.2" customHeight="1" x14ac:dyDescent="0.2">
      <c r="A475" s="92" t="s">
        <v>426</v>
      </c>
      <c r="B475" s="75">
        <v>19</v>
      </c>
      <c r="C475" s="80">
        <v>7</v>
      </c>
      <c r="D475" s="2" t="s">
        <v>432</v>
      </c>
      <c r="E475" s="80"/>
      <c r="F475" s="53">
        <f>SUM(F473:F474)</f>
        <v>7936683.5399999991</v>
      </c>
      <c r="G475" s="53">
        <f>SUM(G473:G474)</f>
        <v>220304.28000000003</v>
      </c>
      <c r="H475" s="53">
        <f>SUM(H473:H474)</f>
        <v>328137.96000000002</v>
      </c>
      <c r="I475" s="53">
        <f>SUM(I473:I474)</f>
        <v>35686.230000000003</v>
      </c>
      <c r="J475" s="53">
        <f>SUM(J473:J474)</f>
        <v>155405</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1467066.4100000001</v>
      </c>
      <c r="G477" s="53">
        <f>(G466+G471)- G475</f>
        <v>3560.3399999999674</v>
      </c>
      <c r="H477" s="53">
        <f>(H466+H471)- H475</f>
        <v>8728.6499999999651</v>
      </c>
      <c r="I477" s="53">
        <f>(I466+I471)- I475</f>
        <v>0</v>
      </c>
      <c r="J477" s="53">
        <f>(J466+J471)- J475</f>
        <v>424956.14</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t="s">
        <v>1806</v>
      </c>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5</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361500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1.49E-2</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0</v>
      </c>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0</v>
      </c>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f>361500-76500-75000</f>
        <v>210000</v>
      </c>
      <c r="G499" s="203"/>
      <c r="H499" s="203"/>
      <c r="I499" s="203"/>
      <c r="J499" s="203"/>
      <c r="K499" s="204">
        <f t="shared" si="35"/>
        <v>210000</v>
      </c>
      <c r="L499" s="205" t="s">
        <v>288</v>
      </c>
      <c r="N499" s="264"/>
    </row>
    <row r="500" spans="1:14" s="52" customFormat="1" ht="12.2" customHeight="1" thickBot="1" x14ac:dyDescent="0.25">
      <c r="A500" s="22" t="s">
        <v>623</v>
      </c>
      <c r="B500" s="75">
        <v>20</v>
      </c>
      <c r="C500" s="115">
        <v>10</v>
      </c>
      <c r="D500" s="2" t="s">
        <v>432</v>
      </c>
      <c r="E500" s="115"/>
      <c r="F500" s="18">
        <f>56183.94-11010.69-9218.25-7267.5-7267.5-5355</f>
        <v>16065</v>
      </c>
      <c r="G500" s="18"/>
      <c r="H500" s="18"/>
      <c r="I500" s="18"/>
      <c r="J500" s="18"/>
      <c r="K500" s="53">
        <f t="shared" si="35"/>
        <v>16065</v>
      </c>
      <c r="L500" s="24" t="s">
        <v>288</v>
      </c>
      <c r="N500" s="264"/>
    </row>
    <row r="501" spans="1:14" s="52" customFormat="1" ht="12.2" customHeight="1" thickTop="1" x14ac:dyDescent="0.2">
      <c r="A501" s="139" t="s">
        <v>624</v>
      </c>
      <c r="B501" s="44">
        <v>20</v>
      </c>
      <c r="C501" s="194">
        <v>11</v>
      </c>
      <c r="D501" s="39" t="s">
        <v>432</v>
      </c>
      <c r="E501" s="194"/>
      <c r="F501" s="42">
        <f>SUM(F499:F500)</f>
        <v>226065</v>
      </c>
      <c r="G501" s="42">
        <f>SUM(G499:G500)</f>
        <v>0</v>
      </c>
      <c r="H501" s="42">
        <f>SUM(H499:H500)</f>
        <v>0</v>
      </c>
      <c r="I501" s="42">
        <f>SUM(I499:I500)</f>
        <v>0</v>
      </c>
      <c r="J501" s="42">
        <f>SUM(J499:J500)</f>
        <v>0</v>
      </c>
      <c r="K501" s="42">
        <f t="shared" si="35"/>
        <v>226065</v>
      </c>
      <c r="L501" s="45" t="s">
        <v>288</v>
      </c>
      <c r="N501" s="264"/>
    </row>
    <row r="502" spans="1:14" s="52" customFormat="1" ht="12.2" customHeight="1" x14ac:dyDescent="0.2">
      <c r="A502" s="199" t="s">
        <v>651</v>
      </c>
      <c r="B502" s="200">
        <v>20</v>
      </c>
      <c r="C502" s="201">
        <v>12</v>
      </c>
      <c r="D502" s="202" t="s">
        <v>432</v>
      </c>
      <c r="E502" s="201"/>
      <c r="F502" s="203">
        <v>70000</v>
      </c>
      <c r="G502" s="203"/>
      <c r="H502" s="203"/>
      <c r="I502" s="203"/>
      <c r="J502" s="203"/>
      <c r="K502" s="204">
        <f t="shared" si="35"/>
        <v>70000</v>
      </c>
      <c r="L502" s="205" t="s">
        <v>288</v>
      </c>
      <c r="N502" s="264"/>
    </row>
    <row r="503" spans="1:14" s="52" customFormat="1" ht="12.2" customHeight="1" thickBot="1" x14ac:dyDescent="0.25">
      <c r="A503" s="22" t="s">
        <v>625</v>
      </c>
      <c r="B503" s="75">
        <v>20</v>
      </c>
      <c r="C503" s="115">
        <v>13</v>
      </c>
      <c r="D503" s="2" t="s">
        <v>432</v>
      </c>
      <c r="E503" s="115"/>
      <c r="F503" s="18">
        <f>5355+3570</f>
        <v>8925</v>
      </c>
      <c r="G503" s="18"/>
      <c r="H503" s="18"/>
      <c r="I503" s="18"/>
      <c r="J503" s="18"/>
      <c r="K503" s="53">
        <f t="shared" si="35"/>
        <v>8925</v>
      </c>
      <c r="L503" s="24" t="s">
        <v>288</v>
      </c>
      <c r="N503" s="264"/>
    </row>
    <row r="504" spans="1:14" s="52" customFormat="1" ht="12.2" customHeight="1" thickTop="1" x14ac:dyDescent="0.2">
      <c r="A504" s="139" t="s">
        <v>626</v>
      </c>
      <c r="B504" s="44">
        <v>20</v>
      </c>
      <c r="C504" s="194">
        <v>14</v>
      </c>
      <c r="D504" s="39" t="s">
        <v>432</v>
      </c>
      <c r="E504" s="194"/>
      <c r="F504" s="42">
        <f>SUM(F502:F503)</f>
        <v>78925</v>
      </c>
      <c r="G504" s="42">
        <f>SUM(G502:G503)</f>
        <v>0</v>
      </c>
      <c r="H504" s="42">
        <f>SUM(H502:H503)</f>
        <v>0</v>
      </c>
      <c r="I504" s="42">
        <f>SUM(I502:I503)</f>
        <v>0</v>
      </c>
      <c r="J504" s="42">
        <f>SUM(J502:J503)</f>
        <v>0</v>
      </c>
      <c r="K504" s="42">
        <f t="shared" si="35"/>
        <v>78925</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308106.36</f>
        <v>308106.36</v>
      </c>
      <c r="G522" s="18">
        <f>165851.55</f>
        <v>165851.54999999999</v>
      </c>
      <c r="H522" s="18">
        <f>228739.07</f>
        <v>228739.07</v>
      </c>
      <c r="I522" s="18">
        <f>2070.28</f>
        <v>2070.2800000000002</v>
      </c>
      <c r="J522" s="18">
        <f>324.39</f>
        <v>324.39</v>
      </c>
      <c r="K522" s="18">
        <f>185</f>
        <v>185</v>
      </c>
      <c r="L522" s="88">
        <f>SUM(F522:K522)</f>
        <v>705276.65</v>
      </c>
      <c r="N522" s="264"/>
    </row>
    <row r="523" spans="1:14" s="52" customFormat="1" ht="12.2" customHeight="1" x14ac:dyDescent="0.2">
      <c r="A523" s="22" t="s">
        <v>634</v>
      </c>
      <c r="B523" s="105">
        <v>21</v>
      </c>
      <c r="C523" s="115">
        <v>2</v>
      </c>
      <c r="D523" s="2" t="s">
        <v>432</v>
      </c>
      <c r="E523" s="115"/>
      <c r="F523" s="18">
        <f>135918.05</f>
        <v>135918.04999999999</v>
      </c>
      <c r="G523" s="18">
        <f>93967.33</f>
        <v>93967.33</v>
      </c>
      <c r="H523" s="18"/>
      <c r="I523" s="18"/>
      <c r="J523" s="18"/>
      <c r="K523" s="18"/>
      <c r="L523" s="88">
        <f>SUM(F523:K523)</f>
        <v>229885.38</v>
      </c>
      <c r="N523" s="264"/>
    </row>
    <row r="524" spans="1:14" s="52" customFormat="1" ht="12.2" customHeight="1" thickBot="1" x14ac:dyDescent="0.25">
      <c r="A524" s="22" t="s">
        <v>635</v>
      </c>
      <c r="B524" s="105">
        <v>21</v>
      </c>
      <c r="C524" s="115">
        <v>3</v>
      </c>
      <c r="D524" s="2" t="s">
        <v>432</v>
      </c>
      <c r="E524" s="115"/>
      <c r="F524" s="18">
        <f>49456.57</f>
        <v>49456.57</v>
      </c>
      <c r="G524" s="18">
        <f>13978.77</f>
        <v>13978.77</v>
      </c>
      <c r="H524" s="18">
        <f>19544.74</f>
        <v>19544.740000000002</v>
      </c>
      <c r="I524" s="18">
        <f>437.79</f>
        <v>437.79</v>
      </c>
      <c r="J524" s="18">
        <f>1105.99</f>
        <v>1105.99</v>
      </c>
      <c r="K524" s="18"/>
      <c r="L524" s="88">
        <f>SUM(F524:K524)</f>
        <v>84523.86</v>
      </c>
      <c r="N524" s="264"/>
    </row>
    <row r="525" spans="1:14" s="52" customFormat="1" ht="12.2" customHeight="1" thickTop="1" x14ac:dyDescent="0.2">
      <c r="A525" s="139" t="s">
        <v>63</v>
      </c>
      <c r="B525" s="107">
        <v>21</v>
      </c>
      <c r="C525" s="194">
        <v>4</v>
      </c>
      <c r="D525" s="195" t="s">
        <v>432</v>
      </c>
      <c r="E525" s="194"/>
      <c r="F525" s="108">
        <f>SUM(F522:F524)</f>
        <v>493480.98</v>
      </c>
      <c r="G525" s="108">
        <f t="shared" ref="G525:L525" si="36">SUM(G522:G524)</f>
        <v>273797.65000000002</v>
      </c>
      <c r="H525" s="108">
        <f t="shared" si="36"/>
        <v>248283.81</v>
      </c>
      <c r="I525" s="108">
        <f t="shared" si="36"/>
        <v>2508.0700000000002</v>
      </c>
      <c r="J525" s="108">
        <f t="shared" si="36"/>
        <v>1430.38</v>
      </c>
      <c r="K525" s="108">
        <f t="shared" si="36"/>
        <v>185</v>
      </c>
      <c r="L525" s="89">
        <f t="shared" si="36"/>
        <v>1019685.89</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f>198785.53</f>
        <v>198785.53</v>
      </c>
      <c r="I527" s="18"/>
      <c r="J527" s="18"/>
      <c r="K527" s="18"/>
      <c r="L527" s="88">
        <f>SUM(F527:K527)</f>
        <v>198785.53</v>
      </c>
      <c r="M527" s="8"/>
      <c r="N527" s="265"/>
    </row>
    <row r="528" spans="1:14" s="3" customFormat="1" ht="12.2" customHeight="1" x14ac:dyDescent="0.15">
      <c r="A528" s="22" t="s">
        <v>634</v>
      </c>
      <c r="B528" s="105">
        <v>21</v>
      </c>
      <c r="C528" s="115">
        <v>6</v>
      </c>
      <c r="D528" s="2" t="s">
        <v>432</v>
      </c>
      <c r="E528" s="115"/>
      <c r="F528" s="18"/>
      <c r="G528" s="18"/>
      <c r="H528" s="18">
        <f>33614.5</f>
        <v>33614.5</v>
      </c>
      <c r="I528" s="18"/>
      <c r="J528" s="18"/>
      <c r="K528" s="18"/>
      <c r="L528" s="88">
        <f>SUM(F528:K528)</f>
        <v>33614.5</v>
      </c>
      <c r="M528" s="8"/>
      <c r="N528" s="265"/>
    </row>
    <row r="529" spans="1:14" s="3" customFormat="1" ht="12.2" customHeight="1" thickBot="1" x14ac:dyDescent="0.2">
      <c r="A529" s="22" t="s">
        <v>635</v>
      </c>
      <c r="B529" s="118">
        <v>21</v>
      </c>
      <c r="C529" s="118">
        <v>7</v>
      </c>
      <c r="D529" s="2" t="s">
        <v>432</v>
      </c>
      <c r="E529" s="118"/>
      <c r="F529" s="18"/>
      <c r="G529" s="18"/>
      <c r="H529" s="18">
        <v>41963</v>
      </c>
      <c r="I529" s="18"/>
      <c r="J529" s="18"/>
      <c r="K529" s="18"/>
      <c r="L529" s="88">
        <f>SUM(F529:K529)</f>
        <v>41963</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274363.03000000003</v>
      </c>
      <c r="I530" s="89">
        <f t="shared" si="37"/>
        <v>0</v>
      </c>
      <c r="J530" s="89">
        <f t="shared" si="37"/>
        <v>0</v>
      </c>
      <c r="K530" s="89">
        <f t="shared" si="37"/>
        <v>0</v>
      </c>
      <c r="L530" s="89">
        <f t="shared" si="37"/>
        <v>274363.03000000003</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f>24702.5</f>
        <v>24702.5</v>
      </c>
      <c r="G532" s="18">
        <f>11116.13</f>
        <v>11116.13</v>
      </c>
      <c r="H532" s="18"/>
      <c r="I532" s="18"/>
      <c r="J532" s="18"/>
      <c r="K532" s="18"/>
      <c r="L532" s="88">
        <f>SUM(F532:K532)</f>
        <v>35818.629999999997</v>
      </c>
      <c r="M532" s="8"/>
      <c r="N532" s="265"/>
    </row>
    <row r="533" spans="1:14" s="3" customFormat="1" ht="12.2" customHeight="1" x14ac:dyDescent="0.15">
      <c r="A533" s="22" t="s">
        <v>634</v>
      </c>
      <c r="B533" s="105">
        <v>21</v>
      </c>
      <c r="C533" s="105">
        <v>10</v>
      </c>
      <c r="D533" s="2" t="s">
        <v>432</v>
      </c>
      <c r="E533" s="105"/>
      <c r="F533" s="18">
        <f>15332.59</f>
        <v>15332.59</v>
      </c>
      <c r="G533" s="18">
        <f>6899.66</f>
        <v>6899.66</v>
      </c>
      <c r="H533" s="18"/>
      <c r="I533" s="18"/>
      <c r="J533" s="18"/>
      <c r="K533" s="18"/>
      <c r="L533" s="88">
        <f>SUM(F533:K533)</f>
        <v>22232.25</v>
      </c>
      <c r="M533" s="8"/>
      <c r="N533" s="265"/>
    </row>
    <row r="534" spans="1:14" s="3" customFormat="1" ht="12.2" customHeight="1" thickBot="1" x14ac:dyDescent="0.2">
      <c r="A534" s="22" t="s">
        <v>635</v>
      </c>
      <c r="B534" s="105">
        <v>21</v>
      </c>
      <c r="C534" s="105">
        <v>11</v>
      </c>
      <c r="D534" s="2" t="s">
        <v>432</v>
      </c>
      <c r="E534" s="105"/>
      <c r="F534" s="18">
        <v>9369.91</v>
      </c>
      <c r="G534" s="18">
        <f>4216.46</f>
        <v>4216.46</v>
      </c>
      <c r="H534" s="18"/>
      <c r="I534" s="18"/>
      <c r="J534" s="18"/>
      <c r="K534" s="18"/>
      <c r="L534" s="88">
        <f>SUM(F534:K534)</f>
        <v>13586.369999999999</v>
      </c>
      <c r="M534" s="8"/>
      <c r="N534" s="265"/>
    </row>
    <row r="535" spans="1:14" s="3" customFormat="1" ht="12.2" customHeight="1" thickTop="1" x14ac:dyDescent="0.15">
      <c r="A535" s="139" t="s">
        <v>67</v>
      </c>
      <c r="B535" s="107">
        <v>21</v>
      </c>
      <c r="C535" s="107">
        <v>12</v>
      </c>
      <c r="D535" s="158" t="s">
        <v>432</v>
      </c>
      <c r="E535" s="107"/>
      <c r="F535" s="89">
        <f>SUM(F532:F534)</f>
        <v>49405</v>
      </c>
      <c r="G535" s="89">
        <f t="shared" ref="G535:L535" si="38">SUM(G532:G534)</f>
        <v>22232.25</v>
      </c>
      <c r="H535" s="89">
        <f t="shared" si="38"/>
        <v>0</v>
      </c>
      <c r="I535" s="89">
        <f t="shared" si="38"/>
        <v>0</v>
      </c>
      <c r="J535" s="89">
        <f t="shared" si="38"/>
        <v>0</v>
      </c>
      <c r="K535" s="89">
        <f t="shared" si="38"/>
        <v>0</v>
      </c>
      <c r="L535" s="89">
        <f t="shared" si="38"/>
        <v>71637.25</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542885.98</v>
      </c>
      <c r="G546" s="89">
        <f t="shared" ref="G546:L546" si="41">G525+G530+G535+G540+G545</f>
        <v>296029.90000000002</v>
      </c>
      <c r="H546" s="89">
        <f t="shared" si="41"/>
        <v>522646.84</v>
      </c>
      <c r="I546" s="89">
        <f t="shared" si="41"/>
        <v>2508.0700000000002</v>
      </c>
      <c r="J546" s="89">
        <f t="shared" si="41"/>
        <v>1430.38</v>
      </c>
      <c r="K546" s="89">
        <f t="shared" si="41"/>
        <v>185</v>
      </c>
      <c r="L546" s="89">
        <f t="shared" si="41"/>
        <v>1365686.17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705276.65</v>
      </c>
      <c r="G550" s="87">
        <f>L527</f>
        <v>198785.53</v>
      </c>
      <c r="H550" s="87">
        <f>L532</f>
        <v>35818.629999999997</v>
      </c>
      <c r="I550" s="87">
        <f>L537</f>
        <v>0</v>
      </c>
      <c r="J550" s="87">
        <f>L542</f>
        <v>0</v>
      </c>
      <c r="K550" s="87">
        <f>SUM(F550:J550)</f>
        <v>939880.81</v>
      </c>
      <c r="L550" s="24" t="s">
        <v>288</v>
      </c>
      <c r="M550" s="8"/>
      <c r="N550" s="265"/>
    </row>
    <row r="551" spans="1:14" s="3" customFormat="1" ht="12.2" customHeight="1" x14ac:dyDescent="0.15">
      <c r="A551" s="22" t="s">
        <v>634</v>
      </c>
      <c r="B551" s="75">
        <v>21</v>
      </c>
      <c r="C551" s="75">
        <v>23</v>
      </c>
      <c r="D551" s="2" t="s">
        <v>432</v>
      </c>
      <c r="E551" s="75"/>
      <c r="F551" s="87">
        <f>L523</f>
        <v>229885.38</v>
      </c>
      <c r="G551" s="87">
        <f>L528</f>
        <v>33614.5</v>
      </c>
      <c r="H551" s="87">
        <f>L533</f>
        <v>22232.25</v>
      </c>
      <c r="I551" s="87">
        <f>L538</f>
        <v>0</v>
      </c>
      <c r="J551" s="87">
        <f>L543</f>
        <v>0</v>
      </c>
      <c r="K551" s="87">
        <f>SUM(F551:J551)</f>
        <v>285732.13</v>
      </c>
      <c r="L551" s="24" t="s">
        <v>288</v>
      </c>
      <c r="M551" s="8"/>
      <c r="N551" s="265"/>
    </row>
    <row r="552" spans="1:14" s="3" customFormat="1" ht="12.2" customHeight="1" thickBot="1" x14ac:dyDescent="0.2">
      <c r="A552" s="22" t="s">
        <v>635</v>
      </c>
      <c r="B552" s="75">
        <v>21</v>
      </c>
      <c r="C552" s="75">
        <v>24</v>
      </c>
      <c r="D552" s="2" t="s">
        <v>432</v>
      </c>
      <c r="E552" s="75"/>
      <c r="F552" s="87">
        <f>L524</f>
        <v>84523.86</v>
      </c>
      <c r="G552" s="87">
        <f>L529</f>
        <v>41963</v>
      </c>
      <c r="H552" s="87">
        <f>L534</f>
        <v>13586.369999999999</v>
      </c>
      <c r="I552" s="87">
        <f>L539</f>
        <v>0</v>
      </c>
      <c r="J552" s="87">
        <f>L544</f>
        <v>0</v>
      </c>
      <c r="K552" s="87">
        <f>SUM(F552:J552)</f>
        <v>140073.23000000001</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1019685.89</v>
      </c>
      <c r="G553" s="89">
        <f t="shared" si="42"/>
        <v>274363.03000000003</v>
      </c>
      <c r="H553" s="89">
        <f t="shared" si="42"/>
        <v>71637.25</v>
      </c>
      <c r="I553" s="89">
        <f t="shared" si="42"/>
        <v>0</v>
      </c>
      <c r="J553" s="89">
        <f t="shared" si="42"/>
        <v>0</v>
      </c>
      <c r="K553" s="89">
        <f t="shared" si="42"/>
        <v>1365686.17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f>-41025+150000</f>
        <v>108975</v>
      </c>
      <c r="I583" s="87">
        <f t="shared" si="47"/>
        <v>108975</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f>56753.28</f>
        <v>56753.279999999999</v>
      </c>
      <c r="I584" s="87">
        <f t="shared" si="47"/>
        <v>56753.279999999999</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4202.46</v>
      </c>
      <c r="I585" s="87">
        <f t="shared" si="47"/>
        <v>4202.46</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48759.67</f>
        <v>48759.67</v>
      </c>
      <c r="I592" s="18">
        <f>29336.09</f>
        <v>29336.09</v>
      </c>
      <c r="J592" s="18">
        <f>30217.2</f>
        <v>30217.200000000001</v>
      </c>
      <c r="K592" s="104">
        <f t="shared" ref="K592:K598" si="48">SUM(H592:J592)</f>
        <v>108312.95999999999</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52514.46</v>
      </c>
      <c r="K594" s="104">
        <f t="shared" si="48"/>
        <v>52514.46</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f>5032.36</f>
        <v>5032.3599999999997</v>
      </c>
      <c r="J595" s="18">
        <f>13157.14</f>
        <v>13157.14</v>
      </c>
      <c r="K595" s="104">
        <f t="shared" si="48"/>
        <v>18189.5</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f>3015.02</f>
        <v>3015.02</v>
      </c>
      <c r="I596" s="18">
        <f>4951.51</f>
        <v>4951.51</v>
      </c>
      <c r="J596" s="18">
        <v>1275.21</v>
      </c>
      <c r="K596" s="104">
        <f t="shared" si="48"/>
        <v>9241.7400000000016</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51774.689999999995</v>
      </c>
      <c r="I599" s="108">
        <f>SUM(I592:I598)</f>
        <v>39319.96</v>
      </c>
      <c r="J599" s="108">
        <f>SUM(J592:J598)</f>
        <v>97164.010000000009</v>
      </c>
      <c r="K599" s="108">
        <f>SUM(K592:K598)</f>
        <v>188258.65999999997</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2176.93+9582.07+664.67+206.39+1028.13+324.39</f>
        <v>13982.579999999998</v>
      </c>
      <c r="I605" s="18">
        <f>8020.88+5188.9+1393.95+120+1507.89</f>
        <v>16231.619999999999</v>
      </c>
      <c r="J605" s="18">
        <f>36134.9+8761.29+1412.78+153.6+1860.71+1105.99</f>
        <v>49429.27</v>
      </c>
      <c r="K605" s="104">
        <f>SUM(H605:J605)</f>
        <v>79643.47</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13982.579999999998</v>
      </c>
      <c r="I606" s="108">
        <f>SUM(I603:I605)</f>
        <v>16231.619999999999</v>
      </c>
      <c r="J606" s="108">
        <f>SUM(J603:J605)</f>
        <v>49429.27</v>
      </c>
      <c r="K606" s="108">
        <f>SUM(K603:K605)</f>
        <v>79643.47</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f>2880</f>
        <v>2880</v>
      </c>
      <c r="G613" s="18">
        <f>215.97+605.38</f>
        <v>821.35</v>
      </c>
      <c r="H613" s="18"/>
      <c r="I613" s="18"/>
      <c r="J613" s="18"/>
      <c r="K613" s="18"/>
      <c r="L613" s="88">
        <f>SUM(F613:K613)</f>
        <v>3701.35</v>
      </c>
      <c r="M613" s="8"/>
      <c r="N613" s="265"/>
    </row>
    <row r="614" spans="1:14" s="3" customFormat="1" ht="12.2" customHeight="1" thickBot="1" x14ac:dyDescent="0.2">
      <c r="A614" s="22" t="s">
        <v>645</v>
      </c>
      <c r="B614" s="75">
        <v>23</v>
      </c>
      <c r="C614" s="75">
        <v>15</v>
      </c>
      <c r="D614" s="2" t="s">
        <v>432</v>
      </c>
      <c r="E614" s="75"/>
      <c r="F614" s="18">
        <v>7600</v>
      </c>
      <c r="G614" s="18">
        <f>567.18+1597.52</f>
        <v>2164.6999999999998</v>
      </c>
      <c r="H614" s="18">
        <f>475.2</f>
        <v>475.2</v>
      </c>
      <c r="I614" s="18"/>
      <c r="J614" s="18"/>
      <c r="K614" s="18"/>
      <c r="L614" s="88">
        <f>SUM(F614:K614)</f>
        <v>10239.900000000001</v>
      </c>
      <c r="M614" s="8"/>
      <c r="N614" s="265"/>
    </row>
    <row r="615" spans="1:14" s="3" customFormat="1" ht="12.2" customHeight="1" thickTop="1" x14ac:dyDescent="0.15">
      <c r="A615" s="98" t="s">
        <v>340</v>
      </c>
      <c r="B615" s="107">
        <v>23</v>
      </c>
      <c r="C615" s="107">
        <v>16</v>
      </c>
      <c r="D615" s="39" t="s">
        <v>432</v>
      </c>
      <c r="E615" s="107"/>
      <c r="F615" s="108">
        <f t="shared" ref="F615:L615" si="49">SUM(F612:F614)</f>
        <v>10480</v>
      </c>
      <c r="G615" s="108">
        <f t="shared" si="49"/>
        <v>2986.0499999999997</v>
      </c>
      <c r="H615" s="108">
        <f t="shared" si="49"/>
        <v>475.2</v>
      </c>
      <c r="I615" s="108">
        <f t="shared" si="49"/>
        <v>0</v>
      </c>
      <c r="J615" s="108">
        <f t="shared" si="49"/>
        <v>0</v>
      </c>
      <c r="K615" s="108">
        <f t="shared" si="49"/>
        <v>0</v>
      </c>
      <c r="L615" s="89">
        <f t="shared" si="49"/>
        <v>13941.250000000002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2938752.06</v>
      </c>
      <c r="H618" s="109">
        <f>SUM(F52)</f>
        <v>2938752.0600000005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50147.420000000006</v>
      </c>
      <c r="H619" s="109">
        <f>SUM(G52)</f>
        <v>50147.42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301270.28999999998</v>
      </c>
      <c r="H620" s="109">
        <f>SUM(H52)</f>
        <v>301270.29000000004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424956.13999999996</v>
      </c>
      <c r="H622" s="109">
        <f>SUM(J52)</f>
        <v>424956.13999999996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1467066.4100000001</v>
      </c>
      <c r="H623" s="109">
        <f>F477</f>
        <v>1467066.4100000001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3560.34</v>
      </c>
      <c r="H624" s="109">
        <f>G477</f>
        <v>3560.3399999999674</v>
      </c>
      <c r="I624" s="121" t="s">
        <v>102</v>
      </c>
      <c r="J624" s="109">
        <f t="shared" si="50"/>
        <v>3.2741809263825417E-11</v>
      </c>
      <c r="K624" s="109"/>
      <c r="L624" s="109"/>
      <c r="M624" s="8"/>
    </row>
    <row r="625" spans="1:13" s="3" customFormat="1" ht="12.2" customHeight="1" x14ac:dyDescent="0.15">
      <c r="A625" s="97"/>
      <c r="B625" s="105"/>
      <c r="C625" s="105"/>
      <c r="D625" s="105"/>
      <c r="E625" s="105"/>
      <c r="F625" s="120" t="s">
        <v>867</v>
      </c>
      <c r="G625" s="109">
        <f>H51</f>
        <v>8728.65</v>
      </c>
      <c r="H625" s="109">
        <f>H477</f>
        <v>8728.6499999999651</v>
      </c>
      <c r="I625" s="121" t="s">
        <v>103</v>
      </c>
      <c r="J625" s="109">
        <f t="shared" si="50"/>
        <v>3.4560798667371273E-11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424956.13999999996</v>
      </c>
      <c r="H627" s="109">
        <f>J477</f>
        <v>424956.14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8373020.9500000002</v>
      </c>
      <c r="H628" s="104">
        <f>SUM(F469)</f>
        <v>8373020.9500000002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220304.28</v>
      </c>
      <c r="H629" s="104">
        <f>SUM(G469)</f>
        <v>220304.28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295743.78999999998</v>
      </c>
      <c r="H630" s="104">
        <f>SUM(H469)</f>
        <v>295743.78999999998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284514.65000000002</v>
      </c>
      <c r="H632" s="104">
        <f>SUM(J469)</f>
        <v>284514.65000000002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7936683.5399999991</v>
      </c>
      <c r="H633" s="104">
        <f>SUM(F473)</f>
        <v>7936683.5399999991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295743.79000000004</v>
      </c>
      <c r="H634" s="104">
        <f>SUM(H473)</f>
        <v>295743.79000000004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58506</v>
      </c>
      <c r="H635" s="104">
        <f>I370</f>
        <v>58506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220304.28000000003</v>
      </c>
      <c r="H636" s="104">
        <f>SUM(G473)</f>
        <v>220304.28000000003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284514.65000000002</v>
      </c>
      <c r="H638" s="164">
        <f>SUM(J469)</f>
        <v>284514.65000000002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155405</v>
      </c>
      <c r="H639" s="164">
        <f>SUM(J473)</f>
        <v>155405</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44153.17</v>
      </c>
      <c r="H640" s="104">
        <f>SUM(F462)</f>
        <v>44153.17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380802.97</v>
      </c>
      <c r="H641" s="104">
        <f>SUM(G462)</f>
        <v>380802.97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424956.13999999996</v>
      </c>
      <c r="H643" s="104">
        <f>SUM(I462)</f>
        <v>424956.13999999996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514.65</v>
      </c>
      <c r="H645" s="104">
        <f>H409</f>
        <v>514.65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284000</v>
      </c>
      <c r="H646" s="104">
        <f>G409</f>
        <v>284000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284514.65000000002</v>
      </c>
      <c r="H647" s="104">
        <f>L409</f>
        <v>284514.65000000002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188258.65999999997</v>
      </c>
      <c r="H648" s="104">
        <f>L209+L227+L245</f>
        <v>188258.66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79643.47</v>
      </c>
      <c r="H649" s="104">
        <f>(J258+J339)-(J256+J337)</f>
        <v>79643.47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51774.689999999988</v>
      </c>
      <c r="H650" s="104">
        <f>H599</f>
        <v>51774.689999999995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39319.96</v>
      </c>
      <c r="H651" s="104">
        <f>I599</f>
        <v>39319.96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97164.010000000009</v>
      </c>
      <c r="H652" s="104">
        <f>J599</f>
        <v>97164.010000000009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6619.67</v>
      </c>
      <c r="H653" s="104">
        <f>K264+K346</f>
        <v>6619.67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284000</v>
      </c>
      <c r="H656" s="104">
        <f>K267+K348</f>
        <v>284000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3504490.4</v>
      </c>
      <c r="G661" s="19">
        <f>(L230+L310+L360)</f>
        <v>1874938.41</v>
      </c>
      <c r="H661" s="19">
        <f>(L248+L329+L361)</f>
        <v>2524476.9500000007</v>
      </c>
      <c r="I661" s="19">
        <f>SUM(F661:H661)</f>
        <v>7903905.7599999998</v>
      </c>
      <c r="J661" s="13"/>
      <c r="K661" s="13"/>
      <c r="L661" s="13"/>
      <c r="M661" s="9"/>
    </row>
    <row r="662" spans="1:13" s="3" customFormat="1" ht="12.2" customHeight="1" x14ac:dyDescent="0.2">
      <c r="A662" s="1" t="s">
        <v>127</v>
      </c>
      <c r="F662" s="19">
        <f>(L359/IF(SUM(L359:L361)=0,1,SUM(L359:L361))*(SUM(G97:G110)))</f>
        <v>4438.5778511593153</v>
      </c>
      <c r="G662" s="19">
        <f>(L360/IF(SUM(L359:L361)=0,1,SUM(L359:L361))*(SUM(G97:G110)))</f>
        <v>2601.1728136048923</v>
      </c>
      <c r="H662" s="19">
        <f>(L361/IF(SUM(L359:L361)=0,1,SUM(L359:L361))*(SUM(G97:G110)))</f>
        <v>3304.1293352357925</v>
      </c>
      <c r="I662" s="19">
        <f>SUM(F662:H662)</f>
        <v>10343.880000000001</v>
      </c>
      <c r="J662"/>
      <c r="K662" s="13"/>
      <c r="L662" s="13"/>
      <c r="M662" s="8"/>
    </row>
    <row r="663" spans="1:13" s="3" customFormat="1" ht="12.2" customHeight="1" x14ac:dyDescent="0.2">
      <c r="A663" s="1" t="s">
        <v>128</v>
      </c>
      <c r="F663" s="19">
        <f>(L209+L288)-(J209+J288)</f>
        <v>51774.689999999988</v>
      </c>
      <c r="G663" s="19">
        <f>(L227+L307)-(J227+J307)</f>
        <v>39319.96</v>
      </c>
      <c r="H663" s="19">
        <f>(L245+L326)-(J245+J326)</f>
        <v>97164.010000000009</v>
      </c>
      <c r="I663" s="19">
        <f>SUM(F663:H663)</f>
        <v>188258.66</v>
      </c>
      <c r="J663"/>
      <c r="K663" s="13"/>
      <c r="L663" s="13"/>
      <c r="M663" s="9"/>
    </row>
    <row r="664" spans="1:13" s="3" customFormat="1" ht="12.2" customHeight="1" x14ac:dyDescent="0.15">
      <c r="A664" s="197" t="s">
        <v>129</v>
      </c>
      <c r="B664" s="169"/>
      <c r="C664" s="169"/>
      <c r="D664" s="169"/>
      <c r="E664" s="169"/>
      <c r="F664" s="198">
        <f>SUM(F576:F588)+SUM(H603:H605)+SUM(L612)</f>
        <v>13982.579999999998</v>
      </c>
      <c r="G664" s="198">
        <f>SUM(G576:G588)+SUM(I603:I605)+L613</f>
        <v>19932.969999999998</v>
      </c>
      <c r="H664" s="198">
        <f>SUM(H576:H588)+SUM(J603:J605)+L614</f>
        <v>229599.90999999997</v>
      </c>
      <c r="I664" s="19">
        <f>SUM(F664:H664)</f>
        <v>263515.45999999996</v>
      </c>
      <c r="J664" s="13"/>
      <c r="K664" s="13"/>
      <c r="L664" s="13"/>
      <c r="M664" s="9"/>
    </row>
    <row r="665" spans="1:13" s="3" customFormat="1" ht="12.2" customHeight="1" x14ac:dyDescent="0.15">
      <c r="A665" s="1" t="s">
        <v>130</v>
      </c>
      <c r="F665" s="19">
        <f>F661-SUM(F662:F664)</f>
        <v>3434294.5521488404</v>
      </c>
      <c r="G665" s="19">
        <f>G661-SUM(G662:G664)</f>
        <v>1813084.3071863949</v>
      </c>
      <c r="H665" s="19">
        <f>H661-SUM(H662:H664)</f>
        <v>2194408.9006647649</v>
      </c>
      <c r="I665" s="19">
        <f>I661-SUM(I662:I664)</f>
        <v>7441787.7599999998</v>
      </c>
      <c r="J665" s="13"/>
      <c r="K665" s="13"/>
      <c r="L665" s="13"/>
      <c r="M665" s="8"/>
    </row>
    <row r="666" spans="1:13" s="3" customFormat="1" ht="12.2" customHeight="1" x14ac:dyDescent="0.2">
      <c r="A666" s="1" t="s">
        <v>131</v>
      </c>
      <c r="F666" s="245">
        <v>109.41</v>
      </c>
      <c r="G666" s="246">
        <v>61.24</v>
      </c>
      <c r="H666" s="246">
        <v>93.58</v>
      </c>
      <c r="I666" s="19">
        <f>SUM(F666:H666)</f>
        <v>264.23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31389.22</v>
      </c>
      <c r="G668" s="19">
        <f>ROUND(G665/G666,2)</f>
        <v>29606.21</v>
      </c>
      <c r="H668" s="19">
        <f>ROUND(H665/H666,2)</f>
        <v>23449.55</v>
      </c>
      <c r="I668" s="19">
        <f>ROUND(I665/I666,2)</f>
        <v>28164.05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-0.83</v>
      </c>
      <c r="I671" s="19">
        <f>SUM(F671:H671)</f>
        <v>-0.83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31389.22</v>
      </c>
      <c r="G673" s="19">
        <f>ROUND((G665+G670)/(G666+G671),2)</f>
        <v>29606.21</v>
      </c>
      <c r="H673" s="19">
        <f>ROUND((H665+H670)/(H666+H671),2)</f>
        <v>23659.4</v>
      </c>
      <c r="I673" s="19">
        <f>ROUND((I665+I670)/(I666+I671),2)</f>
        <v>28252.799999999999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13692.01</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518</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8777.28+4396.73</f>
        <v>13174.01</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14509.77</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I36"/>
  <sheetViews>
    <sheetView topLeftCell="A2"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Lincoln-Woodstock Cooperative</v>
      </c>
      <c r="C5" s="375"/>
      <c r="D5" s="375"/>
      <c r="E5" s="375"/>
      <c r="F5" s="375"/>
    </row>
    <row r="8" spans="1:9" ht="18" x14ac:dyDescent="0.25">
      <c r="A8" s="312" t="s">
        <v>1568</v>
      </c>
      <c r="F8" s="319" t="s">
        <v>1586</v>
      </c>
    </row>
    <row r="9" spans="1:9" ht="15" x14ac:dyDescent="0.2">
      <c r="A9" s="310" t="s">
        <v>1569</v>
      </c>
      <c r="B9" s="313">
        <f>'DOE25'!G97</f>
        <v>10343.880000000001</v>
      </c>
      <c r="F9" s="310" t="s">
        <v>1582</v>
      </c>
    </row>
    <row r="10" spans="1:9" ht="15" x14ac:dyDescent="0.2">
      <c r="A10" s="310" t="s">
        <v>1570</v>
      </c>
      <c r="B10" s="313">
        <f>'DOE25'!G112-'DOE25'!G97</f>
        <v>0</v>
      </c>
      <c r="F10" s="310" t="s">
        <v>1583</v>
      </c>
    </row>
    <row r="11" spans="1:9" ht="15" x14ac:dyDescent="0.2">
      <c r="A11" s="310" t="s">
        <v>1571</v>
      </c>
      <c r="B11" s="313">
        <f>'DOE25'!G140</f>
        <v>2590.2800000000002</v>
      </c>
      <c r="F11" s="310" t="s">
        <v>1584</v>
      </c>
    </row>
    <row r="12" spans="1:9" ht="15" x14ac:dyDescent="0.2">
      <c r="A12" s="310" t="s">
        <v>1572</v>
      </c>
      <c r="B12" s="313">
        <f>'DOE25'!G170</f>
        <v>200750.44999999998</v>
      </c>
      <c r="F12" s="310" t="s">
        <v>1585</v>
      </c>
    </row>
    <row r="13" spans="1:9" ht="15" x14ac:dyDescent="0.2">
      <c r="A13" s="310" t="s">
        <v>1573</v>
      </c>
      <c r="B13" s="313">
        <f>'DOE25'!G193-'DOE25'!G180</f>
        <v>0</v>
      </c>
      <c r="F13" s="310" t="s">
        <v>1595</v>
      </c>
    </row>
    <row r="14" spans="1:9" ht="18" x14ac:dyDescent="0.25">
      <c r="A14" s="312" t="s">
        <v>732</v>
      </c>
      <c r="B14" s="314">
        <f>SUM(B9:B13)</f>
        <v>213684.61</v>
      </c>
    </row>
    <row r="16" spans="1:9" ht="18" x14ac:dyDescent="0.25">
      <c r="A16" s="312" t="s">
        <v>786</v>
      </c>
      <c r="F16" s="319" t="s">
        <v>1587</v>
      </c>
    </row>
    <row r="17" spans="1:6" ht="15" x14ac:dyDescent="0.2">
      <c r="A17" s="310" t="s">
        <v>1574</v>
      </c>
      <c r="B17" s="313">
        <f>'DOE25'!L363-'DOE25'!L362</f>
        <v>220304.28000000003</v>
      </c>
      <c r="F17" s="310" t="s">
        <v>1588</v>
      </c>
    </row>
    <row r="18" spans="1:6" ht="15" x14ac:dyDescent="0.2">
      <c r="A18" s="310" t="s">
        <v>1575</v>
      </c>
      <c r="B18" s="323"/>
      <c r="F18" s="319" t="s">
        <v>1612</v>
      </c>
    </row>
    <row r="19" spans="1:6" ht="18" x14ac:dyDescent="0.25">
      <c r="A19" s="312" t="s">
        <v>725</v>
      </c>
      <c r="B19" s="314">
        <f>SUM(B17:B18)</f>
        <v>220304.28000000003</v>
      </c>
    </row>
    <row r="21" spans="1:6" ht="18.75" thickBot="1" x14ac:dyDescent="0.3">
      <c r="A21" s="312" t="s">
        <v>1576</v>
      </c>
    </row>
    <row r="22" spans="1:6" ht="18.75" thickTop="1" x14ac:dyDescent="0.25">
      <c r="A22" s="312" t="s">
        <v>1577</v>
      </c>
      <c r="B22" s="318">
        <f>B14-B19</f>
        <v>-6619.6700000000419</v>
      </c>
      <c r="F22" s="310" t="s">
        <v>1589</v>
      </c>
    </row>
    <row r="26" spans="1:6" ht="18" x14ac:dyDescent="0.25">
      <c r="A26" s="312" t="s">
        <v>186</v>
      </c>
    </row>
    <row r="27" spans="1:6" ht="15" x14ac:dyDescent="0.2">
      <c r="A27" s="310" t="s">
        <v>1578</v>
      </c>
      <c r="B27" s="313">
        <f>'DOE25'!G180</f>
        <v>6619.67</v>
      </c>
      <c r="F27" s="310" t="s">
        <v>1590</v>
      </c>
    </row>
    <row r="28" spans="1:6" ht="15" x14ac:dyDescent="0.2">
      <c r="A28" s="310" t="s">
        <v>1580</v>
      </c>
      <c r="B28" s="313">
        <f>'DOE25'!L362</f>
        <v>0</v>
      </c>
      <c r="F28" s="310" t="s">
        <v>1591</v>
      </c>
    </row>
    <row r="31" spans="1:6" ht="15" x14ac:dyDescent="0.2">
      <c r="A31" s="310" t="s">
        <v>1634</v>
      </c>
      <c r="B31" s="313">
        <f>'DOE25'!G466</f>
        <v>3560.34</v>
      </c>
      <c r="F31" s="310" t="s">
        <v>1592</v>
      </c>
    </row>
    <row r="33" spans="1:6" ht="15" x14ac:dyDescent="0.2">
      <c r="A33" s="310" t="s">
        <v>1635</v>
      </c>
      <c r="B33" s="313">
        <f>'DOE25'!G477</f>
        <v>3560.3399999999674</v>
      </c>
      <c r="F33" s="310" t="s">
        <v>1593</v>
      </c>
    </row>
    <row r="36" spans="1:6" ht="15" x14ac:dyDescent="0.2">
      <c r="A36" s="310" t="s">
        <v>1579</v>
      </c>
      <c r="B36" s="324">
        <v>13001.55</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scale="98" fitToHeight="0"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Lincoln-Woodstock Cooperative</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2214012.9300000002</v>
      </c>
      <c r="C9" s="228">
        <f>'DOE25'!G198+'DOE25'!G216+'DOE25'!G234+'DOE25'!G277+'DOE25'!G296+'DOE25'!G315</f>
        <v>1285210.69</v>
      </c>
    </row>
    <row r="10" spans="1:3" x14ac:dyDescent="0.2">
      <c r="A10" t="s">
        <v>775</v>
      </c>
      <c r="B10" s="239">
        <f>832468.63+504083.58+729629.03+58427.69+18729.59+18729.41</f>
        <v>2162067.9300000002</v>
      </c>
      <c r="C10" s="239">
        <f>273267.78+6351.72+739.01+247.09+60052.75+176464.19+2366.39+158978.21+3333.66+354.3+143.75+36125.65+278.38+105437.09+1360.09+217288.79+4185.68+673.88+183.91+54378.05+149298.52+1898.13+4343.26+10395.46+3063.52+132.66+1396.21+3936.98+3063.52+132.66+1396.11+3936.93+6.36-3973.79</f>
        <v>1281236.8999999999</v>
      </c>
    </row>
    <row r="11" spans="1:3" x14ac:dyDescent="0.2">
      <c r="A11" t="s">
        <v>776</v>
      </c>
      <c r="B11" s="239"/>
      <c r="C11" s="239"/>
    </row>
    <row r="12" spans="1:3" x14ac:dyDescent="0.2">
      <c r="A12" t="s">
        <v>777</v>
      </c>
      <c r="B12" s="239">
        <f>15570+6255+30120</f>
        <v>51945</v>
      </c>
      <c r="C12" s="239">
        <v>3973.79</v>
      </c>
    </row>
    <row r="13" spans="1:3" x14ac:dyDescent="0.2">
      <c r="A13" t="str">
        <f>IF(B9=B13,IF(C9=C13,"Check Total OK","Check Total Error"),"Check Total Error")</f>
        <v>Check Total OK</v>
      </c>
      <c r="B13" s="230">
        <f>SUM(B10:B12)</f>
        <v>2214012.9300000002</v>
      </c>
      <c r="C13" s="230">
        <f>SUM(C10:C12)</f>
        <v>1285210.69</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501210.18000000005</v>
      </c>
      <c r="C18" s="228">
        <f>'DOE25'!G199+'DOE25'!G217+'DOE25'!G235+'DOE25'!G278+'DOE25'!G297+'DOE25'!G316</f>
        <v>276850.58</v>
      </c>
    </row>
    <row r="19" spans="1:3" x14ac:dyDescent="0.2">
      <c r="A19" t="s">
        <v>775</v>
      </c>
      <c r="B19" s="239">
        <f>279721.48+90401.27+47071.57+7729.2+4342.38-227629</f>
        <v>201636.90000000002</v>
      </c>
      <c r="C19" s="239">
        <f>90029.46+2312.22+269.24+20849.9+26276.89+731.95+61578.72+1193.94+131.44+7630.8+9203.47+329.94+1406.25+69.96+3891.03+2838.87+5650.2+122.46+1252.77+1343.14+58.14+566.9+1624.68+20.11-1700.6-123391</f>
        <v>114290.88</v>
      </c>
    </row>
    <row r="20" spans="1:3" x14ac:dyDescent="0.2">
      <c r="A20" t="s">
        <v>776</v>
      </c>
      <c r="B20" s="239">
        <f>11652.62+1634.88+36426.78+227629</f>
        <v>277343.28000000003</v>
      </c>
      <c r="C20" s="239">
        <f>21468.04+8619.52+1208.56+1410.91+41.61+1663.03+3056.43+123391</f>
        <v>160859.1</v>
      </c>
    </row>
    <row r="21" spans="1:3" x14ac:dyDescent="0.2">
      <c r="A21" t="s">
        <v>777</v>
      </c>
      <c r="B21" s="239">
        <f>10755+9090+2385</f>
        <v>22230</v>
      </c>
      <c r="C21" s="239">
        <v>1700.6</v>
      </c>
    </row>
    <row r="22" spans="1:3" x14ac:dyDescent="0.2">
      <c r="A22" t="str">
        <f>IF(B18=B22,IF(C18=C22,"Check Total OK","Check Total Error"),"Check Total Error")</f>
        <v>Check Total OK</v>
      </c>
      <c r="B22" s="230">
        <f>SUM(B19:B21)</f>
        <v>501210.18000000005</v>
      </c>
      <c r="C22" s="230">
        <f>SUM(C19:C21)</f>
        <v>276850.57999999996</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76399</v>
      </c>
      <c r="C36" s="234">
        <f>'DOE25'!G201+'DOE25'!G219+'DOE25'!G237+'DOE25'!G280+'DOE25'!G299+'DOE25'!G318</f>
        <v>12296.670000000002</v>
      </c>
    </row>
    <row r="37" spans="1:3" x14ac:dyDescent="0.2">
      <c r="A37" t="s">
        <v>775</v>
      </c>
      <c r="B37" s="239">
        <f>2880+7600</f>
        <v>10480</v>
      </c>
      <c r="C37" s="239">
        <f>215.97+605.38+567.18+1597.52</f>
        <v>2986.05</v>
      </c>
    </row>
    <row r="38" spans="1:3" x14ac:dyDescent="0.2">
      <c r="A38" t="s">
        <v>776</v>
      </c>
      <c r="B38" s="239"/>
      <c r="C38" s="239"/>
    </row>
    <row r="39" spans="1:3" x14ac:dyDescent="0.2">
      <c r="A39" t="s">
        <v>777</v>
      </c>
      <c r="B39" s="239">
        <f>764+12337+52818</f>
        <v>65919</v>
      </c>
      <c r="C39" s="239">
        <f>55.57+160.59+1.99+933.12+543.78+32.09+29.95+3992.82+566.96+2766.34+137.41+90</f>
        <v>9310.619999999999</v>
      </c>
    </row>
    <row r="40" spans="1:3" x14ac:dyDescent="0.2">
      <c r="A40" t="str">
        <f>IF(B36=B40,IF(C36=C40,"Check Total OK","Check Total Error"),"Check Total Error")</f>
        <v>Check Total OK</v>
      </c>
      <c r="B40" s="230">
        <f>SUM(B37:B39)</f>
        <v>76399</v>
      </c>
      <c r="C40" s="230">
        <f>SUM(C37:C39)</f>
        <v>12296.669999999998</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Lincoln-Woodstock Cooperative</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4703534.0699999994</v>
      </c>
      <c r="D5" s="20">
        <f>SUM('DOE25'!L198:L201)+SUM('DOE25'!L216:L219)+SUM('DOE25'!L234:L237)-F5-G5-H5</f>
        <v>4475375.3999999994</v>
      </c>
      <c r="E5" s="242"/>
      <c r="F5" s="243">
        <f>189999.96-25000</f>
        <v>164999.96</v>
      </c>
      <c r="G5" s="53">
        <f>SUM('DOE25'!J198:J201)+SUM('DOE25'!J216:J219)+SUM('DOE25'!J234:J237)</f>
        <v>46332.71</v>
      </c>
      <c r="H5" s="53">
        <f>SUM('DOE25'!K198:K201)+SUM('DOE25'!K216:K219)+SUM('DOE25'!K234:K237)</f>
        <v>16826</v>
      </c>
      <c r="I5" s="255"/>
    </row>
    <row r="6" spans="1:9" x14ac:dyDescent="0.2">
      <c r="A6" s="32">
        <v>2100</v>
      </c>
      <c r="B6" t="s">
        <v>796</v>
      </c>
      <c r="C6" s="274">
        <f t="shared" si="0"/>
        <v>693137.63</v>
      </c>
      <c r="D6" s="20">
        <f>'DOE25'!L203+'DOE25'!L221+'DOE25'!L239-F6-G6-H6</f>
        <v>549798.66</v>
      </c>
      <c r="E6" s="242"/>
      <c r="F6" s="243">
        <f>(67445.93-25000)+(109073.79-25000)+(41640.25-25000)</f>
        <v>143159.96999999997</v>
      </c>
      <c r="G6" s="53">
        <f>'DOE25'!J203+'DOE25'!J221+'DOE25'!J239</f>
        <v>0</v>
      </c>
      <c r="H6" s="53">
        <f>'DOE25'!K203+'DOE25'!K221+'DOE25'!K239</f>
        <v>179</v>
      </c>
      <c r="I6" s="255"/>
    </row>
    <row r="7" spans="1:9" x14ac:dyDescent="0.2">
      <c r="A7" s="32">
        <v>2200</v>
      </c>
      <c r="B7" t="s">
        <v>821</v>
      </c>
      <c r="C7" s="274">
        <f t="shared" si="0"/>
        <v>192567.15</v>
      </c>
      <c r="D7" s="20">
        <f>'DOE25'!L204+'DOE25'!L222+'DOE25'!L240-F7-G7-H7</f>
        <v>192567.15</v>
      </c>
      <c r="E7" s="242"/>
      <c r="F7" s="243"/>
      <c r="G7" s="53">
        <f>'DOE25'!J204+'DOE25'!J222+'DOE25'!J240</f>
        <v>0</v>
      </c>
      <c r="H7" s="53">
        <f>'DOE25'!K204+'DOE25'!K222+'DOE25'!K240</f>
        <v>0</v>
      </c>
      <c r="I7" s="255"/>
    </row>
    <row r="8" spans="1:9" x14ac:dyDescent="0.2">
      <c r="A8" s="32">
        <v>2300</v>
      </c>
      <c r="B8" t="s">
        <v>797</v>
      </c>
      <c r="C8" s="274">
        <f t="shared" si="0"/>
        <v>423450.89000000007</v>
      </c>
      <c r="D8" s="242"/>
      <c r="E8" s="20">
        <f>'DOE25'!L205+'DOE25'!L223+'DOE25'!L241-F8-G8-H8-D9-D11</f>
        <v>415872.22000000009</v>
      </c>
      <c r="F8" s="243"/>
      <c r="G8" s="53">
        <f>'DOE25'!J205+'DOE25'!J223+'DOE25'!J241</f>
        <v>0</v>
      </c>
      <c r="H8" s="53">
        <f>'DOE25'!K205+'DOE25'!K223+'DOE25'!K241</f>
        <v>7578.670000000001</v>
      </c>
      <c r="I8" s="255"/>
    </row>
    <row r="9" spans="1:9" ht="14.25" x14ac:dyDescent="0.2">
      <c r="A9" s="32">
        <v>2310</v>
      </c>
      <c r="B9" s="184" t="s">
        <v>888</v>
      </c>
      <c r="C9" s="274">
        <f t="shared" si="0"/>
        <v>16066.85</v>
      </c>
      <c r="D9" s="243">
        <v>16066.85</v>
      </c>
      <c r="E9" s="242"/>
      <c r="F9" s="252"/>
      <c r="G9" s="252"/>
      <c r="H9" s="252"/>
      <c r="I9" s="255"/>
    </row>
    <row r="10" spans="1:9" ht="14.25" x14ac:dyDescent="0.2">
      <c r="A10" s="32">
        <v>2317</v>
      </c>
      <c r="B10" s="184" t="s">
        <v>889</v>
      </c>
      <c r="C10" s="274">
        <f t="shared" si="0"/>
        <v>10925</v>
      </c>
      <c r="D10" s="242"/>
      <c r="E10" s="243">
        <v>10925</v>
      </c>
      <c r="F10" s="252"/>
      <c r="G10" s="252"/>
      <c r="H10" s="252"/>
      <c r="I10" s="255"/>
    </row>
    <row r="11" spans="1:9" ht="14.25" x14ac:dyDescent="0.2">
      <c r="A11" s="32">
        <v>2321</v>
      </c>
      <c r="B11" s="184" t="s">
        <v>890</v>
      </c>
      <c r="C11" s="274">
        <f t="shared" si="0"/>
        <v>194788.09</v>
      </c>
      <c r="D11" s="243">
        <f>140350.35+54437.74</f>
        <v>194788.09</v>
      </c>
      <c r="E11" s="242"/>
      <c r="F11" s="252"/>
      <c r="G11" s="252"/>
      <c r="H11" s="252"/>
      <c r="I11" s="255"/>
    </row>
    <row r="12" spans="1:9" x14ac:dyDescent="0.2">
      <c r="A12" s="32">
        <v>2400</v>
      </c>
      <c r="B12" t="s">
        <v>711</v>
      </c>
      <c r="C12" s="274">
        <f t="shared" si="0"/>
        <v>398627.91</v>
      </c>
      <c r="D12" s="20">
        <f>'DOE25'!L206+'DOE25'!L224+'DOE25'!L242-F12-G12-H12</f>
        <v>369769.64999999997</v>
      </c>
      <c r="E12" s="242"/>
      <c r="F12" s="243"/>
      <c r="G12" s="53">
        <f>'DOE25'!J206+'DOE25'!J224+'DOE25'!J242</f>
        <v>23532.260000000002</v>
      </c>
      <c r="H12" s="53">
        <f>'DOE25'!K206+'DOE25'!K224+'DOE25'!K242</f>
        <v>5326</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577426.44000000006</v>
      </c>
      <c r="D14" s="20">
        <f>'DOE25'!L208+'DOE25'!L226+'DOE25'!L244-F14-G14-H14</f>
        <v>549296.56000000006</v>
      </c>
      <c r="E14" s="242"/>
      <c r="F14" s="243"/>
      <c r="G14" s="53">
        <f>'DOE25'!J208+'DOE25'!J226+'DOE25'!J244</f>
        <v>3951.3900000000003</v>
      </c>
      <c r="H14" s="53">
        <f>'DOE25'!K208+'DOE25'!K226+'DOE25'!K244</f>
        <v>24178.49</v>
      </c>
      <c r="I14" s="255"/>
    </row>
    <row r="15" spans="1:9" x14ac:dyDescent="0.2">
      <c r="A15" s="32">
        <v>2700</v>
      </c>
      <c r="B15" t="s">
        <v>799</v>
      </c>
      <c r="C15" s="274">
        <f t="shared" si="0"/>
        <v>188258.66</v>
      </c>
      <c r="D15" s="20">
        <f>'DOE25'!L209+'DOE25'!L227+'DOE25'!L245-F15-G15-H15</f>
        <v>54857.66</v>
      </c>
      <c r="E15" s="242"/>
      <c r="F15" s="243">
        <f>158401-25000</f>
        <v>133401</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138500</v>
      </c>
      <c r="D22" s="242"/>
      <c r="E22" s="242"/>
      <c r="F22" s="242"/>
      <c r="G22" s="53">
        <f>'DOE25'!L256+'DOE25'!L337</f>
        <v>138500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87622.5</v>
      </c>
      <c r="D25" s="242"/>
      <c r="E25" s="242"/>
      <c r="F25" s="254"/>
      <c r="G25" s="252"/>
      <c r="H25" s="252"/>
      <c r="I25" s="253">
        <f>'DOE25'!L261+'DOE25'!L262+'DOE25'!L342+'DOE25'!L343</f>
        <v>87622.5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163457.28000000003</v>
      </c>
      <c r="D29" s="282">
        <f>'DOE25'!L359+'DOE25'!L360+'DOE25'!L361-'DOE25'!I368-F29-G29-H29</f>
        <v>34209.280000000028</v>
      </c>
      <c r="E29" s="242"/>
      <c r="F29" s="243">
        <f>211095-56847-25000</f>
        <v>129248</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295743.79000000004</v>
      </c>
      <c r="D31" s="20">
        <f>'DOE25'!L291+'DOE25'!L310+'DOE25'!L329+'DOE25'!L334+'DOE25'!L335+'DOE25'!L336-F31-G31-H31</f>
        <v>265211.61000000004</v>
      </c>
      <c r="E31" s="242"/>
      <c r="F31" s="243">
        <f>48330.07-25000</f>
        <v>23330.07</v>
      </c>
      <c r="G31" s="53">
        <f>'DOE25'!J291+'DOE25'!J310+'DOE25'!J329+'DOE25'!J334+'DOE25'!J335+'DOE25'!J336</f>
        <v>5827.11</v>
      </c>
      <c r="H31" s="53">
        <f>'DOE25'!K291+'DOE25'!K310+'DOE25'!K329+'DOE25'!K334+'DOE25'!K335+'DOE25'!K336</f>
        <v>1375</v>
      </c>
      <c r="I31" s="255"/>
    </row>
    <row r="32" spans="1:9" ht="12" thickBot="1" x14ac:dyDescent="0.25">
      <c r="C32" s="275"/>
      <c r="G32" s="250"/>
      <c r="H32" s="250"/>
      <c r="I32" s="257"/>
    </row>
    <row r="33" spans="1:9" ht="12" thickTop="1" x14ac:dyDescent="0.2">
      <c r="B33" t="s">
        <v>809</v>
      </c>
      <c r="D33" s="244">
        <f t="shared" ref="D33:I33" si="1">SUM(D5:D31)</f>
        <v>6701940.9100000001</v>
      </c>
      <c r="E33" s="244">
        <f t="shared" si="1"/>
        <v>426797.22000000009</v>
      </c>
      <c r="F33" s="244">
        <f t="shared" si="1"/>
        <v>594138.99999999988</v>
      </c>
      <c r="G33" s="244">
        <f t="shared" si="1"/>
        <v>218143.46999999997</v>
      </c>
      <c r="H33" s="244">
        <f t="shared" si="1"/>
        <v>55463.16</v>
      </c>
      <c r="I33" s="244">
        <f t="shared" si="1"/>
        <v>87622.5</v>
      </c>
    </row>
    <row r="35" spans="1:9" ht="12" thickBot="1" x14ac:dyDescent="0.25">
      <c r="B35" s="250" t="s">
        <v>831</v>
      </c>
      <c r="D35" s="251">
        <f>E33</f>
        <v>426797.22000000009</v>
      </c>
      <c r="E35" s="247"/>
      <c r="F35" s="328" t="s">
        <v>1617</v>
      </c>
      <c r="G35" s="329"/>
      <c r="H35" s="329"/>
      <c r="I35" s="329"/>
    </row>
    <row r="36" spans="1:9" ht="12" thickTop="1" x14ac:dyDescent="0.2">
      <c r="B36" t="s">
        <v>810</v>
      </c>
      <c r="D36" s="20">
        <f>D33</f>
        <v>6701940.9100000001</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37" sqref="E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Lincoln-Woodstock Cooperative</v>
      </c>
      <c r="B2" s="126">
        <f>'DOE25'!B2</f>
        <v>305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3409957.4299999997</v>
      </c>
      <c r="G4" s="299">
        <f>'DOE25'!L212+'DOE25'!L291</f>
        <v>3409957.4299999997</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Lin-Wood Public School (Elem)</v>
      </c>
      <c r="B6" s="300">
        <f>IFERROR(VLOOKUP(A6,'School Tables'!$C$3:$D$365,2,FALSE),"")</f>
        <v>20880</v>
      </c>
      <c r="C6" s="293" t="str">
        <f>IFERROR(INDEX('School Tables'!$B$3:$B$365,MATCH('School Level Expenditures'!B6,'School Tables'!$D$3:$D$365,0)),"")</f>
        <v>Lincoln-Woodstock Cooperative</v>
      </c>
      <c r="D6" s="290">
        <f>+'DOE25'!L212</f>
        <v>3242382.1599999997</v>
      </c>
      <c r="E6" s="290">
        <f>+'DOE25'!L291</f>
        <v>167575.27000000002</v>
      </c>
      <c r="F6" s="303">
        <f t="shared" ref="F6:F20" si="0">D6+E6</f>
        <v>3409957.4299999997</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3242382.1599999997</v>
      </c>
      <c r="E21" s="338">
        <f>SUM(E5:E20)</f>
        <v>167575.27000000002</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1819538.5499999998</v>
      </c>
      <c r="G24" s="299">
        <f>'DOE25'!L230+'DOE25'!L310</f>
        <v>1819538.5499999998</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Lin-Wood Public School (Middle)</v>
      </c>
      <c r="B26" s="300">
        <f>IFERROR(VLOOKUP(A26,'School Tables'!$N$4:$O$75,2,FALSE),"")</f>
        <v>23105</v>
      </c>
      <c r="C26" s="293" t="str">
        <f>IFERROR(INDEX('School Tables'!$M$4:$M$75,MATCH('School Level Expenditures'!A26,'School Tables'!$N$4:$N$75,0)),"")</f>
        <v>Lincoln-Woodstock Cooperative</v>
      </c>
      <c r="D26" s="290">
        <f>+'DOE25'!L230</f>
        <v>1716419.7099999997</v>
      </c>
      <c r="E26" s="290">
        <f>+'DOE25'!L310</f>
        <v>103118.84000000001</v>
      </c>
      <c r="F26" s="303">
        <f t="shared" ref="F26:F32" si="1">D26+E26</f>
        <v>1819538.5499999998</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1716419.7099999997</v>
      </c>
      <c r="E33" s="338">
        <f>SUM(E25:E32)</f>
        <v>103118.84000000001</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2454105.5000000005</v>
      </c>
      <c r="G36" s="299">
        <f>'DOE25'!L248+'DOE25'!L329</f>
        <v>2454105.5000000005</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Lin-Wood Public School (High)</v>
      </c>
      <c r="B38" s="300">
        <f>IFERROR(VLOOKUP(A38,'School Tables'!$Y$4:$Z$100,2,FALSE),"")</f>
        <v>23110</v>
      </c>
      <c r="C38" s="293" t="str">
        <f>IFERROR(INDEX('School Tables'!$X$4:$X$100,MATCH('School Level Expenditures'!A38,'School Tables'!$Y$4:$Y$100,0)),"")</f>
        <v>Lincoln-Woodstock Cooperative</v>
      </c>
      <c r="D38" s="290">
        <f>+'DOE25'!L248</f>
        <v>2429055.8200000003</v>
      </c>
      <c r="E38" s="290">
        <f>+'DOE25'!L329</f>
        <v>25049.68</v>
      </c>
      <c r="F38" s="303">
        <f t="shared" si="2"/>
        <v>2454105.5000000005</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2429055.8200000003</v>
      </c>
      <c r="E43" s="339">
        <f>SUM(E37:E42)</f>
        <v>25049.68</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Lincoln-Woodstock Cooperative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1953984.1400000001</v>
      </c>
      <c r="D8" s="95">
        <f>'DOE25'!G9</f>
        <v>0</v>
      </c>
      <c r="E8" s="95">
        <f>'DOE25'!H9</f>
        <v>0</v>
      </c>
      <c r="F8" s="95">
        <f>'DOE25'!I9</f>
        <v>0</v>
      </c>
      <c r="G8" s="95">
        <f>'DOE25'!J9</f>
        <v>424956.13999999996</v>
      </c>
      <c r="H8" s="124">
        <f>SUM(C8:G8)</f>
        <v>2378940.2800000003</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866652.46000000008</v>
      </c>
      <c r="D11" s="95">
        <f>'DOE25'!G12</f>
        <v>14929.94</v>
      </c>
      <c r="E11" s="95">
        <f>'DOE25'!H12</f>
        <v>208909.18</v>
      </c>
      <c r="F11" s="95">
        <f>'DOE25'!I12</f>
        <v>0</v>
      </c>
      <c r="G11" s="95">
        <f>'DOE25'!J12</f>
        <v>0</v>
      </c>
      <c r="H11" s="124">
        <f t="shared" si="0"/>
        <v>1090491.58</v>
      </c>
      <c r="I11" s="124"/>
    </row>
    <row r="12" spans="1:9" x14ac:dyDescent="0.2">
      <c r="A12" s="1" t="s">
        <v>143</v>
      </c>
      <c r="B12" s="6">
        <v>140</v>
      </c>
      <c r="C12" s="95">
        <f>'DOE25'!F13</f>
        <v>0</v>
      </c>
      <c r="D12" s="95">
        <f>'DOE25'!G13</f>
        <v>35217.480000000003</v>
      </c>
      <c r="E12" s="95">
        <f>'DOE25'!H13</f>
        <v>92361.11</v>
      </c>
      <c r="F12" s="95">
        <f>'DOE25'!I13</f>
        <v>0</v>
      </c>
      <c r="G12" s="95">
        <f>'DOE25'!J13</f>
        <v>0</v>
      </c>
      <c r="H12" s="124">
        <f t="shared" si="0"/>
        <v>127578.59</v>
      </c>
      <c r="I12" s="124"/>
    </row>
    <row r="13" spans="1:9" x14ac:dyDescent="0.2">
      <c r="A13" s="1" t="s">
        <v>144</v>
      </c>
      <c r="B13" s="6">
        <v>150</v>
      </c>
      <c r="C13" s="95">
        <f>'DOE25'!F14</f>
        <v>4709.21</v>
      </c>
      <c r="D13" s="95">
        <f>'DOE25'!G14</f>
        <v>0</v>
      </c>
      <c r="E13" s="95">
        <f>'DOE25'!H14</f>
        <v>0</v>
      </c>
      <c r="F13" s="95">
        <f>'DOE25'!I14</f>
        <v>0</v>
      </c>
      <c r="G13" s="95">
        <f>'DOE25'!J14</f>
        <v>0</v>
      </c>
      <c r="H13" s="124">
        <f t="shared" si="0"/>
        <v>4709.21</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113406.25</v>
      </c>
      <c r="D16" s="95">
        <f>'DOE25'!G17</f>
        <v>0</v>
      </c>
      <c r="E16" s="95">
        <f>'DOE25'!H17</f>
        <v>0</v>
      </c>
      <c r="F16" s="95">
        <f>'DOE25'!I17</f>
        <v>0</v>
      </c>
      <c r="G16" s="95">
        <f>'DOE25'!J17</f>
        <v>0</v>
      </c>
      <c r="H16" s="124">
        <f t="shared" si="0"/>
        <v>113406.25</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2938752.06</v>
      </c>
      <c r="D18" s="41">
        <f>SUM(D8:D17)</f>
        <v>50147.420000000006</v>
      </c>
      <c r="E18" s="41">
        <f>SUM(E8:E17)</f>
        <v>301270.28999999998</v>
      </c>
      <c r="F18" s="41">
        <f>SUM(F8:F17)</f>
        <v>0</v>
      </c>
      <c r="G18" s="41">
        <f>SUM(G8:G17)</f>
        <v>424956.13999999996</v>
      </c>
      <c r="H18" s="41">
        <f t="shared" si="0"/>
        <v>3715125.91</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1163864.6000000001</v>
      </c>
      <c r="D21" s="95">
        <f>'DOE25'!G22</f>
        <v>1</v>
      </c>
      <c r="E21" s="95">
        <f>'DOE25'!H22</f>
        <v>279372.87</v>
      </c>
      <c r="F21" s="95">
        <f>'DOE25'!I22</f>
        <v>0</v>
      </c>
      <c r="G21" s="95">
        <f>'DOE25'!J22</f>
        <v>0</v>
      </c>
      <c r="H21" s="124">
        <f t="shared" ref="H21:H31" si="1">SUM(C21:G21)</f>
        <v>1443238.4700000002</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0</v>
      </c>
      <c r="D23" s="95">
        <f>'DOE25'!G24</f>
        <v>0</v>
      </c>
      <c r="E23" s="95">
        <f>'DOE25'!H24</f>
        <v>0</v>
      </c>
      <c r="F23" s="95">
        <f>'DOE25'!I24</f>
        <v>0</v>
      </c>
      <c r="G23" s="95">
        <f>'DOE25'!J24</f>
        <v>0</v>
      </c>
      <c r="H23" s="124">
        <f t="shared" si="1"/>
        <v>0</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307821.05</v>
      </c>
      <c r="D27" s="95">
        <f>'DOE25'!G28</f>
        <v>36623.949999999997</v>
      </c>
      <c r="E27" s="95">
        <f>'DOE25'!H28</f>
        <v>0</v>
      </c>
      <c r="F27" s="95">
        <f>'DOE25'!I28</f>
        <v>0</v>
      </c>
      <c r="G27" s="24" t="s">
        <v>288</v>
      </c>
      <c r="H27" s="124">
        <f t="shared" si="1"/>
        <v>344445</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9962.1299999999992</v>
      </c>
      <c r="E29" s="95">
        <f>'DOE25'!H30</f>
        <v>13168.77</v>
      </c>
      <c r="F29" s="95">
        <f>'DOE25'!I30</f>
        <v>0</v>
      </c>
      <c r="G29" s="24" t="s">
        <v>288</v>
      </c>
      <c r="H29" s="124">
        <f t="shared" si="1"/>
        <v>23130.9</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1471685.6500000001</v>
      </c>
      <c r="D31" s="41">
        <f>SUM(D21:D30)</f>
        <v>46587.079999999994</v>
      </c>
      <c r="E31" s="41">
        <f>SUM(E21:E30)</f>
        <v>292541.64</v>
      </c>
      <c r="F31" s="41">
        <f>SUM(F21:F30)</f>
        <v>0</v>
      </c>
      <c r="G31" s="41">
        <f>SUM(G21:G30)</f>
        <v>0</v>
      </c>
      <c r="H31" s="41">
        <f t="shared" si="1"/>
        <v>1810814.37</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3560.34</v>
      </c>
      <c r="E39" s="24" t="s">
        <v>288</v>
      </c>
      <c r="F39" s="24" t="s">
        <v>288</v>
      </c>
      <c r="G39" s="24" t="s">
        <v>288</v>
      </c>
      <c r="H39" s="124">
        <f t="shared" si="2"/>
        <v>3560.34</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100000</v>
      </c>
      <c r="D43" s="95">
        <f>'DOE25'!G44</f>
        <v>0</v>
      </c>
      <c r="E43" s="95">
        <f>'DOE25'!H44</f>
        <v>0</v>
      </c>
      <c r="F43" s="95">
        <f>'DOE25'!I44</f>
        <v>0</v>
      </c>
      <c r="G43" s="24" t="s">
        <v>288</v>
      </c>
      <c r="H43" s="124">
        <f t="shared" si="2"/>
        <v>100000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150000</v>
      </c>
      <c r="D45" s="24" t="s">
        <v>288</v>
      </c>
      <c r="E45" s="24" t="s">
        <v>288</v>
      </c>
      <c r="F45" s="24" t="s">
        <v>288</v>
      </c>
      <c r="G45" s="24" t="s">
        <v>288</v>
      </c>
      <c r="H45" s="124">
        <f t="shared" si="2"/>
        <v>150000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424956.13999999996</v>
      </c>
      <c r="H47" s="124">
        <f t="shared" si="2"/>
        <v>424956.13999999996</v>
      </c>
      <c r="I47" s="124"/>
    </row>
    <row r="48" spans="1:9" x14ac:dyDescent="0.2">
      <c r="A48" s="1" t="s">
        <v>882</v>
      </c>
      <c r="B48" s="6">
        <v>753</v>
      </c>
      <c r="C48" s="95">
        <f>'DOE25'!F49</f>
        <v>692105.87</v>
      </c>
      <c r="D48" s="95">
        <f>'DOE25'!G49</f>
        <v>0</v>
      </c>
      <c r="E48" s="95">
        <f>'DOE25'!H49</f>
        <v>8728.65</v>
      </c>
      <c r="F48" s="95">
        <f>'DOE25'!I49</f>
        <v>0</v>
      </c>
      <c r="G48" s="95">
        <f>'DOE25'!J49</f>
        <v>0</v>
      </c>
      <c r="H48" s="124">
        <f t="shared" si="2"/>
        <v>700834.52</v>
      </c>
      <c r="I48" s="124"/>
    </row>
    <row r="49" spans="1:9" ht="12" thickBot="1" x14ac:dyDescent="0.25">
      <c r="A49" s="29" t="s">
        <v>883</v>
      </c>
      <c r="B49" s="71">
        <v>770</v>
      </c>
      <c r="C49" s="95">
        <f>'DOE25'!F50</f>
        <v>524960.54</v>
      </c>
      <c r="D49" s="24" t="s">
        <v>288</v>
      </c>
      <c r="E49" s="24" t="s">
        <v>288</v>
      </c>
      <c r="F49" s="24" t="s">
        <v>288</v>
      </c>
      <c r="G49" s="24" t="s">
        <v>288</v>
      </c>
      <c r="H49" s="124">
        <f t="shared" si="2"/>
        <v>524960.54</v>
      </c>
      <c r="I49" s="124"/>
    </row>
    <row r="50" spans="1:9" ht="12.75" thickTop="1" thickBot="1" x14ac:dyDescent="0.25">
      <c r="A50" s="38" t="s">
        <v>884</v>
      </c>
      <c r="B50" s="48"/>
      <c r="C50" s="41">
        <f>SUM(C34:C49)</f>
        <v>1467066.4100000001</v>
      </c>
      <c r="D50" s="41">
        <f>SUM(D34:D49)</f>
        <v>3560.34</v>
      </c>
      <c r="E50" s="41">
        <f>SUM(E34:E49)</f>
        <v>8728.65</v>
      </c>
      <c r="F50" s="41">
        <f>SUM(F34:F49)</f>
        <v>0</v>
      </c>
      <c r="G50" s="41">
        <f>SUM(G34:G49)</f>
        <v>424956.13999999996</v>
      </c>
      <c r="H50" s="41">
        <f t="shared" si="2"/>
        <v>1904311.54</v>
      </c>
      <c r="I50" s="124"/>
    </row>
    <row r="51" spans="1:9" ht="12" thickTop="1" x14ac:dyDescent="0.2">
      <c r="A51" s="38" t="s">
        <v>885</v>
      </c>
      <c r="B51" s="2"/>
      <c r="C51" s="41">
        <f>C50+C31</f>
        <v>2938752.0600000005</v>
      </c>
      <c r="D51" s="41">
        <f>D50+D31</f>
        <v>50147.42</v>
      </c>
      <c r="E51" s="41">
        <f>E50+E31</f>
        <v>301270.29000000004</v>
      </c>
      <c r="F51" s="41">
        <f>F50+F31</f>
        <v>0</v>
      </c>
      <c r="G51" s="41">
        <f>G50+G31</f>
        <v>424956.13999999996</v>
      </c>
      <c r="H51" s="41">
        <f t="shared" si="2"/>
        <v>3715125.9100000006</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5001318</v>
      </c>
      <c r="D56" s="95">
        <f>'DOE25'!G60</f>
        <v>0</v>
      </c>
      <c r="E56" s="95">
        <f>'DOE25'!H60</f>
        <v>0</v>
      </c>
      <c r="F56" s="95">
        <f>'DOE25'!I60</f>
        <v>0</v>
      </c>
      <c r="G56" s="95">
        <f>'DOE25'!J60</f>
        <v>0</v>
      </c>
      <c r="H56" s="124">
        <f t="shared" ref="H56:H63" si="3">SUM(C56:G56)</f>
        <v>5001318</v>
      </c>
      <c r="I56"/>
    </row>
    <row r="57" spans="1:9" x14ac:dyDescent="0.2">
      <c r="A57" s="1" t="s">
        <v>164</v>
      </c>
      <c r="B57" s="6" t="s">
        <v>165</v>
      </c>
      <c r="C57" s="95">
        <f>'DOE25'!F79</f>
        <v>5000</v>
      </c>
      <c r="D57" s="24" t="s">
        <v>288</v>
      </c>
      <c r="E57" s="95">
        <f>'DOE25'!H79</f>
        <v>0</v>
      </c>
      <c r="F57" s="24" t="s">
        <v>288</v>
      </c>
      <c r="G57" s="24" t="s">
        <v>288</v>
      </c>
      <c r="H57" s="124">
        <f t="shared" si="3"/>
        <v>5000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0.48</v>
      </c>
      <c r="D59" s="95">
        <f>'DOE25'!G96</f>
        <v>0</v>
      </c>
      <c r="E59" s="95">
        <f>'DOE25'!H96</f>
        <v>0</v>
      </c>
      <c r="F59" s="95">
        <f>'DOE25'!I96</f>
        <v>0</v>
      </c>
      <c r="G59" s="95">
        <f>'DOE25'!J96</f>
        <v>514.65</v>
      </c>
      <c r="H59" s="124">
        <f t="shared" si="3"/>
        <v>515.13</v>
      </c>
      <c r="I59"/>
    </row>
    <row r="60" spans="1:9" x14ac:dyDescent="0.2">
      <c r="A60" s="1" t="s">
        <v>170</v>
      </c>
      <c r="B60" s="118" t="s">
        <v>171</v>
      </c>
      <c r="C60" s="24" t="s">
        <v>288</v>
      </c>
      <c r="D60" s="95">
        <f>'DOE25'!G97</f>
        <v>10343.880000000001</v>
      </c>
      <c r="E60" s="24" t="s">
        <v>288</v>
      </c>
      <c r="F60" s="24" t="s">
        <v>288</v>
      </c>
      <c r="G60" s="24" t="s">
        <v>288</v>
      </c>
      <c r="H60" s="124">
        <f t="shared" si="3"/>
        <v>10343.880000000001</v>
      </c>
      <c r="I60"/>
    </row>
    <row r="61" spans="1:9" ht="12" thickBot="1" x14ac:dyDescent="0.25">
      <c r="A61" s="1" t="s">
        <v>172</v>
      </c>
      <c r="B61" s="118" t="s">
        <v>173</v>
      </c>
      <c r="C61" s="95">
        <f>SUM('DOE25'!F98:F110)</f>
        <v>20108.080000000002</v>
      </c>
      <c r="D61" s="95">
        <f>SUM('DOE25'!G98:G110)</f>
        <v>0</v>
      </c>
      <c r="E61" s="95">
        <f>SUM('DOE25'!H98:H110)</f>
        <v>3794.31</v>
      </c>
      <c r="F61" s="95">
        <f>SUM('DOE25'!I98:I110)</f>
        <v>0</v>
      </c>
      <c r="G61" s="95">
        <f>SUM('DOE25'!J98:J110)</f>
        <v>0</v>
      </c>
      <c r="H61" s="124">
        <f t="shared" si="3"/>
        <v>23902.390000000003</v>
      </c>
      <c r="I61"/>
    </row>
    <row r="62" spans="1:9" ht="12.75" thickTop="1" thickBot="1" x14ac:dyDescent="0.25">
      <c r="A62" s="29" t="s">
        <v>174</v>
      </c>
      <c r="B62" s="6"/>
      <c r="C62" s="130">
        <f>SUM(C57:C61)</f>
        <v>25108.560000000001</v>
      </c>
      <c r="D62" s="130">
        <f>SUM(D57:D61)</f>
        <v>10343.880000000001</v>
      </c>
      <c r="E62" s="130">
        <f>SUM(E57:E61)</f>
        <v>3794.31</v>
      </c>
      <c r="F62" s="130">
        <f>SUM(F57:F61)</f>
        <v>0</v>
      </c>
      <c r="G62" s="130">
        <f>SUM(G57:G61)</f>
        <v>514.65</v>
      </c>
      <c r="H62" s="124">
        <f t="shared" si="3"/>
        <v>39761.4</v>
      </c>
      <c r="I62"/>
    </row>
    <row r="63" spans="1:9" ht="12" thickTop="1" x14ac:dyDescent="0.2">
      <c r="A63" s="29" t="s">
        <v>175</v>
      </c>
      <c r="B63" s="6"/>
      <c r="C63" s="22">
        <f>C56+C62</f>
        <v>5026426.5599999996</v>
      </c>
      <c r="D63" s="22">
        <f>D56+D62</f>
        <v>10343.880000000001</v>
      </c>
      <c r="E63" s="22">
        <f>E56+E62</f>
        <v>3794.31</v>
      </c>
      <c r="F63" s="22">
        <f>F56+F62</f>
        <v>0</v>
      </c>
      <c r="G63" s="22">
        <f>G56+G62</f>
        <v>514.65</v>
      </c>
      <c r="H63" s="124">
        <f t="shared" si="3"/>
        <v>5041079.3999999994</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331890.65999999997</v>
      </c>
      <c r="D66" s="24" t="s">
        <v>288</v>
      </c>
      <c r="E66" s="24" t="s">
        <v>288</v>
      </c>
      <c r="F66" s="24" t="s">
        <v>288</v>
      </c>
      <c r="G66" s="24" t="s">
        <v>288</v>
      </c>
      <c r="H66" s="124">
        <f t="shared" ref="H66:H81" si="4">SUM(C66:G66)</f>
        <v>331890.65999999997</v>
      </c>
      <c r="I66"/>
    </row>
    <row r="67" spans="1:9" x14ac:dyDescent="0.2">
      <c r="A67" s="1" t="s">
        <v>770</v>
      </c>
      <c r="B67" s="6">
        <v>3112</v>
      </c>
      <c r="C67" s="95">
        <f>'DOE25'!F118</f>
        <v>2398616</v>
      </c>
      <c r="D67" s="24"/>
      <c r="E67" s="24"/>
      <c r="F67" s="24"/>
      <c r="G67" s="24"/>
      <c r="H67" s="124">
        <f t="shared" si="4"/>
        <v>2398616</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2730506.66</v>
      </c>
      <c r="D70" s="139">
        <f>D69</f>
        <v>0</v>
      </c>
      <c r="E70" s="139">
        <f>E69</f>
        <v>0</v>
      </c>
      <c r="F70" s="139">
        <f>F69</f>
        <v>0</v>
      </c>
      <c r="G70" s="139">
        <f>G69</f>
        <v>0</v>
      </c>
      <c r="H70" s="124">
        <f t="shared" si="4"/>
        <v>2730506.66</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2590.2800000000002</v>
      </c>
      <c r="E77" s="95">
        <f>SUM('DOE25'!H131:H135)</f>
        <v>0</v>
      </c>
      <c r="F77" s="95">
        <f>SUM('DOE25'!I131:I135)</f>
        <v>0</v>
      </c>
      <c r="G77" s="95">
        <f>SUM('DOE25'!J131:J135)</f>
        <v>0</v>
      </c>
      <c r="H77" s="124">
        <f t="shared" si="4"/>
        <v>2590.2800000000002</v>
      </c>
      <c r="I77"/>
    </row>
    <row r="78" spans="1:9" ht="12.75" thickTop="1" thickBot="1" x14ac:dyDescent="0.25">
      <c r="A78" s="29" t="s">
        <v>259</v>
      </c>
      <c r="B78" s="6"/>
      <c r="C78" s="130">
        <f>SUM(C72:C77)</f>
        <v>0</v>
      </c>
      <c r="D78" s="130">
        <f>SUM(D72:D77)</f>
        <v>2590.2800000000002</v>
      </c>
      <c r="E78" s="130">
        <f>SUM(E72:E77)</f>
        <v>0</v>
      </c>
      <c r="F78" s="130">
        <f>SUM(F72:F77)</f>
        <v>0</v>
      </c>
      <c r="G78" s="130">
        <f>SUM(G72:G77)</f>
        <v>0</v>
      </c>
      <c r="H78" s="124">
        <f t="shared" si="4"/>
        <v>2590.2800000000002</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2730506.66</v>
      </c>
      <c r="D81" s="130">
        <f>SUM(D79:D80)+D78+D70</f>
        <v>2590.2800000000002</v>
      </c>
      <c r="E81" s="130">
        <f>SUM(E79:E80)+E78+E70</f>
        <v>0</v>
      </c>
      <c r="F81" s="130">
        <f>SUM(F79:F80)+F78+F70</f>
        <v>0</v>
      </c>
      <c r="G81" s="130">
        <f>SUM(G79:G80)+G78+G70</f>
        <v>0</v>
      </c>
      <c r="H81" s="130">
        <f t="shared" si="4"/>
        <v>2733096.94</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7629.86</v>
      </c>
      <c r="E85" s="95">
        <f>'DOE25'!H147</f>
        <v>0</v>
      </c>
      <c r="F85" s="95">
        <f>'DOE25'!I147</f>
        <v>0</v>
      </c>
      <c r="G85" s="24" t="s">
        <v>288</v>
      </c>
      <c r="H85" s="124">
        <f t="shared" ref="H85:H104" si="5">SUM(C85:G85)</f>
        <v>7629.86</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14509.77</v>
      </c>
      <c r="F87" s="95">
        <f>SUM('DOE25'!I149:I152)</f>
        <v>0</v>
      </c>
      <c r="G87" s="24" t="s">
        <v>288</v>
      </c>
      <c r="H87" s="124">
        <f t="shared" si="5"/>
        <v>14509.77</v>
      </c>
    </row>
    <row r="88" spans="1:9" x14ac:dyDescent="0.2">
      <c r="A88" s="287" t="s">
        <v>747</v>
      </c>
      <c r="B88" s="325" t="s">
        <v>184</v>
      </c>
      <c r="C88" s="326">
        <f>SUM('DOE25'!F153:F162)</f>
        <v>26070.45</v>
      </c>
      <c r="D88" s="326">
        <f>SUM('DOE25'!G153:G162)</f>
        <v>193120.59</v>
      </c>
      <c r="E88" s="326">
        <f>SUM('DOE25'!H153:H162)</f>
        <v>277439.70999999996</v>
      </c>
      <c r="F88" s="326">
        <f>SUM('DOE25'!I153:I162)</f>
        <v>0</v>
      </c>
      <c r="G88" s="24" t="s">
        <v>288</v>
      </c>
      <c r="H88" s="124">
        <f t="shared" si="5"/>
        <v>496630.75</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50017.279999999999</v>
      </c>
      <c r="D90" s="24" t="s">
        <v>288</v>
      </c>
      <c r="E90" s="24" t="s">
        <v>288</v>
      </c>
      <c r="F90" s="24" t="s">
        <v>288</v>
      </c>
      <c r="G90" s="24" t="s">
        <v>288</v>
      </c>
      <c r="H90" s="124">
        <f t="shared" si="5"/>
        <v>50017.279999999999</v>
      </c>
    </row>
    <row r="91" spans="1:9" ht="12.75" thickTop="1" thickBot="1" x14ac:dyDescent="0.25">
      <c r="A91" s="33" t="s">
        <v>750</v>
      </c>
      <c r="C91" s="131">
        <f>SUM(C85:C90)</f>
        <v>76087.73</v>
      </c>
      <c r="D91" s="131">
        <f>SUM(D85:D90)</f>
        <v>200750.44999999998</v>
      </c>
      <c r="E91" s="131">
        <f>SUM(E85:E90)</f>
        <v>291949.48</v>
      </c>
      <c r="F91" s="131">
        <f>SUM(F85:F90)</f>
        <v>0</v>
      </c>
      <c r="G91" s="24" t="s">
        <v>288</v>
      </c>
      <c r="H91" s="124">
        <f t="shared" si="5"/>
        <v>568787.65999999992</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540000</v>
      </c>
      <c r="D93" s="24" t="s">
        <v>288</v>
      </c>
      <c r="E93" s="24" t="s">
        <v>288</v>
      </c>
      <c r="F93" s="95">
        <f>SUM('DOE25'!I174:I176)</f>
        <v>0</v>
      </c>
      <c r="G93" s="24" t="s">
        <v>288</v>
      </c>
      <c r="H93" s="124">
        <f t="shared" si="5"/>
        <v>540000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6619.67</v>
      </c>
      <c r="E96" s="95">
        <f>'DOE25'!H180</f>
        <v>0</v>
      </c>
      <c r="F96" s="95">
        <f>'DOE25'!I180</f>
        <v>0</v>
      </c>
      <c r="G96" s="95">
        <f>'DOE25'!J180</f>
        <v>284000</v>
      </c>
      <c r="H96" s="124">
        <f t="shared" si="5"/>
        <v>290619.67</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540000</v>
      </c>
      <c r="D103" s="86">
        <f>SUM(D93:D102)</f>
        <v>6619.67</v>
      </c>
      <c r="E103" s="86">
        <f>SUM(E93:E102)</f>
        <v>0</v>
      </c>
      <c r="F103" s="86">
        <f>SUM(F93:F102)</f>
        <v>0</v>
      </c>
      <c r="G103" s="86">
        <f>SUM(G93:G102)</f>
        <v>284000</v>
      </c>
      <c r="H103" s="86">
        <f t="shared" si="5"/>
        <v>830619.67</v>
      </c>
    </row>
    <row r="104" spans="1:8" ht="12.75" thickTop="1" thickBot="1" x14ac:dyDescent="0.25">
      <c r="A104" s="33" t="s">
        <v>761</v>
      </c>
      <c r="C104" s="86">
        <f>C63+C81+C91+C103</f>
        <v>8373020.9500000002</v>
      </c>
      <c r="D104" s="86">
        <f>D63+D81+D91+D103</f>
        <v>220304.28</v>
      </c>
      <c r="E104" s="86">
        <f>E63+E81+E91+E103</f>
        <v>295743.78999999998</v>
      </c>
      <c r="F104" s="86">
        <f>F63+F81+F91+F103</f>
        <v>0</v>
      </c>
      <c r="G104" s="86">
        <f>G63+G81+G103</f>
        <v>284514.65000000002</v>
      </c>
      <c r="H104" s="86">
        <f t="shared" si="5"/>
        <v>9173583.6699999999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3591589.3699999996</v>
      </c>
      <c r="D109" s="24" t="s">
        <v>288</v>
      </c>
      <c r="E109" s="95">
        <f>('DOE25'!L277)+('DOE25'!L296)+('DOE25'!L315)</f>
        <v>160937.75</v>
      </c>
      <c r="F109" s="24" t="s">
        <v>288</v>
      </c>
      <c r="G109" s="24" t="s">
        <v>288</v>
      </c>
      <c r="H109" s="124">
        <f t="shared" ref="H109:H115" si="6">SUM(C109:G109)</f>
        <v>3752527.1199999996</v>
      </c>
    </row>
    <row r="110" spans="1:8" x14ac:dyDescent="0.2">
      <c r="A110" t="s">
        <v>198</v>
      </c>
      <c r="B110" s="32" t="s">
        <v>199</v>
      </c>
      <c r="C110" s="95">
        <f>('DOE25'!L199)+('DOE25'!L217)+('DOE25'!L235)</f>
        <v>962483.67999999993</v>
      </c>
      <c r="D110" s="24" t="s">
        <v>288</v>
      </c>
      <c r="E110" s="95">
        <f>('DOE25'!L278)+('DOE25'!L297)+('DOE25'!L316)</f>
        <v>68544.38</v>
      </c>
      <c r="F110" s="24" t="s">
        <v>288</v>
      </c>
      <c r="G110" s="24" t="s">
        <v>288</v>
      </c>
      <c r="H110" s="124">
        <f t="shared" si="6"/>
        <v>1031028.0599999999</v>
      </c>
    </row>
    <row r="111" spans="1:8" x14ac:dyDescent="0.2">
      <c r="A111" t="s">
        <v>200</v>
      </c>
      <c r="B111" s="32" t="s">
        <v>165</v>
      </c>
      <c r="C111" s="95">
        <f>('DOE25'!L200)+('DOE25'!L218)+('DOE25'!L236)</f>
        <v>4202.46</v>
      </c>
      <c r="D111" s="24" t="s">
        <v>288</v>
      </c>
      <c r="E111" s="95">
        <f>('DOE25'!L279)+('DOE25'!L298)+('DOE25'!L317)</f>
        <v>0</v>
      </c>
      <c r="F111" s="24" t="s">
        <v>288</v>
      </c>
      <c r="G111" s="24" t="s">
        <v>288</v>
      </c>
      <c r="H111" s="124">
        <f t="shared" si="6"/>
        <v>4202.46</v>
      </c>
    </row>
    <row r="112" spans="1:8" x14ac:dyDescent="0.2">
      <c r="A112" t="s">
        <v>201</v>
      </c>
      <c r="B112" s="32" t="s">
        <v>167</v>
      </c>
      <c r="C112" s="95">
        <f>('DOE25'!L201)+('DOE25'!L219)+('DOE25'!L237)</f>
        <v>145258.56</v>
      </c>
      <c r="D112" s="24" t="s">
        <v>288</v>
      </c>
      <c r="E112" s="95">
        <f>+('DOE25'!L280)+('DOE25'!L299)+('DOE25'!L318)</f>
        <v>0</v>
      </c>
      <c r="F112" s="24" t="s">
        <v>288</v>
      </c>
      <c r="G112" s="24" t="s">
        <v>288</v>
      </c>
      <c r="H112" s="124">
        <f t="shared" si="6"/>
        <v>145258.56</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4703534.0699999994</v>
      </c>
      <c r="D115" s="86">
        <f>SUM(D109:D114)</f>
        <v>0</v>
      </c>
      <c r="E115" s="86">
        <f>SUM(E109:E114)</f>
        <v>229482.13</v>
      </c>
      <c r="F115" s="86">
        <f>SUM(F109:F114)</f>
        <v>0</v>
      </c>
      <c r="G115" s="86">
        <f>SUM(G109:G114)</f>
        <v>0</v>
      </c>
      <c r="H115" s="86">
        <f t="shared" si="6"/>
        <v>4933016.1999999993</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693137.63</v>
      </c>
      <c r="D118" s="24" t="s">
        <v>288</v>
      </c>
      <c r="E118" s="95">
        <f>+('DOE25'!L282)+('DOE25'!L301)+('DOE25'!L320)</f>
        <v>56966.380000000005</v>
      </c>
      <c r="F118" s="24" t="s">
        <v>288</v>
      </c>
      <c r="G118" s="24" t="s">
        <v>288</v>
      </c>
      <c r="H118" s="124">
        <f t="shared" ref="H118:H145" si="7">SUM(C118:G118)</f>
        <v>750104.01</v>
      </c>
    </row>
    <row r="119" spans="1:8" x14ac:dyDescent="0.2">
      <c r="A119" t="s">
        <v>208</v>
      </c>
      <c r="B119" s="32" t="s">
        <v>209</v>
      </c>
      <c r="C119" s="95">
        <f>('DOE25'!L204)+('DOE25'!L222)+('DOE25'!L240)</f>
        <v>192567.15</v>
      </c>
      <c r="D119" s="24" t="s">
        <v>288</v>
      </c>
      <c r="E119" s="95">
        <f>+('DOE25'!L283)+('DOE25'!L302)+('DOE25'!L321)</f>
        <v>9295.2800000000007</v>
      </c>
      <c r="F119" s="24" t="s">
        <v>288</v>
      </c>
      <c r="G119" s="24" t="s">
        <v>288</v>
      </c>
      <c r="H119" s="124">
        <f t="shared" si="7"/>
        <v>201862.43</v>
      </c>
    </row>
    <row r="120" spans="1:8" x14ac:dyDescent="0.2">
      <c r="A120" t="s">
        <v>210</v>
      </c>
      <c r="B120" s="32" t="s">
        <v>211</v>
      </c>
      <c r="C120" s="95">
        <f>('DOE25'!L205)+('DOE25'!L223)+('DOE25'!L241)</f>
        <v>634305.83000000007</v>
      </c>
      <c r="D120" s="24" t="s">
        <v>288</v>
      </c>
      <c r="E120" s="95">
        <f>+('DOE25'!L284)+('DOE25'!L303)+('DOE25'!L322)</f>
        <v>0</v>
      </c>
      <c r="F120" s="24" t="s">
        <v>288</v>
      </c>
      <c r="G120" s="24" t="s">
        <v>288</v>
      </c>
      <c r="H120" s="124">
        <f t="shared" si="7"/>
        <v>634305.83000000007</v>
      </c>
    </row>
    <row r="121" spans="1:8" x14ac:dyDescent="0.2">
      <c r="A121" t="s">
        <v>212</v>
      </c>
      <c r="B121" s="32" t="s">
        <v>213</v>
      </c>
      <c r="C121" s="95">
        <f>('DOE25'!L206)+('DOE25'!L224)+('DOE25'!L242)</f>
        <v>398627.91</v>
      </c>
      <c r="D121" s="24" t="s">
        <v>288</v>
      </c>
      <c r="E121" s="95">
        <f>+('DOE25'!L285)+('DOE25'!L304)+('DOE25'!L323)</f>
        <v>0</v>
      </c>
      <c r="F121" s="24" t="s">
        <v>288</v>
      </c>
      <c r="G121" s="24" t="s">
        <v>288</v>
      </c>
      <c r="H121" s="124">
        <f t="shared" si="7"/>
        <v>398627.91</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577426.44000000006</v>
      </c>
      <c r="D123" s="24" t="s">
        <v>288</v>
      </c>
      <c r="E123" s="95">
        <f>+('DOE25'!L287)+('DOE25'!L306)+('DOE25'!L325)</f>
        <v>0</v>
      </c>
      <c r="F123" s="24" t="s">
        <v>288</v>
      </c>
      <c r="G123" s="24" t="s">
        <v>288</v>
      </c>
      <c r="H123" s="124">
        <f t="shared" si="7"/>
        <v>577426.44000000006</v>
      </c>
    </row>
    <row r="124" spans="1:8" x14ac:dyDescent="0.2">
      <c r="A124" t="s">
        <v>218</v>
      </c>
      <c r="B124" s="32" t="s">
        <v>219</v>
      </c>
      <c r="C124" s="95">
        <f>('DOE25'!L209)+('DOE25'!L227)+('DOE25'!L245+'DOE25'!L255)</f>
        <v>188258.66</v>
      </c>
      <c r="D124" s="24" t="s">
        <v>288</v>
      </c>
      <c r="E124" s="95">
        <f>+('DOE25'!L288)+('DOE25'!L307)+('DOE25'!L326)</f>
        <v>0</v>
      </c>
      <c r="F124" s="24" t="s">
        <v>288</v>
      </c>
      <c r="G124" s="24" t="s">
        <v>288</v>
      </c>
      <c r="H124" s="124">
        <f t="shared" si="7"/>
        <v>188258.66</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220304.28000000003</v>
      </c>
      <c r="E127" s="24" t="s">
        <v>288</v>
      </c>
      <c r="F127" s="24" t="s">
        <v>288</v>
      </c>
      <c r="G127" s="24" t="s">
        <v>288</v>
      </c>
      <c r="H127" s="124">
        <f t="shared" si="7"/>
        <v>220304.28000000003</v>
      </c>
    </row>
    <row r="128" spans="1:8" ht="12.75" thickTop="1" thickBot="1" x14ac:dyDescent="0.25">
      <c r="A128" s="33" t="s">
        <v>226</v>
      </c>
      <c r="C128" s="86">
        <f>SUM(C118:C127)</f>
        <v>2684323.62</v>
      </c>
      <c r="D128" s="86">
        <f>SUM(D118:D127)</f>
        <v>220304.28000000003</v>
      </c>
      <c r="E128" s="86">
        <f>SUM(E118:E127)</f>
        <v>66261.66</v>
      </c>
      <c r="F128" s="86">
        <f>SUM(F118:F127)</f>
        <v>0</v>
      </c>
      <c r="G128" s="86">
        <f>SUM(G118:G127)</f>
        <v>0</v>
      </c>
      <c r="H128" s="86">
        <f t="shared" si="7"/>
        <v>2970889.5600000005</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138500</v>
      </c>
      <c r="D130" s="24" t="s">
        <v>288</v>
      </c>
      <c r="E130" s="129">
        <f>'DOE25'!L337</f>
        <v>0</v>
      </c>
      <c r="F130" s="129">
        <f>SUM('DOE25'!L375:'DOE25'!L381)</f>
        <v>0</v>
      </c>
      <c r="G130" s="24" t="s">
        <v>288</v>
      </c>
      <c r="H130" s="124">
        <f t="shared" si="7"/>
        <v>138500</v>
      </c>
    </row>
    <row r="131" spans="1:8" x14ac:dyDescent="0.2">
      <c r="A131" t="s">
        <v>229</v>
      </c>
      <c r="B131" s="32">
        <v>5110</v>
      </c>
      <c r="C131" s="95">
        <f>'DOE25'!L261</f>
        <v>75000</v>
      </c>
      <c r="D131" s="24" t="s">
        <v>288</v>
      </c>
      <c r="E131" s="129">
        <f>'DOE25'!L342</f>
        <v>0</v>
      </c>
      <c r="F131" s="24" t="s">
        <v>288</v>
      </c>
      <c r="G131" s="24" t="s">
        <v>288</v>
      </c>
      <c r="H131" s="124">
        <f t="shared" si="7"/>
        <v>75000</v>
      </c>
    </row>
    <row r="132" spans="1:8" x14ac:dyDescent="0.2">
      <c r="A132" t="s">
        <v>230</v>
      </c>
      <c r="B132" s="32">
        <v>5120</v>
      </c>
      <c r="C132" s="95">
        <f>'DOE25'!L262</f>
        <v>12622.5</v>
      </c>
      <c r="D132" s="24" t="s">
        <v>288</v>
      </c>
      <c r="E132" s="129">
        <f>'DOE25'!L343</f>
        <v>0</v>
      </c>
      <c r="F132" s="24" t="s">
        <v>288</v>
      </c>
      <c r="G132" s="24" t="s">
        <v>288</v>
      </c>
      <c r="H132" s="124">
        <f t="shared" si="7"/>
        <v>12622.5</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1500</v>
      </c>
      <c r="H134" s="124">
        <f t="shared" si="7"/>
        <v>1500</v>
      </c>
    </row>
    <row r="135" spans="1:8" x14ac:dyDescent="0.2">
      <c r="A135" t="s">
        <v>233</v>
      </c>
      <c r="B135" s="32" t="s">
        <v>234</v>
      </c>
      <c r="C135" s="95">
        <f>'DOE25'!L264</f>
        <v>6619.67</v>
      </c>
      <c r="D135" s="24" t="s">
        <v>288</v>
      </c>
      <c r="E135" s="129">
        <f>'DOE25'!L346</f>
        <v>0</v>
      </c>
      <c r="F135" s="24" t="s">
        <v>288</v>
      </c>
      <c r="G135" s="24" t="s">
        <v>288</v>
      </c>
      <c r="H135" s="124">
        <f t="shared" si="7"/>
        <v>6619.67</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284514.65000000002</v>
      </c>
      <c r="D139" s="24" t="s">
        <v>288</v>
      </c>
      <c r="E139" s="24" t="s">
        <v>288</v>
      </c>
      <c r="F139" s="24" t="s">
        <v>288</v>
      </c>
      <c r="G139" s="24" t="s">
        <v>288</v>
      </c>
      <c r="H139" s="124">
        <f t="shared" si="7"/>
        <v>284514.65000000002</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-514.65000000002328</v>
      </c>
      <c r="D141" s="24" t="s">
        <v>288</v>
      </c>
      <c r="E141" s="24" t="s">
        <v>288</v>
      </c>
      <c r="F141" s="24" t="s">
        <v>288</v>
      </c>
      <c r="G141" s="24" t="s">
        <v>288</v>
      </c>
      <c r="H141" s="124">
        <f t="shared" si="7"/>
        <v>-514.65000000002328</v>
      </c>
    </row>
    <row r="142" spans="1:8" x14ac:dyDescent="0.2">
      <c r="A142" t="s">
        <v>241</v>
      </c>
      <c r="B142" s="32">
        <v>5310</v>
      </c>
      <c r="C142" s="129">
        <f>'DOE25'!L269</f>
        <v>32083.68</v>
      </c>
      <c r="D142" s="24" t="s">
        <v>288</v>
      </c>
      <c r="E142" s="129">
        <f>'DOE25'!L350</f>
        <v>0</v>
      </c>
      <c r="F142" s="24" t="s">
        <v>288</v>
      </c>
      <c r="G142" s="24" t="s">
        <v>288</v>
      </c>
      <c r="H142" s="124">
        <f t="shared" si="7"/>
        <v>32083.68</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548825.85000000009</v>
      </c>
      <c r="D144" s="141">
        <f>SUM(D130:D143)</f>
        <v>0</v>
      </c>
      <c r="E144" s="141">
        <f>SUM(E130:E143)</f>
        <v>0</v>
      </c>
      <c r="F144" s="141">
        <f>SUM(F130:F143)</f>
        <v>0</v>
      </c>
      <c r="G144" s="141">
        <f>SUM(G130:G143)</f>
        <v>1500</v>
      </c>
      <c r="H144" s="141">
        <f t="shared" si="7"/>
        <v>550325.85000000009</v>
      </c>
    </row>
    <row r="145" spans="1:9" ht="12.75" thickTop="1" thickBot="1" x14ac:dyDescent="0.25">
      <c r="A145" s="33" t="s">
        <v>244</v>
      </c>
      <c r="C145" s="86">
        <f>(C115+C128+C144)</f>
        <v>7936683.5399999991</v>
      </c>
      <c r="D145" s="86">
        <f>(D115+D128+D144)</f>
        <v>220304.28000000003</v>
      </c>
      <c r="E145" s="86">
        <f>(E115+E128+E144)</f>
        <v>295743.79000000004</v>
      </c>
      <c r="F145" s="86">
        <f>(F115+F128+F144)</f>
        <v>0</v>
      </c>
      <c r="G145" s="86">
        <f>(G115+G128+G144)</f>
        <v>1500</v>
      </c>
      <c r="H145" s="86">
        <f t="shared" si="7"/>
        <v>8454231.6099999994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5</v>
      </c>
      <c r="C151" s="153">
        <f>'DOE25'!G491</f>
        <v>0</v>
      </c>
      <c r="D151" s="153">
        <f>'DOE25'!H491</f>
        <v>0</v>
      </c>
      <c r="E151" s="153">
        <f>'DOE25'!I491</f>
        <v>0</v>
      </c>
      <c r="F151" s="153">
        <f>'DOE25'!J491</f>
        <v>0</v>
      </c>
      <c r="G151" s="24" t="s">
        <v>288</v>
      </c>
    </row>
    <row r="152" spans="1:9" x14ac:dyDescent="0.2">
      <c r="A152" s="136" t="s">
        <v>28</v>
      </c>
      <c r="B152" s="152" t="str">
        <f>'DOE25'!F492</f>
        <v>06/19</v>
      </c>
      <c r="C152" s="152">
        <f>'DOE25'!G492</f>
        <v>0</v>
      </c>
      <c r="D152" s="152">
        <f>'DOE25'!H492</f>
        <v>0</v>
      </c>
      <c r="E152" s="152">
        <f>'DOE25'!I492</f>
        <v>0</v>
      </c>
      <c r="F152" s="152">
        <f>'DOE25'!J492</f>
        <v>0</v>
      </c>
      <c r="G152" s="24" t="s">
        <v>288</v>
      </c>
    </row>
    <row r="153" spans="1:9" x14ac:dyDescent="0.2">
      <c r="A153" s="136" t="s">
        <v>29</v>
      </c>
      <c r="B153" s="152" t="str">
        <f>'DOE25'!F493</f>
        <v>08/24</v>
      </c>
      <c r="C153" s="152">
        <f>'DOE25'!G493</f>
        <v>0</v>
      </c>
      <c r="D153" s="152">
        <f>'DOE25'!H493</f>
        <v>0</v>
      </c>
      <c r="E153" s="152">
        <f>'DOE25'!I493</f>
        <v>0</v>
      </c>
      <c r="F153" s="152">
        <f>'DOE25'!J493</f>
        <v>0</v>
      </c>
      <c r="G153" s="24" t="s">
        <v>288</v>
      </c>
    </row>
    <row r="154" spans="1:9" x14ac:dyDescent="0.2">
      <c r="A154" s="136" t="s">
        <v>30</v>
      </c>
      <c r="B154" s="137">
        <f>'DOE25'!F494</f>
        <v>361500</v>
      </c>
      <c r="C154" s="137">
        <f>'DOE25'!G494</f>
        <v>0</v>
      </c>
      <c r="D154" s="137">
        <f>'DOE25'!H494</f>
        <v>0</v>
      </c>
      <c r="E154" s="137">
        <f>'DOE25'!I494</f>
        <v>0</v>
      </c>
      <c r="F154" s="137">
        <f>'DOE25'!J494</f>
        <v>0</v>
      </c>
      <c r="G154" s="24" t="s">
        <v>288</v>
      </c>
    </row>
    <row r="155" spans="1:9" x14ac:dyDescent="0.2">
      <c r="A155" s="136" t="s">
        <v>31</v>
      </c>
      <c r="B155" s="137">
        <f>'DOE25'!F495</f>
        <v>1.49E-2</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210000</v>
      </c>
      <c r="C159" s="137">
        <f>'DOE25'!G499</f>
        <v>0</v>
      </c>
      <c r="D159" s="137">
        <f>'DOE25'!H499</f>
        <v>0</v>
      </c>
      <c r="E159" s="137">
        <f>'DOE25'!I499</f>
        <v>0</v>
      </c>
      <c r="F159" s="137">
        <f>'DOE25'!J499</f>
        <v>0</v>
      </c>
      <c r="G159" s="138">
        <f t="shared" si="8"/>
        <v>210000</v>
      </c>
    </row>
    <row r="160" spans="1:9" x14ac:dyDescent="0.2">
      <c r="A160" s="22" t="s">
        <v>36</v>
      </c>
      <c r="B160" s="137">
        <f>'DOE25'!F500</f>
        <v>16065</v>
      </c>
      <c r="C160" s="137">
        <f>'DOE25'!G500</f>
        <v>0</v>
      </c>
      <c r="D160" s="137">
        <f>'DOE25'!H500</f>
        <v>0</v>
      </c>
      <c r="E160" s="137">
        <f>'DOE25'!I500</f>
        <v>0</v>
      </c>
      <c r="F160" s="137">
        <f>'DOE25'!J500</f>
        <v>0</v>
      </c>
      <c r="G160" s="138">
        <f t="shared" si="8"/>
        <v>16065</v>
      </c>
    </row>
    <row r="161" spans="1:7" x14ac:dyDescent="0.2">
      <c r="A161" s="22" t="s">
        <v>37</v>
      </c>
      <c r="B161" s="137">
        <f>'DOE25'!F501</f>
        <v>226065</v>
      </c>
      <c r="C161" s="137">
        <f>'DOE25'!G501</f>
        <v>0</v>
      </c>
      <c r="D161" s="137">
        <f>'DOE25'!H501</f>
        <v>0</v>
      </c>
      <c r="E161" s="137">
        <f>'DOE25'!I501</f>
        <v>0</v>
      </c>
      <c r="F161" s="137">
        <f>'DOE25'!J501</f>
        <v>0</v>
      </c>
      <c r="G161" s="138">
        <f t="shared" si="8"/>
        <v>226065</v>
      </c>
    </row>
    <row r="162" spans="1:7" x14ac:dyDescent="0.2">
      <c r="A162" s="22" t="s">
        <v>38</v>
      </c>
      <c r="B162" s="137">
        <f>'DOE25'!F502</f>
        <v>70000</v>
      </c>
      <c r="C162" s="137">
        <f>'DOE25'!G502</f>
        <v>0</v>
      </c>
      <c r="D162" s="137">
        <f>'DOE25'!H502</f>
        <v>0</v>
      </c>
      <c r="E162" s="137">
        <f>'DOE25'!I502</f>
        <v>0</v>
      </c>
      <c r="F162" s="137">
        <f>'DOE25'!J502</f>
        <v>0</v>
      </c>
      <c r="G162" s="138">
        <f t="shared" si="8"/>
        <v>70000</v>
      </c>
    </row>
    <row r="163" spans="1:7" x14ac:dyDescent="0.2">
      <c r="A163" s="22" t="s">
        <v>39</v>
      </c>
      <c r="B163" s="137">
        <f>'DOE25'!F503</f>
        <v>8925</v>
      </c>
      <c r="C163" s="137">
        <f>'DOE25'!G503</f>
        <v>0</v>
      </c>
      <c r="D163" s="137">
        <f>'DOE25'!H503</f>
        <v>0</v>
      </c>
      <c r="E163" s="137">
        <f>'DOE25'!I503</f>
        <v>0</v>
      </c>
      <c r="F163" s="137">
        <f>'DOE25'!J503</f>
        <v>0</v>
      </c>
      <c r="G163" s="138">
        <f t="shared" si="8"/>
        <v>8925</v>
      </c>
    </row>
    <row r="164" spans="1:7" x14ac:dyDescent="0.2">
      <c r="A164" s="22" t="s">
        <v>246</v>
      </c>
      <c r="B164" s="137">
        <f>'DOE25'!F504</f>
        <v>78925</v>
      </c>
      <c r="C164" s="137">
        <f>'DOE25'!G504</f>
        <v>0</v>
      </c>
      <c r="D164" s="137">
        <f>'DOE25'!H504</f>
        <v>0</v>
      </c>
      <c r="E164" s="137">
        <f>'DOE25'!I504</f>
        <v>0</v>
      </c>
      <c r="F164" s="137">
        <f>'DOE25'!J504</f>
        <v>0</v>
      </c>
      <c r="G164" s="138">
        <f t="shared" si="8"/>
        <v>78925</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Lincoln-Woodstock Cooperative</v>
      </c>
    </row>
    <row r="3" spans="1:4" x14ac:dyDescent="0.2">
      <c r="B3" s="187" t="s">
        <v>1799</v>
      </c>
    </row>
    <row r="4" spans="1:4" x14ac:dyDescent="0.2">
      <c r="B4" t="s">
        <v>61</v>
      </c>
      <c r="C4" s="178">
        <f>IF('DOE25'!F666+'DOE25'!F671=0,0,ROUND('DOE25'!F673,0))</f>
        <v>31389</v>
      </c>
    </row>
    <row r="5" spans="1:4" x14ac:dyDescent="0.2">
      <c r="B5" t="s">
        <v>700</v>
      </c>
      <c r="C5" s="178">
        <f>IF('DOE25'!G666+'DOE25'!G671=0,0,ROUND('DOE25'!G673,0))</f>
        <v>29606</v>
      </c>
    </row>
    <row r="6" spans="1:4" x14ac:dyDescent="0.2">
      <c r="B6" t="s">
        <v>62</v>
      </c>
      <c r="C6" s="178">
        <f>IF('DOE25'!H666+'DOE25'!H671=0,0,ROUND('DOE25'!H673,0))</f>
        <v>23659</v>
      </c>
    </row>
    <row r="7" spans="1:4" x14ac:dyDescent="0.2">
      <c r="B7" t="s">
        <v>701</v>
      </c>
      <c r="C7" s="178">
        <f>IF('DOE25'!I666+'DOE25'!I671=0,0,ROUND('DOE25'!I673,0))</f>
        <v>28253</v>
      </c>
    </row>
    <row r="9" spans="1:4" x14ac:dyDescent="0.2">
      <c r="A9" s="186" t="s">
        <v>94</v>
      </c>
      <c r="B9" s="187" t="s">
        <v>1800</v>
      </c>
      <c r="C9" s="180" t="s">
        <v>720</v>
      </c>
      <c r="D9" s="180" t="s">
        <v>721</v>
      </c>
    </row>
    <row r="10" spans="1:4" x14ac:dyDescent="0.2">
      <c r="A10">
        <v>1100</v>
      </c>
      <c r="B10" t="s">
        <v>702</v>
      </c>
      <c r="C10" s="178">
        <f>ROUND('DOE25'!L198+'DOE25'!L216+'DOE25'!L234+'DOE25'!L277+'DOE25'!L296+'DOE25'!L315,0)</f>
        <v>3752527</v>
      </c>
      <c r="D10" s="181">
        <f>ROUND((C10/$C$28)*100,1)</f>
        <v>47.3</v>
      </c>
    </row>
    <row r="11" spans="1:4" x14ac:dyDescent="0.2">
      <c r="A11">
        <v>1200</v>
      </c>
      <c r="B11" t="s">
        <v>703</v>
      </c>
      <c r="C11" s="178">
        <f>ROUND('DOE25'!L199+'DOE25'!L217+'DOE25'!L235+'DOE25'!L278+'DOE25'!L297+'DOE25'!L316,0)</f>
        <v>1031028</v>
      </c>
      <c r="D11" s="181">
        <f>ROUND((C11/$C$28)*100,1)</f>
        <v>13</v>
      </c>
    </row>
    <row r="12" spans="1:4" x14ac:dyDescent="0.2">
      <c r="A12">
        <v>1300</v>
      </c>
      <c r="B12" t="s">
        <v>704</v>
      </c>
      <c r="C12" s="178">
        <f>ROUND('DOE25'!L200+'DOE25'!L218+'DOE25'!L236+'DOE25'!L279+'DOE25'!L298+'DOE25'!L317,0)</f>
        <v>4202</v>
      </c>
      <c r="D12" s="181">
        <f>ROUND((C12/$C$28)*100,1)</f>
        <v>0.1</v>
      </c>
    </row>
    <row r="13" spans="1:4" x14ac:dyDescent="0.2">
      <c r="A13">
        <v>1400</v>
      </c>
      <c r="B13" t="s">
        <v>705</v>
      </c>
      <c r="C13" s="178">
        <f>ROUND('DOE25'!L201+'DOE25'!L219+'DOE25'!L237+'DOE25'!L280+'DOE25'!L299+'DOE25'!L318,0)</f>
        <v>145259</v>
      </c>
      <c r="D13" s="181">
        <f>ROUND((C13/$C$28)*100,1)</f>
        <v>1.8</v>
      </c>
    </row>
    <row r="14" spans="1:4" x14ac:dyDescent="0.2">
      <c r="D14" s="181"/>
    </row>
    <row r="15" spans="1:4" x14ac:dyDescent="0.2">
      <c r="A15">
        <v>2100</v>
      </c>
      <c r="B15" t="s">
        <v>706</v>
      </c>
      <c r="C15" s="178">
        <f>ROUND('DOE25'!L203+'DOE25'!L221+'DOE25'!L239+'DOE25'!L282+'DOE25'!L301+'DOE25'!L320,0)</f>
        <v>750104</v>
      </c>
      <c r="D15" s="181">
        <f t="shared" ref="D15:D27" si="0">ROUND((C15/$C$28)*100,1)</f>
        <v>9.4</v>
      </c>
    </row>
    <row r="16" spans="1:4" x14ac:dyDescent="0.2">
      <c r="A16">
        <v>2200</v>
      </c>
      <c r="B16" t="s">
        <v>707</v>
      </c>
      <c r="C16" s="178">
        <f>ROUND('DOE25'!L204+'DOE25'!L222+'DOE25'!L240+'DOE25'!L283+'DOE25'!L302+'DOE25'!L321,0)</f>
        <v>201862</v>
      </c>
      <c r="D16" s="181">
        <f t="shared" si="0"/>
        <v>2.5</v>
      </c>
    </row>
    <row r="17" spans="1:4" x14ac:dyDescent="0.2">
      <c r="A17" s="182" t="s">
        <v>723</v>
      </c>
      <c r="B17" t="s">
        <v>738</v>
      </c>
      <c r="C17" s="178">
        <f>ROUND('DOE25'!L205+'DOE25'!L210+'DOE25'!L223+'DOE25'!L228+'DOE25'!L241+'DOE25'!L246+'DOE25'!L284+'DOE25'!L289+'DOE25'!L303+'DOE25'!L308+'DOE25'!L322+'DOE25'!L327,0)</f>
        <v>634306</v>
      </c>
      <c r="D17" s="181">
        <f t="shared" si="0"/>
        <v>8</v>
      </c>
    </row>
    <row r="18" spans="1:4" x14ac:dyDescent="0.2">
      <c r="A18">
        <v>2400</v>
      </c>
      <c r="B18" t="s">
        <v>711</v>
      </c>
      <c r="C18" s="178">
        <f>ROUND('DOE25'!L206+'DOE25'!L224+'DOE25'!L242+'DOE25'!L285+'DOE25'!L304+'DOE25'!L323,0)</f>
        <v>398628</v>
      </c>
      <c r="D18" s="181">
        <f t="shared" si="0"/>
        <v>5</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577426</v>
      </c>
      <c r="D20" s="181">
        <f t="shared" si="0"/>
        <v>7.3</v>
      </c>
    </row>
    <row r="21" spans="1:4" x14ac:dyDescent="0.2">
      <c r="A21">
        <v>2700</v>
      </c>
      <c r="B21" t="s">
        <v>710</v>
      </c>
      <c r="C21" s="178">
        <f>ROUND('DOE25'!L209+'DOE25'!L227+'DOE25'!L245+'DOE25'!L288+'DOE25'!L307+'DOE25'!L326,0)</f>
        <v>188259</v>
      </c>
      <c r="D21" s="181">
        <f t="shared" si="0"/>
        <v>2.4</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12623</v>
      </c>
      <c r="D25" s="181">
        <f t="shared" si="0"/>
        <v>0.2</v>
      </c>
    </row>
    <row r="26" spans="1:4" x14ac:dyDescent="0.2">
      <c r="A26" s="182" t="s">
        <v>717</v>
      </c>
      <c r="B26" t="s">
        <v>718</v>
      </c>
      <c r="C26" s="178">
        <f>'DOE25'!L269+'DOE25'!L270+'DOE25'!L350+'DOE25'!L351</f>
        <v>32083.68</v>
      </c>
      <c r="D26" s="181">
        <f t="shared" si="0"/>
        <v>0.4</v>
      </c>
    </row>
    <row r="27" spans="1:4" x14ac:dyDescent="0.2">
      <c r="A27">
        <v>3100</v>
      </c>
      <c r="B27" t="s">
        <v>11</v>
      </c>
      <c r="C27" s="178">
        <f>ROUND('DOE25'!L363-'DOE25'!L362,0)-SUM('DOE25'!G97:G110)</f>
        <v>209960.12</v>
      </c>
      <c r="D27" s="181">
        <f t="shared" si="0"/>
        <v>2.6</v>
      </c>
    </row>
    <row r="28" spans="1:4" x14ac:dyDescent="0.2">
      <c r="B28" s="186" t="s">
        <v>719</v>
      </c>
      <c r="C28" s="179">
        <f>SUM(C10:C27)</f>
        <v>7938267.7999999998</v>
      </c>
      <c r="D28" s="183">
        <f>ROUND(SUM(D10:D27),0)</f>
        <v>100</v>
      </c>
    </row>
    <row r="29" spans="1:4" x14ac:dyDescent="0.2">
      <c r="A29">
        <v>4000</v>
      </c>
      <c r="B29" t="s">
        <v>724</v>
      </c>
      <c r="C29" s="178">
        <f>ROUND('DOE25'!L256+'DOE25'!L337+'DOE25'!L375+'DOE25'!L376+'DOE25'!L377+'DOE25'!L378+'DOE25'!L379+'DOE25'!L380+'DOE25'!L381,0)</f>
        <v>138500</v>
      </c>
    </row>
    <row r="30" spans="1:4" x14ac:dyDescent="0.2">
      <c r="B30" s="186" t="s">
        <v>725</v>
      </c>
      <c r="C30" s="179">
        <f>SUM(C28:C29)</f>
        <v>8076767.7999999998</v>
      </c>
    </row>
    <row r="31" spans="1:4" x14ac:dyDescent="0.2">
      <c r="B31" s="33"/>
      <c r="C31" s="179"/>
    </row>
    <row r="32" spans="1:4" x14ac:dyDescent="0.2">
      <c r="A32">
        <v>5100</v>
      </c>
      <c r="B32" s="33" t="s">
        <v>726</v>
      </c>
      <c r="C32" s="179">
        <f>ROUND('DOE25'!L261+'DOE25'!L342,0)</f>
        <v>75000</v>
      </c>
    </row>
    <row r="34" spans="1:4" x14ac:dyDescent="0.2">
      <c r="A34" s="186" t="s">
        <v>94</v>
      </c>
      <c r="B34" s="187" t="s">
        <v>1801</v>
      </c>
      <c r="C34" s="180" t="s">
        <v>720</v>
      </c>
      <c r="D34" s="180" t="s">
        <v>721</v>
      </c>
    </row>
    <row r="35" spans="1:4" x14ac:dyDescent="0.2">
      <c r="A35">
        <v>1100</v>
      </c>
      <c r="B35" s="184" t="s">
        <v>727</v>
      </c>
      <c r="C35" s="178">
        <f>ROUND('DOE25'!F60+'DOE25'!G60+'DOE25'!H60+'DOE25'!I60+'DOE25'!J60,0)</f>
        <v>5001318</v>
      </c>
      <c r="D35" s="181">
        <f t="shared" ref="D35:D40" si="1">ROUND((C35/$C$41)*100,1)</f>
        <v>60</v>
      </c>
    </row>
    <row r="36" spans="1:4" x14ac:dyDescent="0.2">
      <c r="B36" s="184" t="s">
        <v>739</v>
      </c>
      <c r="C36" s="178">
        <f>SUM('DOE25'!F112:J112)-SUM('DOE25'!G97:G110)+('DOE25'!F175+'DOE25'!F176+'DOE25'!I175+'DOE25'!I176)-C35</f>
        <v>29417.519999999553</v>
      </c>
      <c r="D36" s="181">
        <f t="shared" si="1"/>
        <v>0.4</v>
      </c>
    </row>
    <row r="37" spans="1:4" x14ac:dyDescent="0.2">
      <c r="A37" s="182" t="s">
        <v>835</v>
      </c>
      <c r="B37" s="184" t="s">
        <v>728</v>
      </c>
      <c r="C37" s="178">
        <f>ROUND('DOE25'!F117+'DOE25'!F118,0)</f>
        <v>2730507</v>
      </c>
      <c r="D37" s="181">
        <f t="shared" si="1"/>
        <v>32.799999999999997</v>
      </c>
    </row>
    <row r="38" spans="1:4" x14ac:dyDescent="0.2">
      <c r="A38" s="182" t="s">
        <v>734</v>
      </c>
      <c r="B38" s="184" t="s">
        <v>729</v>
      </c>
      <c r="C38" s="178">
        <f>ROUND(SUM('DOE25'!F140:J140)-SUM('DOE25'!F117:F119),0)</f>
        <v>2590</v>
      </c>
      <c r="D38" s="181">
        <f t="shared" si="1"/>
        <v>0</v>
      </c>
    </row>
    <row r="39" spans="1:4" x14ac:dyDescent="0.2">
      <c r="A39">
        <v>4000</v>
      </c>
      <c r="B39" s="184" t="s">
        <v>730</v>
      </c>
      <c r="C39" s="178">
        <f>ROUND('DOE25'!F170+'DOE25'!G170+'DOE25'!H170+'DOE25'!I170,0)</f>
        <v>568788</v>
      </c>
      <c r="D39" s="181">
        <f t="shared" si="1"/>
        <v>6.8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8332620.5199999996</v>
      </c>
      <c r="D41" s="183">
        <f>SUM(D35:D40)</f>
        <v>99.999999999999986</v>
      </c>
    </row>
    <row r="42" spans="1:4" x14ac:dyDescent="0.2">
      <c r="A42" s="182" t="s">
        <v>737</v>
      </c>
      <c r="B42" s="184" t="s">
        <v>733</v>
      </c>
      <c r="C42" s="178">
        <f>ROUND('DOE25'!F174+'DOE25'!I174+'DOE25'!F177+'DOE25'!I177,0)</f>
        <v>540000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6" sqref="C6:M6"/>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Lincoln-Woodstock Cooperative</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v>3</v>
      </c>
      <c r="B4" s="218">
        <v>24</v>
      </c>
      <c r="C4" s="388" t="s">
        <v>1804</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v>5</v>
      </c>
      <c r="B5" s="218">
        <v>2</v>
      </c>
      <c r="C5" s="388" t="s">
        <v>1805</v>
      </c>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161</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38</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45</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f>IF('School Level Expenditures'!$B$2='School Tables'!L41,'School Tables'!S41,"")</f>
        <v>38</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f>IF('School Level Expenditures'!$B$2='School Tables'!W48,'School Tables'!AD48,"")</f>
        <v>45</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f>IF('School Level Expenditures'!$B$2=A164,'School Tables'!H164,"")</f>
        <v>161</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2022-09-25T20:45:42Z</cp:lastPrinted>
  <dcterms:created xsi:type="dcterms:W3CDTF">1997-12-04T19:04:30Z</dcterms:created>
  <dcterms:modified xsi:type="dcterms:W3CDTF">2022-12-19T16:23:35Z</dcterms:modified>
</cp:coreProperties>
</file>