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3EB67D7-E8AB-4325-8AAB-DAC1566F1D4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F580" i="1"/>
  <c r="I544" i="1"/>
  <c r="I543" i="1"/>
  <c r="I542" i="1"/>
  <c r="H544" i="1"/>
  <c r="H543" i="1"/>
  <c r="H542" i="1"/>
  <c r="G542" i="1"/>
  <c r="G544" i="1"/>
  <c r="G543" i="1"/>
  <c r="I529" i="1"/>
  <c r="H529" i="1"/>
  <c r="G529" i="1"/>
  <c r="F529" i="1"/>
  <c r="I528" i="1"/>
  <c r="H528" i="1"/>
  <c r="G528" i="1"/>
  <c r="F528" i="1"/>
  <c r="I527" i="1"/>
  <c r="H527" i="1"/>
  <c r="F527" i="1"/>
  <c r="H522" i="1"/>
  <c r="I524" i="1"/>
  <c r="H524" i="1"/>
  <c r="K524" i="1"/>
  <c r="G524" i="1"/>
  <c r="F524" i="1"/>
  <c r="I523" i="1"/>
  <c r="H523" i="1"/>
  <c r="K523" i="1"/>
  <c r="G523" i="1"/>
  <c r="F523" i="1"/>
  <c r="J522" i="1"/>
  <c r="I522" i="1"/>
  <c r="K522" i="1"/>
  <c r="G522" i="1"/>
  <c r="F522" i="1"/>
  <c r="C10" i="12" l="1"/>
  <c r="C11" i="12"/>
  <c r="C20" i="12"/>
  <c r="C19" i="12"/>
  <c r="H155" i="1"/>
  <c r="J605" i="1"/>
  <c r="I605" i="1"/>
  <c r="H605" i="1"/>
  <c r="J593" i="1"/>
  <c r="I593" i="1"/>
  <c r="H593" i="1"/>
  <c r="H361" i="1"/>
  <c r="H360" i="1"/>
  <c r="H359" i="1"/>
  <c r="G469" i="1"/>
  <c r="G473" i="1"/>
  <c r="G320" i="1"/>
  <c r="F320" i="1"/>
  <c r="J321" i="1"/>
  <c r="H321" i="1"/>
  <c r="I303" i="1"/>
  <c r="K303" i="1"/>
  <c r="H303" i="1"/>
  <c r="G278" i="1"/>
  <c r="K284" i="1"/>
  <c r="J280" i="1"/>
  <c r="J278" i="1"/>
  <c r="I278" i="1"/>
  <c r="H278" i="1"/>
  <c r="F278" i="1"/>
  <c r="I277" i="1"/>
  <c r="H277" i="1"/>
  <c r="G277" i="1"/>
  <c r="F277" i="1"/>
  <c r="J308" i="1"/>
  <c r="J306" i="1"/>
  <c r="I306" i="1"/>
  <c r="H304" i="1"/>
  <c r="I301" i="1"/>
  <c r="F301" i="1"/>
  <c r="K297" i="1"/>
  <c r="G297" i="1"/>
  <c r="F297" i="1"/>
  <c r="I296" i="1"/>
  <c r="G296" i="1"/>
  <c r="F296" i="1"/>
  <c r="J289" i="1"/>
  <c r="J287" i="1"/>
  <c r="I287" i="1"/>
  <c r="H285" i="1"/>
  <c r="K282" i="1"/>
  <c r="I282" i="1"/>
  <c r="F282" i="1"/>
  <c r="K278" i="1"/>
  <c r="J325" i="1" l="1"/>
  <c r="H323" i="1"/>
  <c r="K322" i="1"/>
  <c r="I320" i="1"/>
  <c r="K316" i="1"/>
  <c r="G316" i="1"/>
  <c r="F316" i="1"/>
  <c r="I315" i="1"/>
  <c r="H315" i="1"/>
  <c r="G315" i="1"/>
  <c r="F315" i="1"/>
  <c r="G241" i="1"/>
  <c r="G245" i="1"/>
  <c r="F245" i="1"/>
  <c r="H241" i="1"/>
  <c r="F241" i="1"/>
  <c r="G234" i="1"/>
  <c r="F234" i="1"/>
  <c r="G227" i="1"/>
  <c r="F227" i="1"/>
  <c r="H223" i="1"/>
  <c r="G223" i="1"/>
  <c r="F223" i="1"/>
  <c r="G216" i="1"/>
  <c r="F216" i="1"/>
  <c r="G209" i="1"/>
  <c r="F209" i="1"/>
  <c r="H205" i="1"/>
  <c r="G205" i="1"/>
  <c r="F205" i="1"/>
  <c r="I234" i="1"/>
  <c r="G198" i="1"/>
  <c r="F198" i="1"/>
  <c r="H239" i="1" l="1"/>
  <c r="J246" i="1"/>
  <c r="I246" i="1"/>
  <c r="H246" i="1"/>
  <c r="G246" i="1"/>
  <c r="F246" i="1"/>
  <c r="I245" i="1"/>
  <c r="H245" i="1"/>
  <c r="J244" i="1"/>
  <c r="I244" i="1"/>
  <c r="H244" i="1"/>
  <c r="G244" i="1"/>
  <c r="F244" i="1"/>
  <c r="K242" i="1"/>
  <c r="G242" i="1"/>
  <c r="F242" i="1"/>
  <c r="J242" i="1"/>
  <c r="I242" i="1"/>
  <c r="H242" i="1"/>
  <c r="K241" i="1"/>
  <c r="I240" i="1"/>
  <c r="G240" i="1"/>
  <c r="F240" i="1"/>
  <c r="K240" i="1"/>
  <c r="I239" i="1"/>
  <c r="G239" i="1"/>
  <c r="F239" i="1"/>
  <c r="K237" i="1"/>
  <c r="J237" i="1"/>
  <c r="I237" i="1"/>
  <c r="H237" i="1"/>
  <c r="G237" i="1"/>
  <c r="F237" i="1"/>
  <c r="I236" i="1"/>
  <c r="G236" i="1"/>
  <c r="F236" i="1"/>
  <c r="I235" i="1"/>
  <c r="H235" i="1"/>
  <c r="G235" i="1"/>
  <c r="F235" i="1"/>
  <c r="J234" i="1"/>
  <c r="H234" i="1"/>
  <c r="G217" i="1"/>
  <c r="J228" i="1"/>
  <c r="I228" i="1"/>
  <c r="H228" i="1"/>
  <c r="F228" i="1"/>
  <c r="I227" i="1"/>
  <c r="H227" i="1"/>
  <c r="J226" i="1"/>
  <c r="H226" i="1"/>
  <c r="F226" i="1"/>
  <c r="G224" i="1"/>
  <c r="F224" i="1"/>
  <c r="K224" i="1"/>
  <c r="J224" i="1"/>
  <c r="I224" i="1"/>
  <c r="H224" i="1"/>
  <c r="K223" i="1"/>
  <c r="K222" i="1"/>
  <c r="I222" i="1"/>
  <c r="F222" i="1"/>
  <c r="I221" i="1"/>
  <c r="H221" i="1"/>
  <c r="G221" i="1"/>
  <c r="F221" i="1"/>
  <c r="K219" i="1"/>
  <c r="J219" i="1"/>
  <c r="I219" i="1"/>
  <c r="H219" i="1"/>
  <c r="G219" i="1"/>
  <c r="F219" i="1"/>
  <c r="I218" i="1"/>
  <c r="G218" i="1"/>
  <c r="F218" i="1"/>
  <c r="I217" i="1"/>
  <c r="H217" i="1"/>
  <c r="F217" i="1"/>
  <c r="J216" i="1"/>
  <c r="I216" i="1"/>
  <c r="H216" i="1"/>
  <c r="I198" i="1"/>
  <c r="J210" i="1"/>
  <c r="I210" i="1"/>
  <c r="H210" i="1"/>
  <c r="G210" i="1"/>
  <c r="F210" i="1"/>
  <c r="H209" i="1"/>
  <c r="J208" i="1"/>
  <c r="I208" i="1"/>
  <c r="H208" i="1"/>
  <c r="G208" i="1"/>
  <c r="F208" i="1"/>
  <c r="G206" i="1"/>
  <c r="F206" i="1"/>
  <c r="K206" i="1"/>
  <c r="J206" i="1"/>
  <c r="I206" i="1"/>
  <c r="H206" i="1"/>
  <c r="I204" i="1"/>
  <c r="K204" i="1"/>
  <c r="H204" i="1"/>
  <c r="G204" i="1"/>
  <c r="F204" i="1"/>
  <c r="H203" i="1"/>
  <c r="F203" i="1"/>
  <c r="I203" i="1"/>
  <c r="G203" i="1"/>
  <c r="I200" i="1"/>
  <c r="I199" i="1"/>
  <c r="F199" i="1"/>
  <c r="H199" i="1"/>
  <c r="G199" i="1"/>
  <c r="J198" i="1"/>
  <c r="H198" i="1"/>
  <c r="F117" i="1"/>
  <c r="F118" i="1"/>
  <c r="F110" i="1"/>
  <c r="F57" i="1"/>
  <c r="I361" i="1"/>
  <c r="I360" i="1"/>
  <c r="I359" i="1"/>
  <c r="G13"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4"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F85" i="2" l="1"/>
  <c r="H72" i="2"/>
  <c r="H35" i="2"/>
  <c r="H34" i="2"/>
  <c r="H29" i="2"/>
  <c r="H12" i="2"/>
  <c r="H113" i="2"/>
  <c r="H9" i="2"/>
  <c r="H137" i="2"/>
  <c r="H94" i="2"/>
  <c r="H69" i="2"/>
  <c r="H30" i="2"/>
  <c r="H28" i="2"/>
  <c r="H27" i="2"/>
  <c r="H25" i="2"/>
  <c r="H24" i="2"/>
  <c r="H17" i="2"/>
  <c r="H8" i="2"/>
  <c r="H132" i="2"/>
  <c r="H36" i="2"/>
  <c r="H38" i="2"/>
  <c r="H43" i="2"/>
  <c r="H44" i="2"/>
  <c r="H47" i="2"/>
  <c r="H48" i="2"/>
  <c r="D144" i="2"/>
  <c r="H102" i="2"/>
  <c r="H101" i="2"/>
  <c r="H100" i="2"/>
  <c r="H99" i="2"/>
  <c r="H98" i="2"/>
  <c r="H89" i="2"/>
  <c r="H79" i="2"/>
  <c r="H76" i="2"/>
  <c r="H73" i="2"/>
  <c r="H58" i="2"/>
  <c r="H15" i="2"/>
  <c r="H143" i="2"/>
  <c r="C125" i="2"/>
  <c r="I409" i="1"/>
  <c r="H97" i="2"/>
  <c r="H96" i="2"/>
  <c r="H61" i="2"/>
  <c r="H22" i="2"/>
  <c r="H13" i="2"/>
  <c r="J652" i="1"/>
  <c r="E125" i="2"/>
  <c r="E120" i="2"/>
  <c r="H23" i="2"/>
  <c r="H11" i="2"/>
  <c r="H477" i="1"/>
  <c r="H625" i="1" s="1"/>
  <c r="J625" i="1" s="1"/>
  <c r="E121" i="2"/>
  <c r="H112" i="2"/>
  <c r="C13" i="10"/>
  <c r="C32" i="10"/>
  <c r="C119" i="2"/>
  <c r="D6" i="13"/>
  <c r="C6" i="13" s="1"/>
  <c r="A40" i="12"/>
  <c r="C12" i="10"/>
  <c r="C110" i="2"/>
  <c r="C120" i="2"/>
  <c r="C121" i="2"/>
  <c r="H59" i="2"/>
  <c r="G477" i="1"/>
  <c r="H624" i="1" s="1"/>
  <c r="J624" i="1" s="1"/>
  <c r="G662" i="1"/>
  <c r="D78" i="2"/>
  <c r="D81" i="2" s="1"/>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5" i="2" l="1"/>
  <c r="B33" i="16"/>
  <c r="G24" i="14"/>
  <c r="H24" i="14" s="1"/>
  <c r="I24" i="14" s="1"/>
  <c r="H62" i="2"/>
  <c r="F194" i="1"/>
  <c r="G628" i="1" s="1"/>
  <c r="J628" i="1" s="1"/>
  <c r="H103" i="2"/>
  <c r="H16" i="2"/>
  <c r="H134" i="2"/>
  <c r="H21" i="2"/>
  <c r="H57" i="2"/>
  <c r="H78" i="2"/>
  <c r="C81" i="2"/>
  <c r="H81" i="2" s="1"/>
  <c r="H120" i="2"/>
  <c r="H121" i="2"/>
  <c r="E128" i="2"/>
  <c r="E115" i="2"/>
  <c r="H118" i="2"/>
  <c r="H119" i="2"/>
  <c r="H110" i="2"/>
  <c r="H109" i="2"/>
  <c r="F661" i="1"/>
  <c r="F665" i="1" s="1"/>
  <c r="F668" i="1" s="1"/>
  <c r="E91" i="2"/>
  <c r="E104" i="2" s="1"/>
  <c r="H85" i="2"/>
  <c r="I663" i="1"/>
  <c r="D128" i="2"/>
  <c r="H127" i="2"/>
  <c r="D51" i="2"/>
  <c r="H31" i="2"/>
  <c r="H18" i="2"/>
  <c r="G50" i="2"/>
  <c r="H50" i="2" s="1"/>
  <c r="H42"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51" i="2" l="1"/>
  <c r="E145" i="2"/>
  <c r="H51" i="2"/>
  <c r="H115" i="2"/>
  <c r="H91" i="2"/>
  <c r="H63" i="2"/>
  <c r="H673" i="1"/>
  <c r="C6" i="10" s="1"/>
  <c r="D145" i="2"/>
  <c r="H128" i="2"/>
  <c r="H104"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<sst xmlns="http://schemas.openxmlformats.org/spreadsheetml/2006/main" count="6548" uniqueCount="1802">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</sst>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5" zoomScale="148" zoomScaleNormal="148"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1187</v>
      </c>
      <c r="B2" s="126">
        <f>INDEX('School Tables'!$AH$3:$AH$208,MATCH('DOE25'!A2,'School Tables'!$AJ$3:$AJ$208,0))</f>
        <v>306</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300906.39</v>
      </c>
      <c r="G9" s="18"/>
      <c r="H9" s="18"/>
      <c r="I9" s="18"/>
      <c r="J9" s="67">
        <f>SUM(I440)</f>
        <v>511365.37</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244278.88</v>
      </c>
      <c r="G12" s="18" t="s">
        <v>286</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f>104944.69+273.99</f>
        <v>105218.68000000001</v>
      </c>
      <c r="H13" s="18">
        <v>237681.72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v>4.9000000000000004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545185.27</v>
      </c>
      <c r="G19" s="41">
        <f>SUM(G9:G18)</f>
        <v>105223.58</v>
      </c>
      <c r="H19" s="41">
        <f>SUM(H9:H18)</f>
        <v>237681.72</v>
      </c>
      <c r="I19" s="41">
        <f>SUM(I9:I18)</f>
        <v>0</v>
      </c>
      <c r="J19" s="41">
        <f>SUM(J9:J18)</f>
        <v>511365.37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24693.23</v>
      </c>
      <c r="H22" s="18">
        <v>219585.65</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19628.349999999999</v>
      </c>
      <c r="G24" s="18">
        <v>10847.8</v>
      </c>
      <c r="H24" s="18">
        <v>18096.07</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146524.04</v>
      </c>
      <c r="G30" s="18">
        <v>9059.4599999999991</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166152.39000000001</v>
      </c>
      <c r="G32" s="41">
        <f>SUM(G22:G31)</f>
        <v>44600.49</v>
      </c>
      <c r="H32" s="41">
        <f>SUM(H22:H31)</f>
        <v>237681.72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60623.09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511365.37</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80733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298299.88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379032.88</v>
      </c>
      <c r="G51" s="41">
        <f>SUM(G35:G50)</f>
        <v>60623.09</v>
      </c>
      <c r="H51" s="41">
        <f>SUM(H35:H50)</f>
        <v>0</v>
      </c>
      <c r="I51" s="41">
        <f>SUM(I35:I50)</f>
        <v>0</v>
      </c>
      <c r="J51" s="41">
        <f>SUM(J35:J50)</f>
        <v>511365.37</v>
      </c>
      <c r="K51" s="45" t="s">
        <v>288</v>
      </c>
      <c r="L51" s="45" t="s">
        <v>288</v>
      </c>
      <c r="N51" s="263"/>
    </row>
    <row r="52" spans="1:14" s="3" customFormat="1" ht="12.2" customHeight="1" thickTop="1" x14ac:dyDescent="0.15">
      <c r="A52" s="38" t="s">
        <v>455</v>
      </c>
      <c r="B52" s="39" t="s">
        <v>289</v>
      </c>
      <c r="C52" s="6">
        <v>37</v>
      </c>
      <c r="D52" s="39" t="s">
        <v>653</v>
      </c>
      <c r="E52" s="39"/>
      <c r="F52" s="41">
        <f>F51+F32</f>
        <v>545185.27</v>
      </c>
      <c r="G52" s="41">
        <f>G51+G32</f>
        <v>105223.57999999999</v>
      </c>
      <c r="H52" s="41">
        <f>H51+H32</f>
        <v>237681.72</v>
      </c>
      <c r="I52" s="41">
        <f>I51+I32</f>
        <v>0</v>
      </c>
      <c r="J52" s="41">
        <f>J51+J32</f>
        <v>511365.37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(905256-135376)+(2324082-213275)</f>
        <v>2880687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2880687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30320.03</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506460.91</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536780.93999999994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480</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480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1673.26</v>
      </c>
      <c r="G96" s="18"/>
      <c r="H96" s="18"/>
      <c r="I96" s="18"/>
      <c r="J96" s="18">
        <v>554.04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7524.76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1800</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8819.44</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52764.57+5542.28+103.42</f>
        <v>58410.27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70702.97</v>
      </c>
      <c r="G111" s="41">
        <f>SUM(G96:G110)</f>
        <v>7524.76</v>
      </c>
      <c r="H111" s="41">
        <f>SUM(H96:H110)</f>
        <v>0</v>
      </c>
      <c r="I111" s="41">
        <f>SUM(I96:I110)</f>
        <v>0</v>
      </c>
      <c r="J111" s="41">
        <f>SUM(J96:J110)</f>
        <v>554.04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3488650.91</v>
      </c>
      <c r="G112" s="41">
        <f>G60+G111</f>
        <v>7524.76</v>
      </c>
      <c r="H112" s="41">
        <f>H60+H79+H94+H111</f>
        <v>0</v>
      </c>
      <c r="I112" s="41">
        <f>I60+I111</f>
        <v>0</v>
      </c>
      <c r="J112" s="41">
        <f>J60+J111</f>
        <v>554.04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2320244.77</f>
        <v>2320244.77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f>213275+135376</f>
        <v>348651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1308.06</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2670203.83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t="s">
        <v>286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t="s">
        <v>286</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12936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2911.92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12005</v>
      </c>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24941</v>
      </c>
      <c r="G136" s="41">
        <f>SUM(G123:G135)</f>
        <v>2911.92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2695144.83</v>
      </c>
      <c r="G140" s="41">
        <f>G121+SUM(G136:G137)</f>
        <v>2911.92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t="s">
        <v>286</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219266.22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10722.92+4444.5</f>
        <v>15167.42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221633.31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121544.66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15118.25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47423.5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241686.04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15118.25</v>
      </c>
      <c r="G163" s="41">
        <f>SUM(G150:G162)</f>
        <v>221633.31</v>
      </c>
      <c r="H163" s="41">
        <f>SUM(H150:H162)</f>
        <v>645087.84000000008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696.98</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t="s">
        <v>286</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15815.23</v>
      </c>
      <c r="G170" s="41">
        <f>G147+G163+SUM(G164:G169)</f>
        <v>221633.31</v>
      </c>
      <c r="H170" s="41">
        <f>H147+H163+SUM(H164:H169)</f>
        <v>645087.84000000008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6199610.9700000007</v>
      </c>
      <c r="G194" s="47">
        <f>G112+G140+G170+G193</f>
        <v>232069.99</v>
      </c>
      <c r="H194" s="47">
        <f>H112+H140+H170+H193</f>
        <v>645087.84000000008</v>
      </c>
      <c r="I194" s="47">
        <f>I112+I140+I170+I193</f>
        <v>0</v>
      </c>
      <c r="J194" s="47">
        <f>J112+J140+J193</f>
        <v>554.04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744948.71+7655.85</f>
        <v>752604.55999999994</v>
      </c>
      <c r="G198" s="18">
        <f>364216.59+1658.19</f>
        <v>365874.78</v>
      </c>
      <c r="H198" s="18">
        <f>102.31</f>
        <v>102.31</v>
      </c>
      <c r="I198" s="18">
        <f>10234.29</f>
        <v>10234.290000000001</v>
      </c>
      <c r="J198" s="18">
        <f>2501.72</f>
        <v>2501.7199999999998</v>
      </c>
      <c r="K198" s="18"/>
      <c r="L198" s="19">
        <f>SUM(F198:K198)</f>
        <v>1131317.6599999999</v>
      </c>
      <c r="M198" s="8"/>
      <c r="N198" s="265"/>
    </row>
    <row r="199" spans="1:14" s="3" customFormat="1" ht="12.2" customHeight="1" x14ac:dyDescent="0.15">
      <c r="A199" s="1" t="s">
        <v>439</v>
      </c>
      <c r="B199" s="2" t="s">
        <v>341</v>
      </c>
      <c r="C199" s="2" t="s">
        <v>291</v>
      </c>
      <c r="D199" s="2" t="s">
        <v>431</v>
      </c>
      <c r="E199" s="6">
        <v>1200</v>
      </c>
      <c r="F199" s="18">
        <f>259792.64</f>
        <v>259792.64000000001</v>
      </c>
      <c r="G199" s="18">
        <f>120652.23</f>
        <v>120652.23</v>
      </c>
      <c r="H199" s="18">
        <f>12323.65</f>
        <v>12323.65</v>
      </c>
      <c r="I199" s="18">
        <f>845.25-497.59</f>
        <v>347.66</v>
      </c>
      <c r="J199" s="18"/>
      <c r="K199" s="18"/>
      <c r="L199" s="19">
        <f>SUM(F199:K199)</f>
        <v>393116.18</v>
      </c>
      <c r="M199" s="8"/>
      <c r="N199" s="265"/>
    </row>
    <row r="200" spans="1:14" s="3" customFormat="1" ht="12.2" customHeight="1" x14ac:dyDescent="0.15">
      <c r="A200" s="1" t="s">
        <v>440</v>
      </c>
      <c r="B200" s="2" t="s">
        <v>341</v>
      </c>
      <c r="C200" s="2" t="s">
        <v>292</v>
      </c>
      <c r="D200" s="2" t="s">
        <v>431</v>
      </c>
      <c r="E200" s="6">
        <v>1300</v>
      </c>
      <c r="F200" s="18"/>
      <c r="G200" s="18"/>
      <c r="H200" s="18"/>
      <c r="I200" s="18">
        <f>497.59</f>
        <v>497.59</v>
      </c>
      <c r="J200" s="18"/>
      <c r="K200" s="18"/>
      <c r="L200" s="19">
        <f>SUM(F200:K200)</f>
        <v>497.59</v>
      </c>
      <c r="M200" s="8"/>
      <c r="N200" s="265"/>
    </row>
    <row r="201" spans="1:14" s="3" customFormat="1" ht="12.2" customHeight="1" x14ac:dyDescent="0.15">
      <c r="A201" s="1" t="s">
        <v>441</v>
      </c>
      <c r="B201" s="2" t="s">
        <v>341</v>
      </c>
      <c r="C201" s="2" t="s">
        <v>293</v>
      </c>
      <c r="D201" s="2" t="s">
        <v>431</v>
      </c>
      <c r="E201" s="6">
        <v>1400</v>
      </c>
      <c r="F201" s="18"/>
      <c r="G201" s="18"/>
      <c r="H201" s="18">
        <v>6623.37</v>
      </c>
      <c r="I201" s="18"/>
      <c r="J201" s="18"/>
      <c r="K201" s="18">
        <v>55.2</v>
      </c>
      <c r="L201" s="19">
        <f>SUM(F201:K201)</f>
        <v>6678.57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73910.1</f>
        <v>73910.100000000006</v>
      </c>
      <c r="G203" s="18">
        <f>48538.33</f>
        <v>48538.33</v>
      </c>
      <c r="H203" s="18">
        <f>21277.37+82308.56</f>
        <v>103585.93</v>
      </c>
      <c r="I203" s="18">
        <f>1173.09</f>
        <v>1173.0899999999999</v>
      </c>
      <c r="J203" s="18"/>
      <c r="K203" s="18"/>
      <c r="L203" s="19">
        <f t="shared" ref="L203:L209" si="0">SUM(F203:K203)</f>
        <v>227207.44999999998</v>
      </c>
      <c r="M203" s="8"/>
      <c r="N203" s="265"/>
    </row>
    <row r="204" spans="1:14" s="3" customFormat="1" ht="12.2" customHeight="1" x14ac:dyDescent="0.15">
      <c r="A204" s="1" t="s">
        <v>443</v>
      </c>
      <c r="B204" s="2" t="s">
        <v>341</v>
      </c>
      <c r="C204" s="2" t="s">
        <v>295</v>
      </c>
      <c r="D204" s="2" t="s">
        <v>431</v>
      </c>
      <c r="E204" s="6">
        <v>2200</v>
      </c>
      <c r="F204" s="18">
        <f>31824</f>
        <v>31824</v>
      </c>
      <c r="G204" s="18">
        <f>20082.49</f>
        <v>20082.490000000002</v>
      </c>
      <c r="H204" s="18">
        <f>2812.5</f>
        <v>2812.5</v>
      </c>
      <c r="I204" s="18">
        <f>3860.27</f>
        <v>3860.27</v>
      </c>
      <c r="J204" s="18"/>
      <c r="K204" s="18">
        <f>1590.47</f>
        <v>1590.47</v>
      </c>
      <c r="L204" s="19">
        <f t="shared" si="0"/>
        <v>60169.73</v>
      </c>
      <c r="M204" s="8"/>
      <c r="N204" s="265"/>
    </row>
    <row r="205" spans="1:14" s="3" customFormat="1" ht="12.2" customHeight="1" x14ac:dyDescent="0.15">
      <c r="A205" s="1" t="s">
        <v>444</v>
      </c>
      <c r="B205" s="2" t="s">
        <v>341</v>
      </c>
      <c r="C205" s="2" t="s">
        <v>296</v>
      </c>
      <c r="D205" s="2" t="s">
        <v>431</v>
      </c>
      <c r="E205" s="6">
        <v>2300</v>
      </c>
      <c r="F205" s="18">
        <f>513+6318</f>
        <v>6831</v>
      </c>
      <c r="G205" s="18">
        <f>39.23+491.66</f>
        <v>530.89</v>
      </c>
      <c r="H205" s="18">
        <f>142350.41+270.68</f>
        <v>142621.09</v>
      </c>
      <c r="I205" s="18"/>
      <c r="J205" s="18"/>
      <c r="K205" s="18">
        <v>13413.83</v>
      </c>
      <c r="L205" s="19">
        <f t="shared" si="0"/>
        <v>163396.81</v>
      </c>
      <c r="M205" s="8"/>
      <c r="N205" s="265"/>
    </row>
    <row r="206" spans="1:14" s="3" customFormat="1" ht="12.2" customHeight="1" x14ac:dyDescent="0.15">
      <c r="A206" s="1" t="s">
        <v>445</v>
      </c>
      <c r="B206" s="2" t="s">
        <v>341</v>
      </c>
      <c r="C206" s="2" t="s">
        <v>297</v>
      </c>
      <c r="D206" s="2" t="s">
        <v>431</v>
      </c>
      <c r="E206" s="6">
        <v>2400</v>
      </c>
      <c r="F206" s="18">
        <f>52347.27+18822.53</f>
        <v>71169.799999999988</v>
      </c>
      <c r="G206" s="18">
        <f>18342.93+11019.58+29.6</f>
        <v>29392.11</v>
      </c>
      <c r="H206" s="18">
        <f>11921.52</f>
        <v>11921.52</v>
      </c>
      <c r="I206" s="18">
        <f>5313.55</f>
        <v>5313.55</v>
      </c>
      <c r="J206" s="18">
        <f>343.48</f>
        <v>343.48</v>
      </c>
      <c r="K206" s="18">
        <f>150.24</f>
        <v>150.24</v>
      </c>
      <c r="L206" s="19">
        <f t="shared" si="0"/>
        <v>118290.7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51328.43</f>
        <v>51328.43</v>
      </c>
      <c r="G208" s="18">
        <f>19956.82</f>
        <v>19956.82</v>
      </c>
      <c r="H208" s="18">
        <f>8451.24+93742.37</f>
        <v>102193.61</v>
      </c>
      <c r="I208" s="18">
        <f>64094.94</f>
        <v>64094.94</v>
      </c>
      <c r="J208" s="18">
        <f>2594</f>
        <v>2594</v>
      </c>
      <c r="K208" s="18"/>
      <c r="L208" s="19">
        <f t="shared" si="0"/>
        <v>240167.8</v>
      </c>
      <c r="M208" s="8"/>
      <c r="N208" s="265"/>
    </row>
    <row r="209" spans="1:14" s="3" customFormat="1" ht="12.2" customHeight="1" x14ac:dyDescent="0.15">
      <c r="A209" s="1" t="s">
        <v>448</v>
      </c>
      <c r="B209" s="2" t="s">
        <v>341</v>
      </c>
      <c r="C209" s="2" t="s">
        <v>300</v>
      </c>
      <c r="D209" s="2" t="s">
        <v>431</v>
      </c>
      <c r="E209" s="6">
        <v>2700</v>
      </c>
      <c r="F209" s="18">
        <f>2889</f>
        <v>2889</v>
      </c>
      <c r="G209" s="18">
        <f>757.37</f>
        <v>757.37</v>
      </c>
      <c r="H209" s="18">
        <f>72062.03</f>
        <v>72062.03</v>
      </c>
      <c r="I209" s="18">
        <v>300.85000000000002</v>
      </c>
      <c r="J209" s="18"/>
      <c r="K209" s="18"/>
      <c r="L209" s="19">
        <f t="shared" si="0"/>
        <v>76009.25</v>
      </c>
      <c r="M209" s="8"/>
      <c r="N209" s="265"/>
    </row>
    <row r="210" spans="1:14" s="3" customFormat="1" ht="12.2" customHeight="1" x14ac:dyDescent="0.15">
      <c r="A210" s="1" t="s">
        <v>449</v>
      </c>
      <c r="B210" s="2" t="s">
        <v>341</v>
      </c>
      <c r="C210" s="2" t="s">
        <v>343</v>
      </c>
      <c r="D210" s="2" t="s">
        <v>431</v>
      </c>
      <c r="E210" s="6">
        <v>2800</v>
      </c>
      <c r="F210" s="18">
        <f>25244.41</f>
        <v>25244.41</v>
      </c>
      <c r="G210" s="18">
        <f>5409.26</f>
        <v>5409.26</v>
      </c>
      <c r="H210" s="18">
        <f>3453.32</f>
        <v>3453.32</v>
      </c>
      <c r="I210" s="18">
        <f>4522.58</f>
        <v>4522.58</v>
      </c>
      <c r="J210" s="18">
        <f>1815.47</f>
        <v>1815.47</v>
      </c>
      <c r="K210" s="18"/>
      <c r="L210" s="19">
        <f>SUM(F210:K210)</f>
        <v>40445.040000000001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1275593.94</v>
      </c>
      <c r="G212" s="41">
        <f t="shared" si="1"/>
        <v>611194.27999999991</v>
      </c>
      <c r="H212" s="41">
        <f t="shared" si="1"/>
        <v>457699.33</v>
      </c>
      <c r="I212" s="41">
        <f t="shared" si="1"/>
        <v>90344.82</v>
      </c>
      <c r="J212" s="41">
        <f t="shared" si="1"/>
        <v>7254.67</v>
      </c>
      <c r="K212" s="41">
        <f t="shared" si="1"/>
        <v>15209.74</v>
      </c>
      <c r="L212" s="41">
        <f t="shared" si="1"/>
        <v>2457296.7799999998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365037.95+2268.4</f>
        <v>367306.35000000003</v>
      </c>
      <c r="G216" s="18">
        <f>177772.96+491.32</f>
        <v>178264.28</v>
      </c>
      <c r="H216" s="18">
        <f>244.45</f>
        <v>244.45</v>
      </c>
      <c r="I216" s="18">
        <f>2132.73</f>
        <v>2132.73</v>
      </c>
      <c r="J216" s="18">
        <f>453.55</f>
        <v>453.55</v>
      </c>
      <c r="K216" s="18"/>
      <c r="L216" s="19">
        <f>SUM(F216:K216)</f>
        <v>548401.36</v>
      </c>
      <c r="M216" s="8"/>
      <c r="N216" s="265"/>
    </row>
    <row r="217" spans="1:14" s="3" customFormat="1" ht="12.2" customHeight="1" x14ac:dyDescent="0.15">
      <c r="A217" s="1" t="s">
        <v>439</v>
      </c>
      <c r="B217" s="2" t="s">
        <v>346</v>
      </c>
      <c r="C217" s="2" t="s">
        <v>291</v>
      </c>
      <c r="D217" s="2" t="s">
        <v>431</v>
      </c>
      <c r="E217" s="6">
        <v>1200</v>
      </c>
      <c r="F217" s="18">
        <f>149793.27</f>
        <v>149793.26999999999</v>
      </c>
      <c r="G217" s="18">
        <f>87481.28</f>
        <v>87481.279999999999</v>
      </c>
      <c r="H217" s="18">
        <f>121719.71</f>
        <v>121719.71</v>
      </c>
      <c r="I217" s="18">
        <f>104.29</f>
        <v>104.29</v>
      </c>
      <c r="J217" s="18"/>
      <c r="K217" s="18"/>
      <c r="L217" s="19">
        <f>SUM(F217:K217)</f>
        <v>359098.55</v>
      </c>
      <c r="M217" s="8"/>
      <c r="N217" s="265"/>
    </row>
    <row r="218" spans="1:14" s="3" customFormat="1" ht="12.2" customHeight="1" x14ac:dyDescent="0.15">
      <c r="A218" s="1" t="s">
        <v>440</v>
      </c>
      <c r="B218" s="2" t="s">
        <v>346</v>
      </c>
      <c r="C218" s="2" t="s">
        <v>292</v>
      </c>
      <c r="D218" s="2" t="s">
        <v>431</v>
      </c>
      <c r="E218" s="6">
        <v>1300</v>
      </c>
      <c r="F218" s="18">
        <f>27874.35</f>
        <v>27874.35</v>
      </c>
      <c r="G218" s="18">
        <f>9905.9</f>
        <v>9905.9</v>
      </c>
      <c r="H218" s="18"/>
      <c r="I218" s="18">
        <f>637.46</f>
        <v>637.46</v>
      </c>
      <c r="J218" s="18"/>
      <c r="K218" s="18"/>
      <c r="L218" s="19">
        <f>SUM(F218:K218)</f>
        <v>38417.71</v>
      </c>
      <c r="M218" s="8"/>
      <c r="N218" s="265"/>
    </row>
    <row r="219" spans="1:14" s="3" customFormat="1" ht="12.2" customHeight="1" x14ac:dyDescent="0.15">
      <c r="A219" s="1" t="s">
        <v>441</v>
      </c>
      <c r="B219" s="2" t="s">
        <v>346</v>
      </c>
      <c r="C219" s="2" t="s">
        <v>293</v>
      </c>
      <c r="D219" s="2" t="s">
        <v>431</v>
      </c>
      <c r="E219" s="6">
        <v>1400</v>
      </c>
      <c r="F219" s="18">
        <f>14160</f>
        <v>14160</v>
      </c>
      <c r="G219" s="18">
        <f>2644.66</f>
        <v>2644.66</v>
      </c>
      <c r="H219" s="18">
        <f>965</f>
        <v>965</v>
      </c>
      <c r="I219" s="18">
        <f>1769</f>
        <v>1769</v>
      </c>
      <c r="J219" s="18">
        <f>1293.62</f>
        <v>1293.6199999999999</v>
      </c>
      <c r="K219" s="18">
        <f>667.12</f>
        <v>667.12</v>
      </c>
      <c r="L219" s="19">
        <f>SUM(F219:K219)</f>
        <v>21499.399999999998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27848.82</f>
        <v>27848.82</v>
      </c>
      <c r="G221" s="18">
        <f>10879.36</f>
        <v>10879.36</v>
      </c>
      <c r="H221" s="18">
        <f>28169.17+13344.62</f>
        <v>41513.79</v>
      </c>
      <c r="I221" s="18">
        <f>394.3</f>
        <v>394.3</v>
      </c>
      <c r="J221" s="18"/>
      <c r="K221" s="18"/>
      <c r="L221" s="19">
        <f t="shared" ref="L221:L227" si="2">SUM(F221:K221)</f>
        <v>80636.27</v>
      </c>
      <c r="M221" s="8"/>
      <c r="N221" s="265"/>
    </row>
    <row r="222" spans="1:14" s="3" customFormat="1" ht="12.2" customHeight="1" x14ac:dyDescent="0.15">
      <c r="A222" s="1" t="s">
        <v>443</v>
      </c>
      <c r="B222" s="2" t="s">
        <v>346</v>
      </c>
      <c r="C222" s="2" t="s">
        <v>295</v>
      </c>
      <c r="D222" s="2" t="s">
        <v>431</v>
      </c>
      <c r="E222" s="6">
        <v>2200</v>
      </c>
      <c r="F222" s="18">
        <f>19094.4</f>
        <v>19094.400000000001</v>
      </c>
      <c r="G222" s="18">
        <v>12049.35</v>
      </c>
      <c r="H222" s="18"/>
      <c r="I222" s="18">
        <f>1102.16</f>
        <v>1102.1600000000001</v>
      </c>
      <c r="J222" s="18"/>
      <c r="K222" s="18">
        <f>644.09</f>
        <v>644.09</v>
      </c>
      <c r="L222" s="19">
        <f t="shared" si="2"/>
        <v>32890</v>
      </c>
      <c r="M222" s="8"/>
      <c r="N222" s="265"/>
    </row>
    <row r="223" spans="1:14" s="3" customFormat="1" ht="12.2" customHeight="1" x14ac:dyDescent="0.15">
      <c r="A223" s="1" t="s">
        <v>444</v>
      </c>
      <c r="B223" s="2" t="s">
        <v>346</v>
      </c>
      <c r="C223" s="2" t="s">
        <v>296</v>
      </c>
      <c r="D223" s="2" t="s">
        <v>431</v>
      </c>
      <c r="E223" s="6">
        <v>2300</v>
      </c>
      <c r="F223" s="18">
        <f>152+1872</f>
        <v>2024</v>
      </c>
      <c r="G223" s="18">
        <f>11.62+145.68</f>
        <v>157.30000000000001</v>
      </c>
      <c r="H223" s="18">
        <f>49030.85+80.2</f>
        <v>49111.049999999996</v>
      </c>
      <c r="I223" s="18"/>
      <c r="J223" s="18"/>
      <c r="K223" s="18">
        <f>4921.16</f>
        <v>4921.16</v>
      </c>
      <c r="L223" s="19">
        <f t="shared" si="2"/>
        <v>56213.509999999995</v>
      </c>
      <c r="M223" s="8"/>
      <c r="N223" s="265"/>
    </row>
    <row r="224" spans="1:14" s="3" customFormat="1" ht="12.2" customHeight="1" x14ac:dyDescent="0.15">
      <c r="A224" s="1" t="s">
        <v>445</v>
      </c>
      <c r="B224" s="2" t="s">
        <v>346</v>
      </c>
      <c r="C224" s="2" t="s">
        <v>297</v>
      </c>
      <c r="D224" s="2" t="s">
        <v>431</v>
      </c>
      <c r="E224" s="6">
        <v>2400</v>
      </c>
      <c r="F224" s="18">
        <f>32904.12+14164.21</f>
        <v>47068.33</v>
      </c>
      <c r="G224" s="18">
        <f>11529.46+8856.22</f>
        <v>20385.68</v>
      </c>
      <c r="H224" s="18">
        <f>4702.05</f>
        <v>4702.05</v>
      </c>
      <c r="I224" s="18">
        <f>1615.19</f>
        <v>1615.19</v>
      </c>
      <c r="J224" s="18">
        <f>107.34</f>
        <v>107.34</v>
      </c>
      <c r="K224" s="18">
        <f>119.45</f>
        <v>119.45</v>
      </c>
      <c r="L224" s="19">
        <f t="shared" si="2"/>
        <v>73998.040000000008</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f>32387.96</f>
        <v>32387.96</v>
      </c>
      <c r="G226" s="18">
        <v>12386</v>
      </c>
      <c r="H226" s="18">
        <f>34618.22</f>
        <v>34618.22</v>
      </c>
      <c r="I226" s="18">
        <v>23942.46</v>
      </c>
      <c r="J226" s="18">
        <f>1037.6</f>
        <v>1037.5999999999999</v>
      </c>
      <c r="K226" s="18"/>
      <c r="L226" s="19">
        <f t="shared" si="2"/>
        <v>104372.23999999999</v>
      </c>
      <c r="M226" s="8"/>
      <c r="N226" s="265"/>
    </row>
    <row r="227" spans="1:14" s="3" customFormat="1" ht="12.2" customHeight="1" x14ac:dyDescent="0.15">
      <c r="A227" s="1" t="s">
        <v>448</v>
      </c>
      <c r="B227" s="2" t="s">
        <v>346</v>
      </c>
      <c r="C227" s="2" t="s">
        <v>300</v>
      </c>
      <c r="D227" s="2" t="s">
        <v>431</v>
      </c>
      <c r="E227" s="6">
        <v>2700</v>
      </c>
      <c r="F227" s="18">
        <f>856</f>
        <v>856</v>
      </c>
      <c r="G227" s="18">
        <f>224.41</f>
        <v>224.41</v>
      </c>
      <c r="H227" s="18">
        <f>32718.54</f>
        <v>32718.54</v>
      </c>
      <c r="I227" s="18">
        <f>94.02</f>
        <v>94.02</v>
      </c>
      <c r="J227" s="18"/>
      <c r="K227" s="18"/>
      <c r="L227" s="19">
        <f t="shared" si="2"/>
        <v>33892.97</v>
      </c>
      <c r="M227" s="8"/>
      <c r="N227" s="265"/>
    </row>
    <row r="228" spans="1:14" s="3" customFormat="1" ht="12.2" customHeight="1" x14ac:dyDescent="0.15">
      <c r="A228" s="1" t="s">
        <v>449</v>
      </c>
      <c r="B228" s="2" t="s">
        <v>346</v>
      </c>
      <c r="C228" s="2" t="s">
        <v>343</v>
      </c>
      <c r="D228" s="2" t="s">
        <v>431</v>
      </c>
      <c r="E228" s="6">
        <v>2800</v>
      </c>
      <c r="F228" s="18">
        <f>15867.79</f>
        <v>15867.79</v>
      </c>
      <c r="G228" s="18">
        <v>3399.86</v>
      </c>
      <c r="H228" s="18">
        <f>1331.43</f>
        <v>1331.43</v>
      </c>
      <c r="I228" s="18">
        <f>1738.72</f>
        <v>1738.72</v>
      </c>
      <c r="J228" s="18">
        <f>567.33</f>
        <v>567.33000000000004</v>
      </c>
      <c r="K228" s="18"/>
      <c r="L228" s="19">
        <f>SUM(F228:K228)</f>
        <v>22905.130000000005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704281.2699999999</v>
      </c>
      <c r="G230" s="41">
        <f>SUM(G216:G229)</f>
        <v>337778.0799999999</v>
      </c>
      <c r="H230" s="41">
        <f>SUM(H216:H229)</f>
        <v>286924.24</v>
      </c>
      <c r="I230" s="41">
        <f>SUM(I216:I229)</f>
        <v>33530.329999999994</v>
      </c>
      <c r="J230" s="41">
        <f>SUM(J216:J229)</f>
        <v>3459.4399999999996</v>
      </c>
      <c r="K230" s="41">
        <f t="shared" si="3"/>
        <v>6351.82</v>
      </c>
      <c r="L230" s="41">
        <f t="shared" si="3"/>
        <v>1372325.1800000002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597277.79+4253.25</f>
        <v>601531.04</v>
      </c>
      <c r="G234" s="18">
        <f>271605.66+921.21</f>
        <v>272526.87</v>
      </c>
      <c r="H234" s="18">
        <f>861.95</f>
        <v>861.95</v>
      </c>
      <c r="I234" s="18">
        <f>18393.09+1834.16</f>
        <v>20227.25</v>
      </c>
      <c r="J234" s="18">
        <f>472.41</f>
        <v>472.41</v>
      </c>
      <c r="K234" s="18"/>
      <c r="L234" s="19">
        <f>SUM(F234:K234)</f>
        <v>895619.52</v>
      </c>
      <c r="M234" s="8"/>
      <c r="N234" s="265"/>
    </row>
    <row r="235" spans="1:14" s="3" customFormat="1" ht="12.2" customHeight="1" x14ac:dyDescent="0.15">
      <c r="A235" s="1" t="s">
        <v>439</v>
      </c>
      <c r="B235" s="2" t="s">
        <v>350</v>
      </c>
      <c r="C235" s="2" t="s">
        <v>291</v>
      </c>
      <c r="D235" s="2" t="s">
        <v>431</v>
      </c>
      <c r="E235" s="6">
        <v>1200</v>
      </c>
      <c r="F235" s="18">
        <f>116708.99</f>
        <v>116708.99</v>
      </c>
      <c r="G235" s="18">
        <f>58324.2</f>
        <v>58324.2</v>
      </c>
      <c r="H235" s="18">
        <f>85422.76</f>
        <v>85422.76</v>
      </c>
      <c r="I235" s="18">
        <f>243.35</f>
        <v>243.35</v>
      </c>
      <c r="J235" s="18"/>
      <c r="K235" s="18"/>
      <c r="L235" s="19">
        <f>SUM(F235:K235)</f>
        <v>260699.30000000002</v>
      </c>
      <c r="M235" s="8"/>
      <c r="N235" s="265"/>
    </row>
    <row r="236" spans="1:14" s="3" customFormat="1" ht="12.2" customHeight="1" x14ac:dyDescent="0.15">
      <c r="A236" s="1" t="s">
        <v>440</v>
      </c>
      <c r="B236" s="2" t="s">
        <v>350</v>
      </c>
      <c r="C236" s="2" t="s">
        <v>292</v>
      </c>
      <c r="D236" s="2" t="s">
        <v>431</v>
      </c>
      <c r="E236" s="6">
        <v>1300</v>
      </c>
      <c r="F236" s="18">
        <f>135346.15</f>
        <v>135346.15</v>
      </c>
      <c r="G236" s="18">
        <f>48756.57</f>
        <v>48756.57</v>
      </c>
      <c r="H236" s="18">
        <v>38027.480000000003</v>
      </c>
      <c r="I236" s="18">
        <f>1521.99</f>
        <v>1521.99</v>
      </c>
      <c r="J236" s="18"/>
      <c r="K236" s="18"/>
      <c r="L236" s="19">
        <f>SUM(F236:K236)</f>
        <v>223652.19</v>
      </c>
      <c r="M236" s="8"/>
      <c r="N236" s="265"/>
    </row>
    <row r="237" spans="1:14" s="3" customFormat="1" ht="12.2" customHeight="1" x14ac:dyDescent="0.15">
      <c r="A237" s="1" t="s">
        <v>441</v>
      </c>
      <c r="B237" s="2" t="s">
        <v>350</v>
      </c>
      <c r="C237" s="2" t="s">
        <v>293</v>
      </c>
      <c r="D237" s="2" t="s">
        <v>431</v>
      </c>
      <c r="E237" s="6">
        <v>1400</v>
      </c>
      <c r="F237" s="18">
        <f>42160</f>
        <v>42160</v>
      </c>
      <c r="G237" s="18">
        <f>8501.3</f>
        <v>8501.2999999999993</v>
      </c>
      <c r="H237" s="18">
        <f>9934</f>
        <v>9934</v>
      </c>
      <c r="I237" s="18">
        <f>4331</f>
        <v>4331</v>
      </c>
      <c r="J237" s="18">
        <f>3204.77</f>
        <v>3204.77</v>
      </c>
      <c r="K237" s="18">
        <f>793.03</f>
        <v>793.03</v>
      </c>
      <c r="L237" s="19">
        <f>SUM(F237:K237)</f>
        <v>68924.100000000006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48096.09</f>
        <v>48096.09</v>
      </c>
      <c r="G239" s="18">
        <f>11395.06</f>
        <v>11395.06</v>
      </c>
      <c r="H239" s="18">
        <f>83073.43</f>
        <v>83073.429999999993</v>
      </c>
      <c r="I239" s="18">
        <f>850.12</f>
        <v>850.12</v>
      </c>
      <c r="J239" s="18"/>
      <c r="K239" s="18"/>
      <c r="L239" s="19">
        <f t="shared" ref="L239:L245" si="4">SUM(F239:K239)</f>
        <v>143414.69999999998</v>
      </c>
      <c r="M239" s="8"/>
      <c r="N239" s="265"/>
    </row>
    <row r="240" spans="1:14" s="3" customFormat="1" ht="12.2" customHeight="1" x14ac:dyDescent="0.15">
      <c r="A240" s="1" t="s">
        <v>443</v>
      </c>
      <c r="B240" s="2" t="s">
        <v>350</v>
      </c>
      <c r="C240" s="2" t="s">
        <v>295</v>
      </c>
      <c r="D240" s="2" t="s">
        <v>431</v>
      </c>
      <c r="E240" s="6">
        <v>2200</v>
      </c>
      <c r="F240" s="18">
        <f>12729.6</f>
        <v>12729.6</v>
      </c>
      <c r="G240" s="18">
        <f>8033.33</f>
        <v>8033.33</v>
      </c>
      <c r="H240" s="18">
        <v>383.8</v>
      </c>
      <c r="I240" s="18">
        <f>2718.74</f>
        <v>2718.74</v>
      </c>
      <c r="J240" s="18"/>
      <c r="K240" s="18">
        <f>1621.6</f>
        <v>1621.6</v>
      </c>
      <c r="L240" s="19">
        <f t="shared" si="4"/>
        <v>25487.07</v>
      </c>
      <c r="M240" s="8"/>
      <c r="N240" s="265"/>
    </row>
    <row r="241" spans="1:14" s="3" customFormat="1" ht="12.2" customHeight="1" x14ac:dyDescent="0.15">
      <c r="A241" s="1" t="s">
        <v>444</v>
      </c>
      <c r="B241" s="2" t="s">
        <v>350</v>
      </c>
      <c r="C241" s="2" t="s">
        <v>296</v>
      </c>
      <c r="D241" s="2" t="s">
        <v>431</v>
      </c>
      <c r="E241" s="6">
        <v>2300</v>
      </c>
      <c r="F241" s="18">
        <f>285+3510</f>
        <v>3795</v>
      </c>
      <c r="G241" s="18">
        <f>21.79+273.14</f>
        <v>294.93</v>
      </c>
      <c r="H241" s="18">
        <f>76980.12+3662.78+4095.75+150.38</f>
        <v>84889.03</v>
      </c>
      <c r="I241" s="18"/>
      <c r="J241" s="18"/>
      <c r="K241" s="18">
        <f>8468.23</f>
        <v>8468.23</v>
      </c>
      <c r="L241" s="19">
        <f t="shared" si="4"/>
        <v>97447.189999999988</v>
      </c>
      <c r="M241" s="8"/>
      <c r="N241" s="265"/>
    </row>
    <row r="242" spans="1:14" s="3" customFormat="1" ht="12.2" customHeight="1" x14ac:dyDescent="0.15">
      <c r="A242" s="1" t="s">
        <v>445</v>
      </c>
      <c r="B242" s="2" t="s">
        <v>350</v>
      </c>
      <c r="C242" s="2" t="s">
        <v>297</v>
      </c>
      <c r="D242" s="2" t="s">
        <v>431</v>
      </c>
      <c r="E242" s="6">
        <v>2400</v>
      </c>
      <c r="F242" s="18">
        <f>69684.5+21019.76</f>
        <v>90704.26</v>
      </c>
      <c r="G242" s="18">
        <f>22999.07+12084.55</f>
        <v>35083.619999999995</v>
      </c>
      <c r="H242" s="18">
        <f>7766.65</f>
        <v>7766.65</v>
      </c>
      <c r="I242" s="18">
        <f>3983.84</f>
        <v>3983.84</v>
      </c>
      <c r="J242" s="18">
        <f>264.76</f>
        <v>264.76</v>
      </c>
      <c r="K242" s="18">
        <f>351.55+2022.83</f>
        <v>2374.38</v>
      </c>
      <c r="L242" s="19">
        <f t="shared" si="4"/>
        <v>140177.51</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f>61335.08</f>
        <v>61335.08</v>
      </c>
      <c r="G244" s="18">
        <f>24016.06</f>
        <v>24016.06</v>
      </c>
      <c r="H244" s="18">
        <f>74693.59</f>
        <v>74693.59</v>
      </c>
      <c r="I244" s="18">
        <f>40223.62</f>
        <v>40223.620000000003</v>
      </c>
      <c r="J244" s="18">
        <f>1556.4</f>
        <v>1556.4</v>
      </c>
      <c r="K244" s="18"/>
      <c r="L244" s="19">
        <f t="shared" si="4"/>
        <v>201824.74999999997</v>
      </c>
      <c r="M244" s="8"/>
      <c r="N244" s="265"/>
    </row>
    <row r="245" spans="1:14" s="3" customFormat="1" ht="12.2" customHeight="1" x14ac:dyDescent="0.15">
      <c r="A245" s="1" t="s">
        <v>448</v>
      </c>
      <c r="B245" s="2" t="s">
        <v>350</v>
      </c>
      <c r="C245" s="2" t="s">
        <v>300</v>
      </c>
      <c r="D245" s="2" t="s">
        <v>431</v>
      </c>
      <c r="E245" s="6">
        <v>2700</v>
      </c>
      <c r="F245" s="18">
        <f>1605</f>
        <v>1605</v>
      </c>
      <c r="G245" s="18">
        <f>420.76</f>
        <v>420.76</v>
      </c>
      <c r="H245" s="18">
        <f>89555.26</f>
        <v>89555.26</v>
      </c>
      <c r="I245" s="18">
        <f>231.92</f>
        <v>231.92</v>
      </c>
      <c r="J245" s="18"/>
      <c r="K245" s="18"/>
      <c r="L245" s="19">
        <f t="shared" si="4"/>
        <v>91812.939999999988</v>
      </c>
      <c r="M245" s="8"/>
      <c r="N245" s="265"/>
    </row>
    <row r="246" spans="1:14" s="3" customFormat="1" ht="12.2" customHeight="1" x14ac:dyDescent="0.15">
      <c r="A246" s="1" t="s">
        <v>449</v>
      </c>
      <c r="B246" s="2" t="s">
        <v>350</v>
      </c>
      <c r="C246" s="2" t="s">
        <v>343</v>
      </c>
      <c r="D246" s="2" t="s">
        <v>431</v>
      </c>
      <c r="E246" s="6">
        <v>2800</v>
      </c>
      <c r="F246" s="18">
        <f>31014.35</f>
        <v>31014.35</v>
      </c>
      <c r="G246" s="18">
        <f>6645.56</f>
        <v>6645.56</v>
      </c>
      <c r="H246" s="18">
        <f>2169.48</f>
        <v>2169.48</v>
      </c>
      <c r="I246" s="18">
        <f>2850.89</f>
        <v>2850.89</v>
      </c>
      <c r="J246" s="18">
        <f>5559.42</f>
        <v>5559.42</v>
      </c>
      <c r="K246" s="18"/>
      <c r="L246" s="19">
        <f>SUM(F246:K246)</f>
        <v>48239.7</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1145025.56</v>
      </c>
      <c r="G248" s="41">
        <f t="shared" si="5"/>
        <v>473998.26</v>
      </c>
      <c r="H248" s="41">
        <f t="shared" si="5"/>
        <v>476777.42999999993</v>
      </c>
      <c r="I248" s="41">
        <f t="shared" si="5"/>
        <v>77182.720000000001</v>
      </c>
      <c r="J248" s="41">
        <f t="shared" si="5"/>
        <v>11057.76</v>
      </c>
      <c r="K248" s="41">
        <f t="shared" si="5"/>
        <v>13257.240000000002</v>
      </c>
      <c r="L248" s="41">
        <f t="shared" si="5"/>
        <v>2197298.9700000002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3124900.77</v>
      </c>
      <c r="G258" s="41">
        <f t="shared" si="8"/>
        <v>1422970.6199999999</v>
      </c>
      <c r="H258" s="41">
        <f t="shared" si="8"/>
        <v>1221401</v>
      </c>
      <c r="I258" s="41">
        <f t="shared" si="8"/>
        <v>201057.87</v>
      </c>
      <c r="J258" s="41">
        <f t="shared" si="8"/>
        <v>21771.870000000003</v>
      </c>
      <c r="K258" s="41">
        <f t="shared" si="8"/>
        <v>34818.800000000003</v>
      </c>
      <c r="L258" s="41">
        <f t="shared" si="8"/>
        <v>6026920.9299999997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53762.21</v>
      </c>
      <c r="L261" s="19">
        <f>SUM(F261:K261)</f>
        <v>53762.21</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15059.33</v>
      </c>
      <c r="L262" s="19">
        <f>SUM(F262:K262)</f>
        <v>15059.33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12500</v>
      </c>
      <c r="L269" s="19">
        <f t="shared" si="9"/>
        <v>12500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81321.539999999994</v>
      </c>
      <c r="L271" s="41">
        <f t="shared" si="9"/>
        <v>81321.539999999994</v>
      </c>
      <c r="M271" s="8"/>
      <c r="N271" s="265"/>
    </row>
    <row r="272" spans="1:14" s="34" customFormat="1" ht="12.2" customHeight="1" thickTop="1" x14ac:dyDescent="0.2">
      <c r="A272" s="43" t="s">
        <v>464</v>
      </c>
      <c r="B272" s="40">
        <v>10</v>
      </c>
      <c r="C272" s="40">
        <v>18</v>
      </c>
      <c r="D272" s="39" t="s">
        <v>431</v>
      </c>
      <c r="E272" s="40"/>
      <c r="F272" s="42">
        <f t="shared" ref="F272:L272" si="11">F258+F271</f>
        <v>3124900.77</v>
      </c>
      <c r="G272" s="42">
        <f t="shared" si="11"/>
        <v>1422970.6199999999</v>
      </c>
      <c r="H272" s="42">
        <f t="shared" si="11"/>
        <v>1221401</v>
      </c>
      <c r="I272" s="42">
        <f t="shared" si="11"/>
        <v>201057.87</v>
      </c>
      <c r="J272" s="42">
        <f t="shared" si="11"/>
        <v>21771.870000000003</v>
      </c>
      <c r="K272" s="42">
        <f t="shared" si="11"/>
        <v>116140.34</v>
      </c>
      <c r="L272" s="42">
        <f t="shared" si="11"/>
        <v>6108242.4699999997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32722.79+133452.57</f>
        <v>166175.36000000002</v>
      </c>
      <c r="G277" s="18">
        <f>9400.27+54049.75</f>
        <v>63450.020000000004</v>
      </c>
      <c r="H277" s="18">
        <f>1053+3355</f>
        <v>4408</v>
      </c>
      <c r="I277" s="18">
        <f>20105.92+30108.44</f>
        <v>50214.36</v>
      </c>
      <c r="J277" s="18" t="s">
        <v>286</v>
      </c>
      <c r="K277" s="18"/>
      <c r="L277" s="19">
        <f>SUM(F277:K277)</f>
        <v>284247.74</v>
      </c>
      <c r="M277" s="8"/>
      <c r="N277" s="265"/>
    </row>
    <row r="278" spans="1:14" s="3" customFormat="1" ht="12.2" customHeight="1" x14ac:dyDescent="0.15">
      <c r="A278" s="1" t="s">
        <v>439</v>
      </c>
      <c r="B278" s="2" t="s">
        <v>357</v>
      </c>
      <c r="C278" s="2" t="s">
        <v>291</v>
      </c>
      <c r="D278" s="2" t="s">
        <v>431</v>
      </c>
      <c r="E278" s="6">
        <v>1200</v>
      </c>
      <c r="F278" s="18">
        <f>26559.21+56489.47</f>
        <v>83048.679999999993</v>
      </c>
      <c r="G278" s="18">
        <f>6349.54+535.5</f>
        <v>6885.04</v>
      </c>
      <c r="H278" s="18">
        <f>30000+19051.63</f>
        <v>49051.630000000005</v>
      </c>
      <c r="I278" s="18">
        <f>4214.9</f>
        <v>4214.8999999999996</v>
      </c>
      <c r="J278" s="18">
        <f>1982.96</f>
        <v>1982.96</v>
      </c>
      <c r="K278" s="18">
        <f>3330.54</f>
        <v>3330.54</v>
      </c>
      <c r="L278" s="19">
        <f>SUM(F278:K278)</f>
        <v>148513.74999999997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f>10280.95</f>
        <v>10280.950000000001</v>
      </c>
      <c r="K280" s="18"/>
      <c r="L280" s="19">
        <f>SUM(F280:K280)</f>
        <v>10280.950000000001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203.15</f>
        <v>203.15</v>
      </c>
      <c r="G282" s="18" t="s">
        <v>286</v>
      </c>
      <c r="H282" s="18"/>
      <c r="I282" s="18">
        <f>821.42</f>
        <v>821.42</v>
      </c>
      <c r="J282" s="18"/>
      <c r="K282" s="18">
        <f>1660.24</f>
        <v>1660.24</v>
      </c>
      <c r="L282" s="19">
        <f t="shared" ref="L282:L288" si="12">SUM(F282:K282)</f>
        <v>2684.81</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t="s">
        <v>286</v>
      </c>
      <c r="I284" s="18" t="s">
        <v>286</v>
      </c>
      <c r="J284" s="18" t="s">
        <v>286</v>
      </c>
      <c r="K284" s="18">
        <f>11085.38</f>
        <v>11085.38</v>
      </c>
      <c r="L284" s="19">
        <f t="shared" si="12"/>
        <v>11085.38</v>
      </c>
      <c r="M284" s="8"/>
      <c r="N284" s="265"/>
    </row>
    <row r="285" spans="1:14" s="3" customFormat="1" ht="12.2" customHeight="1" x14ac:dyDescent="0.15">
      <c r="A285" s="1" t="s">
        <v>445</v>
      </c>
      <c r="B285" s="2" t="s">
        <v>357</v>
      </c>
      <c r="C285" s="2" t="s">
        <v>297</v>
      </c>
      <c r="D285" s="2" t="s">
        <v>431</v>
      </c>
      <c r="E285" s="6">
        <v>2400</v>
      </c>
      <c r="F285" s="18"/>
      <c r="G285" s="18"/>
      <c r="H285" s="18">
        <f>36.29</f>
        <v>36.29</v>
      </c>
      <c r="I285" s="18"/>
      <c r="J285" s="18"/>
      <c r="K285" s="18"/>
      <c r="L285" s="19">
        <f t="shared" si="12"/>
        <v>36.29</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t="s">
        <v>286</v>
      </c>
      <c r="I287" s="18">
        <f>9687.51</f>
        <v>9687.51</v>
      </c>
      <c r="J287" s="18">
        <f>116.64</f>
        <v>116.64</v>
      </c>
      <c r="K287" s="18" t="s">
        <v>286</v>
      </c>
      <c r="L287" s="19">
        <f t="shared" si="12"/>
        <v>9804.15</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f>20777.72</f>
        <v>20777.72</v>
      </c>
      <c r="K289" s="18"/>
      <c r="L289" s="19">
        <f>SUM(F289:K289)</f>
        <v>20777.72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249427.19</v>
      </c>
      <c r="G291" s="42">
        <f t="shared" si="13"/>
        <v>70335.06</v>
      </c>
      <c r="H291" s="42">
        <f t="shared" si="13"/>
        <v>53495.920000000006</v>
      </c>
      <c r="I291" s="42">
        <f t="shared" si="13"/>
        <v>64938.19</v>
      </c>
      <c r="J291" s="42">
        <f t="shared" si="13"/>
        <v>33158.270000000004</v>
      </c>
      <c r="K291" s="42">
        <f t="shared" si="13"/>
        <v>16076.16</v>
      </c>
      <c r="L291" s="41">
        <f t="shared" si="13"/>
        <v>487430.79000000004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9695.64</f>
        <v>9695.64</v>
      </c>
      <c r="G296" s="18">
        <f>2785.26</f>
        <v>2785.26</v>
      </c>
      <c r="H296" s="18">
        <v>312</v>
      </c>
      <c r="I296" s="18">
        <f>5957.31</f>
        <v>5957.31</v>
      </c>
      <c r="J296" s="18"/>
      <c r="K296" s="18"/>
      <c r="L296" s="19">
        <f>SUM(F296:K296)</f>
        <v>18750.21</v>
      </c>
      <c r="M296" s="8"/>
      <c r="N296" s="265"/>
    </row>
    <row r="297" spans="1:14" s="3" customFormat="1" ht="12.2" customHeight="1" x14ac:dyDescent="0.15">
      <c r="A297" s="1" t="s">
        <v>439</v>
      </c>
      <c r="B297" s="2" t="s">
        <v>358</v>
      </c>
      <c r="C297" s="2" t="s">
        <v>291</v>
      </c>
      <c r="D297" s="2" t="s">
        <v>431</v>
      </c>
      <c r="E297" s="6">
        <v>1200</v>
      </c>
      <c r="F297" s="18">
        <f>7869.4</f>
        <v>7869.4</v>
      </c>
      <c r="G297" s="18">
        <f>1881.34</f>
        <v>1881.34</v>
      </c>
      <c r="H297" s="18"/>
      <c r="I297" s="18"/>
      <c r="J297" s="18"/>
      <c r="K297" s="18">
        <f>986.83</f>
        <v>986.83</v>
      </c>
      <c r="L297" s="19">
        <f>SUM(F297:K297)</f>
        <v>10737.57</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60.19</f>
        <v>60.19</v>
      </c>
      <c r="G301" s="18" t="s">
        <v>286</v>
      </c>
      <c r="H301" s="18" t="s">
        <v>286</v>
      </c>
      <c r="I301" s="18">
        <f>243.38</f>
        <v>243.38</v>
      </c>
      <c r="J301" s="18" t="s">
        <v>286</v>
      </c>
      <c r="K301" s="18"/>
      <c r="L301" s="19">
        <f t="shared" ref="L301:L307" si="14">SUM(F301:K301)</f>
        <v>303.57</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f>7086.75</f>
        <v>7086.75</v>
      </c>
      <c r="I303" s="18">
        <f>57.72</f>
        <v>57.72</v>
      </c>
      <c r="J303" s="18" t="s">
        <v>286</v>
      </c>
      <c r="K303" s="18">
        <f>491.92+223.45</f>
        <v>715.37</v>
      </c>
      <c r="L303" s="19">
        <f t="shared" si="14"/>
        <v>7859.84</v>
      </c>
      <c r="M303" s="8"/>
      <c r="N303" s="265"/>
    </row>
    <row r="304" spans="1:14" s="3" customFormat="1" ht="12.2" customHeight="1" x14ac:dyDescent="0.15">
      <c r="A304" s="1" t="s">
        <v>445</v>
      </c>
      <c r="B304" s="2" t="s">
        <v>358</v>
      </c>
      <c r="C304" s="2" t="s">
        <v>297</v>
      </c>
      <c r="D304" s="2" t="s">
        <v>431</v>
      </c>
      <c r="E304" s="6">
        <v>2400</v>
      </c>
      <c r="F304" s="18"/>
      <c r="G304" s="18"/>
      <c r="H304" s="18">
        <f>10.75</f>
        <v>10.75</v>
      </c>
      <c r="I304" s="18"/>
      <c r="J304" s="18"/>
      <c r="K304" s="18"/>
      <c r="L304" s="19">
        <f t="shared" si="14"/>
        <v>10.75</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f>2870.37</f>
        <v>2870.37</v>
      </c>
      <c r="J306" s="18">
        <f>34.56</f>
        <v>34.56</v>
      </c>
      <c r="K306" s="18"/>
      <c r="L306" s="19">
        <f t="shared" si="14"/>
        <v>2904.93</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f>6156.38</f>
        <v>6156.38</v>
      </c>
      <c r="K308" s="18"/>
      <c r="L308" s="19">
        <f>SUM(F308:K308)</f>
        <v>6156.38</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17625.23</v>
      </c>
      <c r="G310" s="42">
        <f t="shared" si="15"/>
        <v>4666.6000000000004</v>
      </c>
      <c r="H310" s="42">
        <f t="shared" si="15"/>
        <v>7409.5</v>
      </c>
      <c r="I310" s="42">
        <f t="shared" si="15"/>
        <v>9128.7800000000007</v>
      </c>
      <c r="J310" s="42">
        <f t="shared" si="15"/>
        <v>6190.9400000000005</v>
      </c>
      <c r="K310" s="42">
        <f t="shared" si="15"/>
        <v>1702.2</v>
      </c>
      <c r="L310" s="41">
        <f t="shared" si="15"/>
        <v>46723.25</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18179.33</f>
        <v>18179.330000000002</v>
      </c>
      <c r="G315" s="18">
        <f>5222.37</f>
        <v>5222.37</v>
      </c>
      <c r="H315" s="18">
        <f>585</f>
        <v>585</v>
      </c>
      <c r="I315" s="18">
        <f>11169.96</f>
        <v>11169.96</v>
      </c>
      <c r="J315" s="18"/>
      <c r="K315" s="18"/>
      <c r="L315" s="19">
        <f>SUM(F315:K315)</f>
        <v>35156.660000000003</v>
      </c>
      <c r="M315" s="8"/>
      <c r="N315" s="265"/>
    </row>
    <row r="316" spans="1:14" s="3" customFormat="1" ht="12.2" customHeight="1" x14ac:dyDescent="0.15">
      <c r="A316" s="1" t="s">
        <v>439</v>
      </c>
      <c r="B316" s="2" t="s">
        <v>359</v>
      </c>
      <c r="C316" s="2" t="s">
        <v>291</v>
      </c>
      <c r="D316" s="2" t="s">
        <v>431</v>
      </c>
      <c r="E316" s="6">
        <v>1200</v>
      </c>
      <c r="F316" s="18">
        <f>14755.12</f>
        <v>14755.12</v>
      </c>
      <c r="G316" s="18">
        <f>3527.52</f>
        <v>3527.52</v>
      </c>
      <c r="H316" s="18"/>
      <c r="I316" s="18"/>
      <c r="J316" s="18"/>
      <c r="K316" s="18">
        <f>1850.3</f>
        <v>1850.3</v>
      </c>
      <c r="L316" s="19">
        <f>SUM(F316:K316)</f>
        <v>20132.939999999999</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112.86+24673.92</f>
        <v>24786.78</v>
      </c>
      <c r="G320" s="18">
        <f>1887.55</f>
        <v>1887.55</v>
      </c>
      <c r="H320" s="18" t="s">
        <v>286</v>
      </c>
      <c r="I320" s="18">
        <f>456.35</f>
        <v>456.35</v>
      </c>
      <c r="J320" s="18"/>
      <c r="K320" s="18"/>
      <c r="L320" s="19">
        <f t="shared" ref="L320:L326" si="16">SUM(F320:K320)</f>
        <v>27130.679999999997</v>
      </c>
      <c r="M320" s="8"/>
      <c r="N320" s="265"/>
    </row>
    <row r="321" spans="1:14" s="3" customFormat="1" ht="12.2" customHeight="1" x14ac:dyDescent="0.15">
      <c r="A321" s="1" t="s">
        <v>443</v>
      </c>
      <c r="B321" s="2" t="s">
        <v>359</v>
      </c>
      <c r="C321" s="2" t="s">
        <v>295</v>
      </c>
      <c r="D321" s="2" t="s">
        <v>431</v>
      </c>
      <c r="E321" s="6">
        <v>2200</v>
      </c>
      <c r="F321" s="18"/>
      <c r="G321" s="18"/>
      <c r="H321" s="18">
        <f>2263.58</f>
        <v>2263.58</v>
      </c>
      <c r="I321" s="18"/>
      <c r="J321" s="18">
        <f>8317.5</f>
        <v>8317.5</v>
      </c>
      <c r="K321" s="18"/>
      <c r="L321" s="19">
        <f t="shared" si="16"/>
        <v>10581.08</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f>922.36</f>
        <v>922.36</v>
      </c>
      <c r="L322" s="19">
        <f t="shared" si="16"/>
        <v>922.36</v>
      </c>
      <c r="M322" s="8"/>
      <c r="N322" s="265"/>
    </row>
    <row r="323" spans="1:14" s="3" customFormat="1" ht="12.2" customHeight="1" x14ac:dyDescent="0.15">
      <c r="A323" s="1" t="s">
        <v>445</v>
      </c>
      <c r="B323" s="2" t="s">
        <v>359</v>
      </c>
      <c r="C323" s="2" t="s">
        <v>297</v>
      </c>
      <c r="D323" s="2" t="s">
        <v>431</v>
      </c>
      <c r="E323" s="6">
        <v>2400</v>
      </c>
      <c r="F323" s="18"/>
      <c r="G323" s="18"/>
      <c r="H323" s="18">
        <f>20.16</f>
        <v>20.16</v>
      </c>
      <c r="I323" s="18"/>
      <c r="J323" s="18"/>
      <c r="K323" s="18"/>
      <c r="L323" s="19">
        <f t="shared" si="16"/>
        <v>20.16</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t="s">
        <v>286</v>
      </c>
      <c r="I325" s="18">
        <v>5381.95</v>
      </c>
      <c r="J325" s="18">
        <f>64.8</f>
        <v>64.8</v>
      </c>
      <c r="K325" s="18"/>
      <c r="L325" s="19">
        <f t="shared" si="16"/>
        <v>5446.75</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v>11543.17</v>
      </c>
      <c r="K327" s="18"/>
      <c r="L327" s="19">
        <f>SUM(F327:K327)</f>
        <v>11543.17</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57721.23</v>
      </c>
      <c r="G329" s="42">
        <f t="shared" si="17"/>
        <v>10637.439999999999</v>
      </c>
      <c r="H329" s="42">
        <f t="shared" si="17"/>
        <v>2868.74</v>
      </c>
      <c r="I329" s="42">
        <f t="shared" si="17"/>
        <v>17008.259999999998</v>
      </c>
      <c r="J329" s="42">
        <f t="shared" si="17"/>
        <v>19925.47</v>
      </c>
      <c r="K329" s="42">
        <f t="shared" si="17"/>
        <v>2772.66</v>
      </c>
      <c r="L329" s="41">
        <f t="shared" si="17"/>
        <v>110933.8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324773.64999999997</v>
      </c>
      <c r="G339" s="41">
        <f t="shared" si="20"/>
        <v>85639.1</v>
      </c>
      <c r="H339" s="41">
        <f t="shared" si="20"/>
        <v>63774.16</v>
      </c>
      <c r="I339" s="41">
        <f t="shared" si="20"/>
        <v>91075.23</v>
      </c>
      <c r="J339" s="41">
        <f t="shared" si="20"/>
        <v>59274.680000000008</v>
      </c>
      <c r="K339" s="41">
        <f t="shared" si="20"/>
        <v>20551.02</v>
      </c>
      <c r="L339" s="41">
        <f t="shared" si="20"/>
        <v>645087.84000000008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324773.64999999997</v>
      </c>
      <c r="G353" s="41">
        <f>G339</f>
        <v>85639.1</v>
      </c>
      <c r="H353" s="41">
        <f>H339</f>
        <v>63774.16</v>
      </c>
      <c r="I353" s="41">
        <f>I339</f>
        <v>91075.23</v>
      </c>
      <c r="J353" s="41">
        <f>J339</f>
        <v>59274.680000000008</v>
      </c>
      <c r="K353" s="47">
        <f>K339+K352</f>
        <v>20551.02</v>
      </c>
      <c r="L353" s="41">
        <f>L339+L352</f>
        <v>645087.84000000008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(0.54*(167100.4-6453.33))+10361.5</f>
        <v>97110.91780000001</v>
      </c>
      <c r="I359" s="18">
        <f>6453.33*0.54</f>
        <v>3484.7982000000002</v>
      </c>
      <c r="J359" s="18"/>
      <c r="K359" s="18"/>
      <c r="L359" s="13">
        <f>SUM(F359:K359)</f>
        <v>100595.71600000001</v>
      </c>
      <c r="M359" s="8"/>
      <c r="N359" s="265"/>
    </row>
    <row r="360" spans="1:22" s="3" customFormat="1" ht="12.2" customHeight="1" x14ac:dyDescent="0.15">
      <c r="A360" s="1" t="s">
        <v>542</v>
      </c>
      <c r="B360" s="2" t="s">
        <v>366</v>
      </c>
      <c r="C360" s="6">
        <v>2</v>
      </c>
      <c r="D360" s="2" t="s">
        <v>431</v>
      </c>
      <c r="E360" s="6"/>
      <c r="F360" s="18"/>
      <c r="G360" s="18"/>
      <c r="H360" s="18">
        <f>(0.16*(167100.4-6453.33))+3070.07</f>
        <v>28773.601200000001</v>
      </c>
      <c r="I360" s="18">
        <f>6453.33*0.16</f>
        <v>1032.5328</v>
      </c>
      <c r="J360" s="18"/>
      <c r="K360" s="18"/>
      <c r="L360" s="19">
        <f>SUM(F360:K360)</f>
        <v>29806.134000000002</v>
      </c>
      <c r="M360" s="8"/>
      <c r="N360" s="265"/>
    </row>
    <row r="361" spans="1:22" s="3" customFormat="1" ht="12.2" customHeight="1" x14ac:dyDescent="0.15">
      <c r="A361" s="3" t="s">
        <v>543</v>
      </c>
      <c r="B361" s="2" t="s">
        <v>366</v>
      </c>
      <c r="C361" s="6">
        <v>3</v>
      </c>
      <c r="D361" s="2" t="s">
        <v>431</v>
      </c>
      <c r="E361" s="6"/>
      <c r="F361" s="18"/>
      <c r="G361" s="18"/>
      <c r="H361" s="18">
        <f>(0.3*(167100.4-6453.33))+5756.39</f>
        <v>53950.510999999999</v>
      </c>
      <c r="I361" s="18">
        <f>6453.33*0.3</f>
        <v>1935.9989999999998</v>
      </c>
      <c r="J361" s="18"/>
      <c r="K361" s="18"/>
      <c r="L361" s="19">
        <f>SUM(F361:K361)</f>
        <v>55886.509999999995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179835.03000000003</v>
      </c>
      <c r="I363" s="47">
        <f t="shared" si="22"/>
        <v>6453.33</v>
      </c>
      <c r="J363" s="47">
        <f t="shared" si="22"/>
        <v>0</v>
      </c>
      <c r="K363" s="47">
        <f t="shared" si="22"/>
        <v>0</v>
      </c>
      <c r="L363" s="47">
        <f t="shared" si="22"/>
        <v>186288.36000000002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3484.8</v>
      </c>
      <c r="G368" s="18">
        <v>1032.53</v>
      </c>
      <c r="H368" s="18">
        <v>1936</v>
      </c>
      <c r="I368" s="56">
        <f>SUM(F368:H368)</f>
        <v>6453.33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3484.8</v>
      </c>
      <c r="G370" s="47">
        <f>SUM(G368:G369)</f>
        <v>1032.53</v>
      </c>
      <c r="H370" s="47">
        <f>SUM(H368:H369)</f>
        <v>1936</v>
      </c>
      <c r="I370" s="47">
        <f>SUM(I368:I369)</f>
        <v>6453.33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519.98</v>
      </c>
      <c r="I397" s="18"/>
      <c r="J397" s="24" t="s">
        <v>288</v>
      </c>
      <c r="K397" s="24" t="s">
        <v>288</v>
      </c>
      <c r="L397" s="56">
        <f t="shared" si="26"/>
        <v>519.98</v>
      </c>
      <c r="M397" s="8"/>
      <c r="N397" s="265"/>
    </row>
    <row r="398" spans="1:14" s="3" customFormat="1" ht="12.2" customHeight="1" x14ac:dyDescent="0.15">
      <c r="A398" s="79" t="s">
        <v>515</v>
      </c>
      <c r="B398" s="2" t="s">
        <v>381</v>
      </c>
      <c r="C398" s="6">
        <v>10</v>
      </c>
      <c r="D398" s="2" t="s">
        <v>432</v>
      </c>
      <c r="E398" s="6"/>
      <c r="F398" s="18"/>
      <c r="G398" s="18"/>
      <c r="H398" s="18">
        <v>34.06</v>
      </c>
      <c r="I398" s="18"/>
      <c r="J398" s="24" t="s">
        <v>288</v>
      </c>
      <c r="K398" s="24" t="s">
        <v>288</v>
      </c>
      <c r="L398" s="56">
        <f t="shared" si="26"/>
        <v>34.06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554.04</v>
      </c>
      <c r="I402" s="47">
        <f>SUM(I396:I401)</f>
        <v>0</v>
      </c>
      <c r="J402" s="45" t="s">
        <v>288</v>
      </c>
      <c r="K402" s="45" t="s">
        <v>288</v>
      </c>
      <c r="L402" s="47">
        <f>SUM(L396:L401)</f>
        <v>554.04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554.04</v>
      </c>
      <c r="I409" s="47">
        <f>I394+I402+I408</f>
        <v>0</v>
      </c>
      <c r="J409" s="24" t="s">
        <v>288</v>
      </c>
      <c r="K409" s="24" t="s">
        <v>288</v>
      </c>
      <c r="L409" s="47">
        <f>L394+L402+L408</f>
        <v>554.04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511365.37</v>
      </c>
      <c r="H440" s="18"/>
      <c r="I440" s="56">
        <f t="shared" ref="I440:I446" si="33">SUM(F440:H440)</f>
        <v>511365.37</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511365.37</v>
      </c>
      <c r="H447" s="13">
        <f>SUM(H440:H446)</f>
        <v>0</v>
      </c>
      <c r="I447" s="13">
        <f>SUM(I440:I446)</f>
        <v>511365.37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511365.37</v>
      </c>
      <c r="H457" s="18"/>
      <c r="I457" s="56">
        <f t="shared" si="34"/>
        <v>511365.37</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511365.37</v>
      </c>
      <c r="H461" s="83">
        <f>SUM(H455:H460)</f>
        <v>0</v>
      </c>
      <c r="I461" s="83">
        <f>SUM(I455:I460)</f>
        <v>511365.37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511365.37</v>
      </c>
      <c r="H462" s="42">
        <f>H453+H461</f>
        <v>0</v>
      </c>
      <c r="I462" s="42">
        <f>I453+I461</f>
        <v>511365.37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287664.38</v>
      </c>
      <c r="G466" s="18">
        <v>14841.46</v>
      </c>
      <c r="H466" s="18"/>
      <c r="I466" s="18"/>
      <c r="J466" s="18">
        <v>510811.33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6199610.9699999997</v>
      </c>
      <c r="G469" s="18">
        <f>212882.03+19187.96</f>
        <v>232069.99</v>
      </c>
      <c r="H469" s="18">
        <v>645087.84</v>
      </c>
      <c r="I469" s="18"/>
      <c r="J469" s="18">
        <v>554.04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6199610.9699999997</v>
      </c>
      <c r="G471" s="53">
        <f>SUM(G469:G470)</f>
        <v>232069.99</v>
      </c>
      <c r="H471" s="53">
        <f>SUM(H469:H470)</f>
        <v>645087.84</v>
      </c>
      <c r="I471" s="53">
        <f>SUM(I469:I470)</f>
        <v>0</v>
      </c>
      <c r="J471" s="53">
        <f>SUM(J469:J470)</f>
        <v>554.04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6108242.4699999997</v>
      </c>
      <c r="G473" s="18">
        <f>167100.4+19187.96</f>
        <v>186288.36</v>
      </c>
      <c r="H473" s="18">
        <v>645087.84</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6108242.4699999997</v>
      </c>
      <c r="G475" s="53">
        <f>SUM(G473:G474)</f>
        <v>186288.36</v>
      </c>
      <c r="H475" s="53">
        <f>SUM(H473:H474)</f>
        <v>645087.84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379032.87999999989</v>
      </c>
      <c r="G477" s="53">
        <f>(G466+G471)- G475</f>
        <v>60623.09</v>
      </c>
      <c r="H477" s="53">
        <f>(H466+H471)- H475</f>
        <v>0</v>
      </c>
      <c r="I477" s="53">
        <f>(I466+I471)- I475</f>
        <v>0</v>
      </c>
      <c r="J477" s="53">
        <f>(J466+J471)- J475</f>
        <v>511365.37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316282.11+26559.21</f>
        <v>342841.32</v>
      </c>
      <c r="G522" s="18">
        <f>121187.73+6349.54</f>
        <v>127537.26999999999</v>
      </c>
      <c r="H522" s="18">
        <f>61375.28+6623.37</f>
        <v>67998.649999999994</v>
      </c>
      <c r="I522" s="18">
        <f>4562.56</f>
        <v>4562.5600000000004</v>
      </c>
      <c r="J522" s="18">
        <f>1982.96</f>
        <v>1982.96</v>
      </c>
      <c r="K522" s="18">
        <f>3330.54</f>
        <v>3330.54</v>
      </c>
      <c r="L522" s="88">
        <f>SUM(F522:K522)</f>
        <v>548253.30000000005</v>
      </c>
      <c r="N522" s="264"/>
    </row>
    <row r="523" spans="1:14" s="52" customFormat="1" ht="12.2" customHeight="1" x14ac:dyDescent="0.2">
      <c r="A523" s="22" t="s">
        <v>634</v>
      </c>
      <c r="B523" s="105">
        <v>21</v>
      </c>
      <c r="C523" s="115">
        <v>2</v>
      </c>
      <c r="D523" s="2" t="s">
        <v>432</v>
      </c>
      <c r="E523" s="115"/>
      <c r="F523" s="18">
        <f>7869.4+149793.27</f>
        <v>157662.66999999998</v>
      </c>
      <c r="G523" s="18">
        <f>1881.34+87481.28</f>
        <v>89362.62</v>
      </c>
      <c r="H523" s="18">
        <f>168159.2</f>
        <v>168159.2</v>
      </c>
      <c r="I523" s="18">
        <f>104.29</f>
        <v>104.29</v>
      </c>
      <c r="J523" s="18"/>
      <c r="K523" s="18">
        <f>986.83</f>
        <v>986.83</v>
      </c>
      <c r="L523" s="88">
        <f>SUM(F523:K523)</f>
        <v>416275.61</v>
      </c>
      <c r="N523" s="264"/>
    </row>
    <row r="524" spans="1:14" s="52" customFormat="1" ht="12.2" customHeight="1" thickBot="1" x14ac:dyDescent="0.25">
      <c r="A524" s="22" t="s">
        <v>635</v>
      </c>
      <c r="B524" s="105">
        <v>21</v>
      </c>
      <c r="C524" s="115">
        <v>3</v>
      </c>
      <c r="D524" s="2" t="s">
        <v>432</v>
      </c>
      <c r="E524" s="115"/>
      <c r="F524" s="18">
        <f>14755.12+116708.99</f>
        <v>131464.11000000002</v>
      </c>
      <c r="G524" s="18">
        <f>3527.52+58324.2</f>
        <v>61851.719999999994</v>
      </c>
      <c r="H524" s="18">
        <f>135422.76</f>
        <v>135422.76</v>
      </c>
      <c r="I524" s="18">
        <f>243.35</f>
        <v>243.35</v>
      </c>
      <c r="J524" s="18"/>
      <c r="K524" s="18">
        <f>1850.3</f>
        <v>1850.3</v>
      </c>
      <c r="L524" s="88">
        <f>SUM(F524:K524)</f>
        <v>330832.24</v>
      </c>
      <c r="N524" s="264"/>
    </row>
    <row r="525" spans="1:14" s="52" customFormat="1" ht="12.2" customHeight="1" thickTop="1" x14ac:dyDescent="0.2">
      <c r="A525" s="139" t="s">
        <v>63</v>
      </c>
      <c r="B525" s="107">
        <v>21</v>
      </c>
      <c r="C525" s="194">
        <v>4</v>
      </c>
      <c r="D525" s="195" t="s">
        <v>432</v>
      </c>
      <c r="E525" s="194"/>
      <c r="F525" s="108">
        <f>SUM(F522:F524)</f>
        <v>631968.1</v>
      </c>
      <c r="G525" s="108">
        <f t="shared" ref="G525:L525" si="36">SUM(G522:G524)</f>
        <v>278751.61</v>
      </c>
      <c r="H525" s="108">
        <f t="shared" si="36"/>
        <v>371580.61</v>
      </c>
      <c r="I525" s="108">
        <f t="shared" si="36"/>
        <v>4910.2000000000007</v>
      </c>
      <c r="J525" s="108">
        <f t="shared" si="36"/>
        <v>1982.96</v>
      </c>
      <c r="K525" s="108">
        <f t="shared" si="36"/>
        <v>6167.67</v>
      </c>
      <c r="L525" s="89">
        <f t="shared" si="36"/>
        <v>1295361.1499999999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203.15+73910.1</f>
        <v>74113.25</v>
      </c>
      <c r="G527" s="18">
        <v>48538.33</v>
      </c>
      <c r="H527" s="18">
        <f>103585.93</f>
        <v>103585.93</v>
      </c>
      <c r="I527" s="18">
        <f>1173.09+821.42</f>
        <v>1994.5099999999998</v>
      </c>
      <c r="J527" s="18"/>
      <c r="K527" s="18"/>
      <c r="L527" s="88">
        <f>SUM(F527:K527)</f>
        <v>228232.02000000002</v>
      </c>
      <c r="M527" s="8"/>
      <c r="N527" s="265"/>
    </row>
    <row r="528" spans="1:14" s="3" customFormat="1" ht="12.2" customHeight="1" x14ac:dyDescent="0.15">
      <c r="A528" s="22" t="s">
        <v>634</v>
      </c>
      <c r="B528" s="105">
        <v>21</v>
      </c>
      <c r="C528" s="115">
        <v>6</v>
      </c>
      <c r="D528" s="2" t="s">
        <v>432</v>
      </c>
      <c r="E528" s="115"/>
      <c r="F528" s="18">
        <f>60.19+15511.89</f>
        <v>15572.08</v>
      </c>
      <c r="G528" s="18">
        <f>9935.51</f>
        <v>9935.51</v>
      </c>
      <c r="H528" s="18">
        <f>13344.62</f>
        <v>13344.62</v>
      </c>
      <c r="I528" s="18">
        <f>394.3+243.38</f>
        <v>637.68000000000006</v>
      </c>
      <c r="J528" s="18"/>
      <c r="K528" s="18"/>
      <c r="L528" s="88">
        <f>SUM(F528:K528)</f>
        <v>39489.89</v>
      </c>
      <c r="M528" s="8"/>
      <c r="N528" s="265"/>
    </row>
    <row r="529" spans="1:14" s="3" customFormat="1" ht="12.2" customHeight="1" thickBot="1" x14ac:dyDescent="0.2">
      <c r="A529" s="22" t="s">
        <v>635</v>
      </c>
      <c r="B529" s="118">
        <v>21</v>
      </c>
      <c r="C529" s="118">
        <v>7</v>
      </c>
      <c r="D529" s="2" t="s">
        <v>432</v>
      </c>
      <c r="E529" s="118"/>
      <c r="F529" s="18">
        <f>112.86+35759.16</f>
        <v>35872.020000000004</v>
      </c>
      <c r="G529" s="18">
        <f>10451.3</f>
        <v>10451.299999999999</v>
      </c>
      <c r="H529" s="18">
        <f>83073.43</f>
        <v>83073.429999999993</v>
      </c>
      <c r="I529" s="18">
        <f>456.35+850.12</f>
        <v>1306.47</v>
      </c>
      <c r="J529" s="18"/>
      <c r="K529" s="18"/>
      <c r="L529" s="88">
        <f>SUM(F529:K529)</f>
        <v>130703.22</v>
      </c>
      <c r="M529" s="8"/>
      <c r="N529" s="265"/>
    </row>
    <row r="530" spans="1:14" s="3" customFormat="1" ht="12.2" customHeight="1" thickTop="1" x14ac:dyDescent="0.15">
      <c r="A530" s="139" t="s">
        <v>65</v>
      </c>
      <c r="B530" s="107">
        <v>21</v>
      </c>
      <c r="C530" s="107">
        <v>8</v>
      </c>
      <c r="D530" s="158" t="s">
        <v>432</v>
      </c>
      <c r="E530" s="107"/>
      <c r="F530" s="89">
        <f>SUM(F527:F529)</f>
        <v>125557.35</v>
      </c>
      <c r="G530" s="89">
        <f t="shared" ref="G530:L530" si="37">SUM(G527:G529)</f>
        <v>68925.14</v>
      </c>
      <c r="H530" s="89">
        <f t="shared" si="37"/>
        <v>200003.97999999998</v>
      </c>
      <c r="I530" s="89">
        <f t="shared" si="37"/>
        <v>3938.66</v>
      </c>
      <c r="J530" s="89">
        <f t="shared" si="37"/>
        <v>0</v>
      </c>
      <c r="K530" s="89">
        <f t="shared" si="37"/>
        <v>0</v>
      </c>
      <c r="L530" s="89">
        <f t="shared" si="37"/>
        <v>398425.13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2889</v>
      </c>
      <c r="G542" s="18">
        <f>757.37</f>
        <v>757.37</v>
      </c>
      <c r="H542" s="18">
        <f>1186.11</f>
        <v>1186.1099999999999</v>
      </c>
      <c r="I542" s="18">
        <f>300.85</f>
        <v>300.85000000000002</v>
      </c>
      <c r="J542" s="18"/>
      <c r="K542" s="18"/>
      <c r="L542" s="88">
        <f>SUM(F542:K542)</f>
        <v>5133.33</v>
      </c>
      <c r="M542" s="8"/>
      <c r="N542" s="265"/>
    </row>
    <row r="543" spans="1:14" s="3" customFormat="1" ht="12.2" customHeight="1" x14ac:dyDescent="0.15">
      <c r="A543" s="22" t="s">
        <v>634</v>
      </c>
      <c r="B543" s="105">
        <v>21</v>
      </c>
      <c r="C543" s="105">
        <v>18</v>
      </c>
      <c r="D543" s="2" t="s">
        <v>432</v>
      </c>
      <c r="E543" s="105"/>
      <c r="F543" s="18">
        <v>856</v>
      </c>
      <c r="G543" s="18">
        <f>224.41</f>
        <v>224.41</v>
      </c>
      <c r="H543" s="18">
        <f>365.63</f>
        <v>365.63</v>
      </c>
      <c r="I543" s="18">
        <f>94.02</f>
        <v>94.02</v>
      </c>
      <c r="J543" s="18"/>
      <c r="K543" s="18"/>
      <c r="L543" s="88">
        <f>SUM(F543:K543)</f>
        <v>1540.06</v>
      </c>
      <c r="M543" s="8"/>
      <c r="N543" s="265"/>
    </row>
    <row r="544" spans="1:14" s="3" customFormat="1" ht="12.2" customHeight="1" thickBot="1" x14ac:dyDescent="0.2">
      <c r="A544" s="22" t="s">
        <v>635</v>
      </c>
      <c r="B544" s="105">
        <v>21</v>
      </c>
      <c r="C544" s="105">
        <v>19</v>
      </c>
      <c r="D544" s="2" t="s">
        <v>432</v>
      </c>
      <c r="E544" s="105"/>
      <c r="F544" s="18">
        <v>1605</v>
      </c>
      <c r="G544" s="18">
        <f>420.76</f>
        <v>420.76</v>
      </c>
      <c r="H544" s="18">
        <f>901.85</f>
        <v>901.85</v>
      </c>
      <c r="I544" s="18">
        <f>231.92</f>
        <v>231.92</v>
      </c>
      <c r="J544" s="18"/>
      <c r="K544" s="18"/>
      <c r="L544" s="88">
        <f>SUM(F544:K544)</f>
        <v>3159.53</v>
      </c>
      <c r="M544" s="8"/>
      <c r="N544" s="265"/>
    </row>
    <row r="545" spans="1:14" s="3" customFormat="1" ht="12.2" customHeight="1" thickTop="1" thickBot="1" x14ac:dyDescent="0.2">
      <c r="A545" s="130" t="s">
        <v>71</v>
      </c>
      <c r="B545" s="190">
        <v>21</v>
      </c>
      <c r="C545" s="190">
        <v>20</v>
      </c>
      <c r="D545" s="191" t="s">
        <v>432</v>
      </c>
      <c r="E545" s="190"/>
      <c r="F545" s="192">
        <f>SUM(F542:F544)</f>
        <v>5350</v>
      </c>
      <c r="G545" s="192">
        <f t="shared" ref="G545:L545" si="40">SUM(G542:G544)</f>
        <v>1402.54</v>
      </c>
      <c r="H545" s="192">
        <f t="shared" si="40"/>
        <v>2453.5899999999997</v>
      </c>
      <c r="I545" s="192">
        <f t="shared" si="40"/>
        <v>626.79</v>
      </c>
      <c r="J545" s="192">
        <f t="shared" si="40"/>
        <v>0</v>
      </c>
      <c r="K545" s="192">
        <f t="shared" si="40"/>
        <v>0</v>
      </c>
      <c r="L545" s="192">
        <f t="shared" si="40"/>
        <v>9832.92</v>
      </c>
      <c r="M545" s="8"/>
      <c r="N545" s="265"/>
    </row>
    <row r="546" spans="1:14" s="3" customFormat="1" ht="12.2" customHeight="1" thickTop="1" x14ac:dyDescent="0.15">
      <c r="A546" s="98" t="s">
        <v>72</v>
      </c>
      <c r="B546" s="107">
        <v>21</v>
      </c>
      <c r="C546" s="107">
        <v>21</v>
      </c>
      <c r="D546" s="158" t="s">
        <v>432</v>
      </c>
      <c r="E546" s="107"/>
      <c r="F546" s="89">
        <f>F525+F530+F535+F540+F545</f>
        <v>762875.45</v>
      </c>
      <c r="G546" s="89">
        <f t="shared" ref="G546:L546" si="41">G525+G530+G535+G540+G545</f>
        <v>349079.29</v>
      </c>
      <c r="H546" s="89">
        <f t="shared" si="41"/>
        <v>574038.17999999993</v>
      </c>
      <c r="I546" s="89">
        <f t="shared" si="41"/>
        <v>9475.6500000000015</v>
      </c>
      <c r="J546" s="89">
        <f t="shared" si="41"/>
        <v>1982.96</v>
      </c>
      <c r="K546" s="89">
        <f t="shared" si="41"/>
        <v>6167.67</v>
      </c>
      <c r="L546" s="89">
        <f t="shared" si="41"/>
        <v>1703619.1999999997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548253.30000000005</v>
      </c>
      <c r="G550" s="87">
        <f>L527</f>
        <v>228232.02000000002</v>
      </c>
      <c r="H550" s="87">
        <f>L532</f>
        <v>0</v>
      </c>
      <c r="I550" s="87">
        <f>L537</f>
        <v>0</v>
      </c>
      <c r="J550" s="87">
        <f>L542</f>
        <v>5133.33</v>
      </c>
      <c r="K550" s="87">
        <f>SUM(F550:J550)</f>
        <v>781618.65</v>
      </c>
      <c r="L550" s="24" t="s">
        <v>288</v>
      </c>
      <c r="M550" s="8"/>
      <c r="N550" s="265"/>
    </row>
    <row r="551" spans="1:14" s="3" customFormat="1" ht="12.2" customHeight="1" x14ac:dyDescent="0.15">
      <c r="A551" s="22" t="s">
        <v>634</v>
      </c>
      <c r="B551" s="75">
        <v>21</v>
      </c>
      <c r="C551" s="75">
        <v>23</v>
      </c>
      <c r="D551" s="2" t="s">
        <v>432</v>
      </c>
      <c r="E551" s="75"/>
      <c r="F551" s="87">
        <f>L523</f>
        <v>416275.61</v>
      </c>
      <c r="G551" s="87">
        <f>L528</f>
        <v>39489.89</v>
      </c>
      <c r="H551" s="87">
        <f>L533</f>
        <v>0</v>
      </c>
      <c r="I551" s="87">
        <f>L538</f>
        <v>0</v>
      </c>
      <c r="J551" s="87">
        <f>L543</f>
        <v>1540.06</v>
      </c>
      <c r="K551" s="87">
        <f>SUM(F551:J551)</f>
        <v>457305.56</v>
      </c>
      <c r="L551" s="24" t="s">
        <v>288</v>
      </c>
      <c r="M551" s="8"/>
      <c r="N551" s="265"/>
    </row>
    <row r="552" spans="1:14" s="3" customFormat="1" ht="12.2" customHeight="1" thickBot="1" x14ac:dyDescent="0.2">
      <c r="A552" s="22" t="s">
        <v>635</v>
      </c>
      <c r="B552" s="75">
        <v>21</v>
      </c>
      <c r="C552" s="75">
        <v>24</v>
      </c>
      <c r="D552" s="2" t="s">
        <v>432</v>
      </c>
      <c r="E552" s="75"/>
      <c r="F552" s="87">
        <f>L524</f>
        <v>330832.24</v>
      </c>
      <c r="G552" s="87">
        <f>L529</f>
        <v>130703.22</v>
      </c>
      <c r="H552" s="87">
        <f>L534</f>
        <v>0</v>
      </c>
      <c r="I552" s="87">
        <f>L539</f>
        <v>0</v>
      </c>
      <c r="J552" s="87">
        <f>L544</f>
        <v>3159.53</v>
      </c>
      <c r="K552" s="87">
        <f>SUM(F552:J552)</f>
        <v>464694.99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1295361.1499999999</v>
      </c>
      <c r="G553" s="89">
        <f t="shared" si="42"/>
        <v>398425.13</v>
      </c>
      <c r="H553" s="89">
        <f t="shared" si="42"/>
        <v>0</v>
      </c>
      <c r="I553" s="89">
        <f t="shared" si="42"/>
        <v>0</v>
      </c>
      <c r="J553" s="89">
        <f t="shared" si="42"/>
        <v>9832.92</v>
      </c>
      <c r="K553" s="89">
        <f t="shared" si="42"/>
        <v>1703619.2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1551.63+6623.37</f>
        <v>8175</v>
      </c>
      <c r="G580" s="18"/>
      <c r="H580" s="18"/>
      <c r="I580" s="87">
        <f t="shared" si="47"/>
        <v>8175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17500</v>
      </c>
      <c r="G583" s="18">
        <v>166000.24</v>
      </c>
      <c r="H583" s="18">
        <f>85437.45</f>
        <v>85437.45</v>
      </c>
      <c r="I583" s="87">
        <f t="shared" si="47"/>
        <v>268937.69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37777.480000000003</v>
      </c>
      <c r="I585" s="87">
        <f t="shared" si="47"/>
        <v>37777.480000000003</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69150.41</v>
      </c>
      <c r="I592" s="18">
        <v>27407.59</v>
      </c>
      <c r="J592" s="18">
        <v>41983.34</v>
      </c>
      <c r="K592" s="104">
        <f t="shared" ref="K592:K598" si="48">SUM(H592:J592)</f>
        <v>138541.34</v>
      </c>
      <c r="L592" s="24" t="s">
        <v>288</v>
      </c>
      <c r="M592" s="8"/>
      <c r="N592" s="265"/>
    </row>
    <row r="593" spans="1:14" s="3" customFormat="1" ht="12.2" customHeight="1" x14ac:dyDescent="0.15">
      <c r="A593" s="3" t="s">
        <v>638</v>
      </c>
      <c r="B593" s="75">
        <v>23</v>
      </c>
      <c r="C593" s="75">
        <v>2</v>
      </c>
      <c r="D593" s="2" t="s">
        <v>432</v>
      </c>
      <c r="E593" s="75"/>
      <c r="F593" s="102">
        <v>2722</v>
      </c>
      <c r="G593" s="103" t="s">
        <v>97</v>
      </c>
      <c r="H593" s="18">
        <f>1486.96+3646.37</f>
        <v>5133.33</v>
      </c>
      <c r="I593" s="18">
        <f>459.65+1080.41</f>
        <v>1540.06</v>
      </c>
      <c r="J593" s="18">
        <f>1133.77+2025.76</f>
        <v>3159.5299999999997</v>
      </c>
      <c r="K593" s="104">
        <f t="shared" si="48"/>
        <v>9832.9199999999983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30334.6</v>
      </c>
      <c r="K594" s="104">
        <f t="shared" si="48"/>
        <v>30334.6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1725.51</v>
      </c>
      <c r="I596" s="18">
        <v>4945.32</v>
      </c>
      <c r="J596" s="18">
        <v>16335.47</v>
      </c>
      <c r="K596" s="104">
        <f t="shared" si="48"/>
        <v>23006.3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76009.25</v>
      </c>
      <c r="I599" s="108">
        <f>SUM(I592:I598)</f>
        <v>33892.97</v>
      </c>
      <c r="J599" s="108">
        <f>SUM(J592:J598)</f>
        <v>91812.94</v>
      </c>
      <c r="K599" s="108">
        <f>SUM(K592:K598)</f>
        <v>201715.16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19518.58+20894.37</f>
        <v>40412.949999999997</v>
      </c>
      <c r="I605" s="18">
        <f>3459.44+6190.92</f>
        <v>9650.36</v>
      </c>
      <c r="J605" s="18">
        <f>19375.26+11607.98</f>
        <v>30983.239999999998</v>
      </c>
      <c r="K605" s="104">
        <f>SUM(H605:J605)</f>
        <v>81046.549999999988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40412.949999999997</v>
      </c>
      <c r="I606" s="108">
        <f>SUM(I603:I605)</f>
        <v>9650.36</v>
      </c>
      <c r="J606" s="108">
        <f>SUM(J603:J605)</f>
        <v>30983.239999999998</v>
      </c>
      <c r="K606" s="108">
        <f>SUM(K603:K605)</f>
        <v>81046.549999999988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545185.27</v>
      </c>
      <c r="H618" s="109">
        <f>SUM(F52)</f>
        <v>545185.27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105223.58</v>
      </c>
      <c r="H619" s="109">
        <f>SUM(G52)</f>
        <v>105223.57999999999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237681.72</v>
      </c>
      <c r="H620" s="109">
        <f>SUM(H52)</f>
        <v>237681.72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511365.37</v>
      </c>
      <c r="H622" s="109">
        <f>SUM(J52)</f>
        <v>511365.37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379032.88</v>
      </c>
      <c r="H623" s="109">
        <f>F477</f>
        <v>379032.87999999989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60623.09</v>
      </c>
      <c r="H624" s="109">
        <f>G477</f>
        <v>60623.09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511365.37</v>
      </c>
      <c r="H627" s="109">
        <f>J477</f>
        <v>511365.37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6199610.9700000007</v>
      </c>
      <c r="H628" s="104">
        <f>SUM(F469)</f>
        <v>6199610.9699999997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232069.99</v>
      </c>
      <c r="H629" s="104">
        <f>SUM(G469)</f>
        <v>232069.99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645087.84000000008</v>
      </c>
      <c r="H630" s="104">
        <f>SUM(H469)</f>
        <v>645087.84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554.04</v>
      </c>
      <c r="H632" s="104">
        <f>SUM(J469)</f>
        <v>554.04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6108242.4699999997</v>
      </c>
      <c r="H633" s="104">
        <f>SUM(F473)</f>
        <v>6108242.4699999997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645087.84000000008</v>
      </c>
      <c r="H634" s="104">
        <f>SUM(H473)</f>
        <v>645087.84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6453.33</v>
      </c>
      <c r="H635" s="104">
        <f>I370</f>
        <v>6453.33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186288.36000000002</v>
      </c>
      <c r="H636" s="104">
        <f>SUM(G473)</f>
        <v>186288.36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554.04</v>
      </c>
      <c r="H638" s="164">
        <f>SUM(J469)</f>
        <v>554.04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511365.37</v>
      </c>
      <c r="H641" s="104">
        <f>SUM(G462)</f>
        <v>511365.37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511365.37</v>
      </c>
      <c r="H643" s="104">
        <f>SUM(I462)</f>
        <v>511365.37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554.04</v>
      </c>
      <c r="H645" s="104">
        <f>H409</f>
        <v>554.04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554.04</v>
      </c>
      <c r="H647" s="104">
        <f>L409</f>
        <v>554.04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201715.16</v>
      </c>
      <c r="H648" s="104">
        <f>L209+L227+L245</f>
        <v>201715.15999999997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81046.549999999988</v>
      </c>
      <c r="H649" s="104">
        <f>(J258+J339)-(J256+J337)</f>
        <v>81046.550000000017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76009.25</v>
      </c>
      <c r="H650" s="104">
        <f>H599</f>
        <v>76009.25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33892.97</v>
      </c>
      <c r="H651" s="104">
        <f>I599</f>
        <v>33892.97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91812.939999999988</v>
      </c>
      <c r="H652" s="104">
        <f>J599</f>
        <v>91812.94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3045323.2859999998</v>
      </c>
      <c r="G661" s="19">
        <f>(L230+L310+L360)</f>
        <v>1448854.5640000002</v>
      </c>
      <c r="H661" s="19">
        <f>(L248+L329+L361)</f>
        <v>2364119.2799999998</v>
      </c>
      <c r="I661" s="19">
        <f>SUM(F661:H661)</f>
        <v>6858297.129999999</v>
      </c>
      <c r="J661" s="13"/>
      <c r="K661" s="13"/>
      <c r="L661" s="13"/>
      <c r="M661" s="9"/>
    </row>
    <row r="662" spans="1:13" s="3" customFormat="1" ht="12.2" customHeight="1" x14ac:dyDescent="0.2">
      <c r="A662" s="1" t="s">
        <v>127</v>
      </c>
      <c r="F662" s="19">
        <f>(L359/IF(SUM(L359:L361)=0,1,SUM(L359:L361))*(SUM(G97:G110)))</f>
        <v>4063.3704646289229</v>
      </c>
      <c r="G662" s="19">
        <f>(L360/IF(SUM(L359:L361)=0,1,SUM(L359:L361))*(SUM(G97:G110)))</f>
        <v>1203.9614545849242</v>
      </c>
      <c r="H662" s="19">
        <f>(L361/IF(SUM(L359:L361)=0,1,SUM(L359:L361))*(SUM(G97:G110)))</f>
        <v>2257.4280807861528</v>
      </c>
      <c r="I662" s="19">
        <f>SUM(F662:H662)</f>
        <v>7524.76</v>
      </c>
      <c r="J662"/>
      <c r="K662" s="13"/>
      <c r="L662" s="13"/>
      <c r="M662" s="8"/>
    </row>
    <row r="663" spans="1:13" s="3" customFormat="1" ht="12.2" customHeight="1" x14ac:dyDescent="0.2">
      <c r="A663" s="1" t="s">
        <v>128</v>
      </c>
      <c r="F663" s="19">
        <f>(L209+L288)-(J209+J288)</f>
        <v>76009.25</v>
      </c>
      <c r="G663" s="19">
        <f>(L227+L307)-(J227+J307)</f>
        <v>33892.97</v>
      </c>
      <c r="H663" s="19">
        <f>(L245+L326)-(J245+J326)</f>
        <v>91812.939999999988</v>
      </c>
      <c r="I663" s="19">
        <f>SUM(F663:H663)</f>
        <v>201715.15999999997</v>
      </c>
      <c r="J663"/>
      <c r="K663" s="13"/>
      <c r="L663" s="13"/>
      <c r="M663" s="9"/>
    </row>
    <row r="664" spans="1:13" s="3" customFormat="1" ht="12.2" customHeight="1" x14ac:dyDescent="0.15">
      <c r="A664" s="197" t="s">
        <v>129</v>
      </c>
      <c r="B664" s="169"/>
      <c r="C664" s="169"/>
      <c r="D664" s="169"/>
      <c r="E664" s="169"/>
      <c r="F664" s="198">
        <f>SUM(F576:F588)+SUM(H603:H605)+SUM(L612)</f>
        <v>66087.95</v>
      </c>
      <c r="G664" s="198">
        <f>SUM(G576:G588)+SUM(I603:I605)+L613</f>
        <v>175650.59999999998</v>
      </c>
      <c r="H664" s="198">
        <f>SUM(H576:H588)+SUM(J603:J605)+L614</f>
        <v>154198.16999999998</v>
      </c>
      <c r="I664" s="19">
        <f>SUM(F664:H664)</f>
        <v>395936.72</v>
      </c>
      <c r="J664" s="13"/>
      <c r="K664" s="13"/>
      <c r="L664" s="13"/>
      <c r="M664" s="9"/>
    </row>
    <row r="665" spans="1:13" s="3" customFormat="1" ht="12.2" customHeight="1" x14ac:dyDescent="0.15">
      <c r="A665" s="1" t="s">
        <v>130</v>
      </c>
      <c r="F665" s="19">
        <f>F661-SUM(F662:F664)</f>
        <v>2899162.7155353711</v>
      </c>
      <c r="G665" s="19">
        <f>G661-SUM(G662:G664)</f>
        <v>1238107.0325454152</v>
      </c>
      <c r="H665" s="19">
        <f>H661-SUM(H662:H664)</f>
        <v>2115850.7419192139</v>
      </c>
      <c r="I665" s="19">
        <f>I661-SUM(I662:I664)</f>
        <v>6253120.4899999993</v>
      </c>
      <c r="J665" s="13"/>
      <c r="K665" s="13"/>
      <c r="L665" s="13"/>
      <c r="M665" s="8"/>
    </row>
    <row r="666" spans="1:13" s="3" customFormat="1" ht="12.2" customHeight="1" x14ac:dyDescent="0.2">
      <c r="A666" s="1" t="s">
        <v>131</v>
      </c>
      <c r="F666" s="245">
        <v>158.77000000000001</v>
      </c>
      <c r="G666" s="246">
        <v>47.82</v>
      </c>
      <c r="H666" s="246">
        <v>83.59</v>
      </c>
      <c r="I666" s="19">
        <f>SUM(F666:H666)</f>
        <v>290.18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18260.14</v>
      </c>
      <c r="G668" s="19">
        <f>ROUND(G665/G666,2)</f>
        <v>25890.99</v>
      </c>
      <c r="H668" s="19">
        <f>ROUND(H665/H666,2)</f>
        <v>25312.25</v>
      </c>
      <c r="I668" s="19">
        <f>ROUND(I665/I666,2)</f>
        <v>21549.11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-8.5</v>
      </c>
      <c r="I671" s="19">
        <f>SUM(F671:H671)</f>
        <v>-8.5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18260.14</v>
      </c>
      <c r="G673" s="19">
        <f>ROUND((G665+G670)/(G666+G671),2)</f>
        <v>25890.99</v>
      </c>
      <c r="H673" s="19">
        <f>ROUND((H665+H670)/(H666+H671),2)</f>
        <v>28177.53</v>
      </c>
      <c r="I673" s="19">
        <f>ROUND((I665+I670)/(I666+I671),2)</f>
        <v>22199.38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15167.42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10722.92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4444.5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Lisbon Regional</v>
      </c>
      <c r="C5" s="375"/>
      <c r="D5" s="375"/>
      <c r="E5" s="375"/>
      <c r="F5" s="375"/>
    </row>
    <row r="8" spans="1:9" ht="18" x14ac:dyDescent="0.25">
      <c r="A8" s="312" t="s">
        <v>1568</v>
      </c>
      <c r="F8" s="319" t="s">
        <v>1586</v>
      </c>
    </row>
    <row r="9" spans="1:9" ht="15" x14ac:dyDescent="0.2">
      <c r="A9" s="310" t="s">
        <v>1569</v>
      </c>
      <c r="B9" s="313">
        <f>'DOE25'!G97</f>
        <v>7524.76</v>
      </c>
      <c r="F9" s="310" t="s">
        <v>1582</v>
      </c>
    </row>
    <row r="10" spans="1:9" ht="15" x14ac:dyDescent="0.2">
      <c r="A10" s="310" t="s">
        <v>1570</v>
      </c>
      <c r="B10" s="313">
        <f>'DOE25'!G112-'DOE25'!G97</f>
        <v>0</v>
      </c>
      <c r="F10" s="310" t="s">
        <v>1583</v>
      </c>
    </row>
    <row r="11" spans="1:9" ht="15" x14ac:dyDescent="0.2">
      <c r="A11" s="310" t="s">
        <v>1571</v>
      </c>
      <c r="B11" s="313">
        <f>'DOE25'!G140</f>
        <v>2911.92</v>
      </c>
      <c r="F11" s="310" t="s">
        <v>1584</v>
      </c>
    </row>
    <row r="12" spans="1:9" ht="15" x14ac:dyDescent="0.2">
      <c r="A12" s="310" t="s">
        <v>1572</v>
      </c>
      <c r="B12" s="313">
        <f>'DOE25'!G170</f>
        <v>221633.31</v>
      </c>
      <c r="F12" s="310" t="s">
        <v>1585</v>
      </c>
    </row>
    <row r="13" spans="1:9" ht="15" x14ac:dyDescent="0.2">
      <c r="A13" s="310" t="s">
        <v>1573</v>
      </c>
      <c r="B13" s="313">
        <f>'DOE25'!G193-'DOE25'!G180</f>
        <v>0</v>
      </c>
      <c r="F13" s="310" t="s">
        <v>1595</v>
      </c>
    </row>
    <row r="14" spans="1:9" ht="18" x14ac:dyDescent="0.25">
      <c r="A14" s="312" t="s">
        <v>732</v>
      </c>
      <c r="B14" s="314">
        <f>SUM(B9:B13)</f>
        <v>232069.99</v>
      </c>
    </row>
    <row r="16" spans="1:9" ht="18" x14ac:dyDescent="0.25">
      <c r="A16" s="312" t="s">
        <v>786</v>
      </c>
      <c r="F16" s="319" t="s">
        <v>1587</v>
      </c>
    </row>
    <row r="17" spans="1:6" ht="15" x14ac:dyDescent="0.2">
      <c r="A17" s="310" t="s">
        <v>1574</v>
      </c>
      <c r="B17" s="313">
        <f>'DOE25'!L363-'DOE25'!L362</f>
        <v>186288.36000000002</v>
      </c>
      <c r="F17" s="310" t="s">
        <v>1588</v>
      </c>
    </row>
    <row r="18" spans="1:6" ht="15" x14ac:dyDescent="0.2">
      <c r="A18" s="310" t="s">
        <v>1575</v>
      </c>
      <c r="B18" s="323"/>
      <c r="F18" s="319" t="s">
        <v>1612</v>
      </c>
    </row>
    <row r="19" spans="1:6" ht="18" x14ac:dyDescent="0.25">
      <c r="A19" s="312" t="s">
        <v>725</v>
      </c>
      <c r="B19" s="314">
        <f>SUM(B17:B18)</f>
        <v>186288.36000000002</v>
      </c>
    </row>
    <row r="21" spans="1:6" ht="18.75" thickBot="1" x14ac:dyDescent="0.3">
      <c r="A21" s="312" t="s">
        <v>1576</v>
      </c>
    </row>
    <row r="22" spans="1:6" ht="18.75" thickTop="1" x14ac:dyDescent="0.25">
      <c r="A22" s="312" t="s">
        <v>1577</v>
      </c>
      <c r="B22" s="318">
        <f>B14-B19</f>
        <v>45781.629999999976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14841.46</v>
      </c>
      <c r="F31" s="310" t="s">
        <v>1592</v>
      </c>
    </row>
    <row r="33" spans="1:6" ht="15" x14ac:dyDescent="0.2">
      <c r="A33" s="310" t="s">
        <v>1635</v>
      </c>
      <c r="B33" s="313">
        <f>'DOE25'!G477</f>
        <v>60623.09</v>
      </c>
      <c r="F33" s="310" t="s">
        <v>1593</v>
      </c>
    </row>
    <row r="36" spans="1:6" ht="15" x14ac:dyDescent="0.2">
      <c r="A36" s="310" t="s">
        <v>1579</v>
      </c>
      <c r="B36" s="324">
        <v>19187.96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Lisbon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1915492.28</v>
      </c>
      <c r="C9" s="228">
        <f>'DOE25'!G198+'DOE25'!G216+'DOE25'!G234+'DOE25'!G277+'DOE25'!G296+'DOE25'!G315</f>
        <v>888123.58000000007</v>
      </c>
    </row>
    <row r="10" spans="1:3" x14ac:dyDescent="0.2">
      <c r="A10" t="s">
        <v>775</v>
      </c>
      <c r="B10" s="239">
        <v>1868341.29</v>
      </c>
      <c r="C10" s="239">
        <f>338949.54+543752.1</f>
        <v>882701.6399999999</v>
      </c>
    </row>
    <row r="11" spans="1:3" x14ac:dyDescent="0.2">
      <c r="A11" t="s">
        <v>776</v>
      </c>
      <c r="B11" s="239">
        <v>2823.1</v>
      </c>
      <c r="C11" s="239">
        <f>2030.83</f>
        <v>2030.83</v>
      </c>
    </row>
    <row r="12" spans="1:3" x14ac:dyDescent="0.2">
      <c r="A12" t="s">
        <v>777</v>
      </c>
      <c r="B12" s="239">
        <v>44327.89</v>
      </c>
      <c r="C12" s="239">
        <v>3391.11</v>
      </c>
    </row>
    <row r="13" spans="1:3" x14ac:dyDescent="0.2">
      <c r="A13" t="str">
        <f>IF(B9=B13,IF(C9=C13,"Check Total OK","Check Total Error"),"Check Total Error")</f>
        <v>Check Total OK</v>
      </c>
      <c r="B13" s="230">
        <f>SUM(B10:B12)</f>
        <v>1915492.28</v>
      </c>
      <c r="C13" s="230">
        <f>SUM(C10:C12)</f>
        <v>888123.57999999984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631968.10000000009</v>
      </c>
      <c r="C18" s="228">
        <f>'DOE25'!G199+'DOE25'!G217+'DOE25'!G235+'DOE25'!G278+'DOE25'!G297+'DOE25'!G316</f>
        <v>278751.61000000004</v>
      </c>
    </row>
    <row r="19" spans="1:3" x14ac:dyDescent="0.2">
      <c r="A19" t="s">
        <v>775</v>
      </c>
      <c r="B19" s="239">
        <v>353871.85</v>
      </c>
      <c r="C19" s="239">
        <f>66422.59+100520.8</f>
        <v>166943.39000000001</v>
      </c>
    </row>
    <row r="20" spans="1:3" x14ac:dyDescent="0.2">
      <c r="A20" t="s">
        <v>776</v>
      </c>
      <c r="B20" s="239">
        <v>278096.25</v>
      </c>
      <c r="C20" s="239">
        <f>32827.6+78980.62</f>
        <v>111808.22</v>
      </c>
    </row>
    <row r="21" spans="1:3" x14ac:dyDescent="0.2">
      <c r="A21" t="s">
        <v>777</v>
      </c>
      <c r="B21" s="239"/>
      <c r="C21" s="239"/>
    </row>
    <row r="22" spans="1:3" x14ac:dyDescent="0.2">
      <c r="A22" t="str">
        <f>IF(B18=B22,IF(C18=C22,"Check Total OK","Check Total Error"),"Check Total Error")</f>
        <v>Check Total OK</v>
      </c>
      <c r="B22" s="230">
        <f>SUM(B19:B21)</f>
        <v>631968.1</v>
      </c>
      <c r="C22" s="230">
        <f>SUM(C19:C21)</f>
        <v>278751.61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163220.5</v>
      </c>
      <c r="C27" s="233">
        <f>'DOE25'!G200+'DOE25'!G218+'DOE25'!G236+'DOE25'!G279+'DOE25'!G298+'DOE25'!G317</f>
        <v>58662.47</v>
      </c>
    </row>
    <row r="28" spans="1:3" x14ac:dyDescent="0.2">
      <c r="A28" t="s">
        <v>775</v>
      </c>
      <c r="B28" s="239">
        <v>163220.5</v>
      </c>
      <c r="C28" s="239">
        <v>58662.47</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163220.5</v>
      </c>
      <c r="C31" s="230">
        <f>SUM(C28:C30)</f>
        <v>58662.47</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56320</v>
      </c>
      <c r="C36" s="234">
        <f>'DOE25'!G201+'DOE25'!G219+'DOE25'!G237+'DOE25'!G280+'DOE25'!G299+'DOE25'!G318</f>
        <v>11145.96</v>
      </c>
    </row>
    <row r="37" spans="1:3" x14ac:dyDescent="0.2">
      <c r="A37" t="s">
        <v>775</v>
      </c>
      <c r="B37" s="239">
        <v>56320</v>
      </c>
      <c r="C37" s="239">
        <v>11145.96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56320</v>
      </c>
      <c r="C40" s="230">
        <f>SUM(C37:C39)</f>
        <v>11145.96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32" sqref="M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Lisbon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3947922.13</v>
      </c>
      <c r="D5" s="20">
        <f>SUM('DOE25'!L198:L201)+SUM('DOE25'!L216:L219)+SUM('DOE25'!L234:L237)-F5-G5-H5</f>
        <v>3938480.71</v>
      </c>
      <c r="E5" s="242"/>
      <c r="F5" s="243"/>
      <c r="G5" s="53">
        <f>SUM('DOE25'!J198:J201)+SUM('DOE25'!J216:J219)+SUM('DOE25'!J234:J237)</f>
        <v>7926.07</v>
      </c>
      <c r="H5" s="53">
        <f>SUM('DOE25'!K198:K201)+SUM('DOE25'!K216:K219)+SUM('DOE25'!K234:K237)</f>
        <v>1515.35</v>
      </c>
      <c r="I5" s="255"/>
    </row>
    <row r="6" spans="1:9" x14ac:dyDescent="0.2">
      <c r="A6" s="32">
        <v>2100</v>
      </c>
      <c r="B6" t="s">
        <v>796</v>
      </c>
      <c r="C6" s="274">
        <f t="shared" si="0"/>
        <v>451258.41999999993</v>
      </c>
      <c r="D6" s="20">
        <f>'DOE25'!L203+'DOE25'!L221+'DOE25'!L239-F6-G6-H6</f>
        <v>451258.41999999993</v>
      </c>
      <c r="E6" s="242"/>
      <c r="F6" s="243"/>
      <c r="G6" s="53">
        <f>'DOE25'!J203+'DOE25'!J221+'DOE25'!J239</f>
        <v>0</v>
      </c>
      <c r="H6" s="53">
        <f>'DOE25'!K203+'DOE25'!K221+'DOE25'!K239</f>
        <v>0</v>
      </c>
      <c r="I6" s="255"/>
    </row>
    <row r="7" spans="1:9" x14ac:dyDescent="0.2">
      <c r="A7" s="32">
        <v>2200</v>
      </c>
      <c r="B7" t="s">
        <v>821</v>
      </c>
      <c r="C7" s="274">
        <f t="shared" si="0"/>
        <v>118546.80000000002</v>
      </c>
      <c r="D7" s="20">
        <f>'DOE25'!L204+'DOE25'!L222+'DOE25'!L240-F7-G7-H7</f>
        <v>114690.64000000001</v>
      </c>
      <c r="E7" s="242"/>
      <c r="F7" s="243"/>
      <c r="G7" s="53">
        <f>'DOE25'!J204+'DOE25'!J222+'DOE25'!J240</f>
        <v>0</v>
      </c>
      <c r="H7" s="53">
        <f>'DOE25'!K204+'DOE25'!K222+'DOE25'!K240</f>
        <v>3856.16</v>
      </c>
      <c r="I7" s="255"/>
    </row>
    <row r="8" spans="1:9" x14ac:dyDescent="0.2">
      <c r="A8" s="32">
        <v>2300</v>
      </c>
      <c r="B8" t="s">
        <v>797</v>
      </c>
      <c r="C8" s="274">
        <f t="shared" si="0"/>
        <v>207035.75000000003</v>
      </c>
      <c r="D8" s="242"/>
      <c r="E8" s="20">
        <f>'DOE25'!L205+'DOE25'!L223+'DOE25'!L241-F8-G8-H8-D9-D11</f>
        <v>180232.53000000003</v>
      </c>
      <c r="F8" s="243"/>
      <c r="G8" s="53">
        <f>'DOE25'!J205+'DOE25'!J223+'DOE25'!J241</f>
        <v>0</v>
      </c>
      <c r="H8" s="53">
        <f>'DOE25'!K205+'DOE25'!K223+'DOE25'!K241</f>
        <v>26803.219999999998</v>
      </c>
      <c r="I8" s="255"/>
    </row>
    <row r="9" spans="1:9" ht="14.25" x14ac:dyDescent="0.2">
      <c r="A9" s="32">
        <v>2310</v>
      </c>
      <c r="B9" s="184" t="s">
        <v>888</v>
      </c>
      <c r="C9" s="274">
        <f t="shared" si="0"/>
        <v>59578.33</v>
      </c>
      <c r="D9" s="243">
        <v>59578.33</v>
      </c>
      <c r="E9" s="242"/>
      <c r="F9" s="252"/>
      <c r="G9" s="252"/>
      <c r="H9" s="252"/>
      <c r="I9" s="255"/>
    </row>
    <row r="10" spans="1:9" ht="14.25" x14ac:dyDescent="0.2">
      <c r="A10" s="32">
        <v>2317</v>
      </c>
      <c r="B10" s="184" t="s">
        <v>889</v>
      </c>
      <c r="C10" s="274">
        <f t="shared" si="0"/>
        <v>4652.5</v>
      </c>
      <c r="D10" s="242"/>
      <c r="E10" s="243">
        <v>4652.5</v>
      </c>
      <c r="F10" s="252"/>
      <c r="G10" s="252"/>
      <c r="H10" s="252"/>
      <c r="I10" s="255"/>
    </row>
    <row r="11" spans="1:9" ht="14.25" x14ac:dyDescent="0.2">
      <c r="A11" s="32">
        <v>2321</v>
      </c>
      <c r="B11" s="184" t="s">
        <v>890</v>
      </c>
      <c r="C11" s="274">
        <f t="shared" si="0"/>
        <v>50443.43</v>
      </c>
      <c r="D11" s="243">
        <v>50443.43</v>
      </c>
      <c r="E11" s="242"/>
      <c r="F11" s="252"/>
      <c r="G11" s="252"/>
      <c r="H11" s="252"/>
      <c r="I11" s="255"/>
    </row>
    <row r="12" spans="1:9" x14ac:dyDescent="0.2">
      <c r="A12" s="32">
        <v>2400</v>
      </c>
      <c r="B12" t="s">
        <v>711</v>
      </c>
      <c r="C12" s="274">
        <f t="shared" si="0"/>
        <v>332466.25</v>
      </c>
      <c r="D12" s="20">
        <f>'DOE25'!L206+'DOE25'!L224+'DOE25'!L242-F12-G12-H12</f>
        <v>329106.59999999998</v>
      </c>
      <c r="E12" s="242"/>
      <c r="F12" s="243"/>
      <c r="G12" s="53">
        <f>'DOE25'!J206+'DOE25'!J224+'DOE25'!J242</f>
        <v>715.58</v>
      </c>
      <c r="H12" s="53">
        <f>'DOE25'!K206+'DOE25'!K224+'DOE25'!K242</f>
        <v>2644.07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546364.78999999992</v>
      </c>
      <c r="D14" s="20">
        <f>'DOE25'!L208+'DOE25'!L226+'DOE25'!L244-F14-G14-H14</f>
        <v>541176.78999999992</v>
      </c>
      <c r="E14" s="242"/>
      <c r="F14" s="243"/>
      <c r="G14" s="53">
        <f>'DOE25'!J208+'DOE25'!J226+'DOE25'!J244</f>
        <v>5188</v>
      </c>
      <c r="H14" s="53">
        <f>'DOE25'!K208+'DOE25'!K226+'DOE25'!K244</f>
        <v>0</v>
      </c>
      <c r="I14" s="255"/>
    </row>
    <row r="15" spans="1:9" x14ac:dyDescent="0.2">
      <c r="A15" s="32">
        <v>2700</v>
      </c>
      <c r="B15" t="s">
        <v>799</v>
      </c>
      <c r="C15" s="274">
        <f t="shared" si="0"/>
        <v>201715.15999999997</v>
      </c>
      <c r="D15" s="20">
        <f>'DOE25'!L209+'DOE25'!L227+'DOE25'!L245-F15-G15-H15</f>
        <v>40786.429999999964</v>
      </c>
      <c r="E15" s="242"/>
      <c r="F15" s="243">
        <v>160928.73000000001</v>
      </c>
      <c r="G15" s="53">
        <f>'DOE25'!J209+'DOE25'!J227+'DOE25'!J245</f>
        <v>0</v>
      </c>
      <c r="H15" s="53">
        <f>'DOE25'!K209+'DOE25'!K227+'DOE25'!K245</f>
        <v>0</v>
      </c>
      <c r="I15" s="255"/>
    </row>
    <row r="16" spans="1:9" x14ac:dyDescent="0.2">
      <c r="A16" s="32">
        <v>2800</v>
      </c>
      <c r="B16" t="s">
        <v>800</v>
      </c>
      <c r="C16" s="274">
        <f t="shared" si="0"/>
        <v>111589.87</v>
      </c>
      <c r="D16" s="242"/>
      <c r="E16" s="20">
        <f>'DOE25'!L210+'DOE25'!L228+'DOE25'!L246-F16-G16-H16</f>
        <v>103647.65</v>
      </c>
      <c r="F16" s="243"/>
      <c r="G16" s="53">
        <f>'DOE25'!J210+'DOE25'!J228+'DOE25'!J246</f>
        <v>7942.22</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68821.539999999994</v>
      </c>
      <c r="D25" s="242"/>
      <c r="E25" s="242"/>
      <c r="F25" s="254"/>
      <c r="G25" s="252"/>
      <c r="H25" s="252"/>
      <c r="I25" s="253">
        <f>'DOE25'!L261+'DOE25'!L262+'DOE25'!L342+'DOE25'!L343</f>
        <v>68821.539999999994</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179835.03000000003</v>
      </c>
      <c r="D29" s="282">
        <f>'DOE25'!L359+'DOE25'!L360+'DOE25'!L361-'DOE25'!I368-F29-G29-H29</f>
        <v>44188.030000000028</v>
      </c>
      <c r="E29" s="242"/>
      <c r="F29" s="243">
        <v>135647</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645087.84000000008</v>
      </c>
      <c r="D31" s="20">
        <f>'DOE25'!L291+'DOE25'!L310+'DOE25'!L329+'DOE25'!L334+'DOE25'!L335+'DOE25'!L336-F31-G31-H31</f>
        <v>565262.14</v>
      </c>
      <c r="E31" s="242"/>
      <c r="F31" s="243"/>
      <c r="G31" s="53">
        <f>'DOE25'!J291+'DOE25'!J310+'DOE25'!J329+'DOE25'!J334+'DOE25'!J335+'DOE25'!J336</f>
        <v>59274.680000000008</v>
      </c>
      <c r="H31" s="53">
        <f>'DOE25'!K291+'DOE25'!K310+'DOE25'!K329+'DOE25'!K334+'DOE25'!K335+'DOE25'!K336</f>
        <v>20551.02</v>
      </c>
      <c r="I31" s="255"/>
    </row>
    <row r="32" spans="1:9" ht="12" thickBot="1" x14ac:dyDescent="0.25">
      <c r="C32" s="275"/>
      <c r="G32" s="250"/>
      <c r="H32" s="250"/>
      <c r="I32" s="257"/>
    </row>
    <row r="33" spans="1:9" ht="12" thickTop="1" x14ac:dyDescent="0.2">
      <c r="B33" t="s">
        <v>809</v>
      </c>
      <c r="D33" s="244">
        <f t="shared" ref="D33:I33" si="1">SUM(D5:D31)</f>
        <v>6134971.5199999986</v>
      </c>
      <c r="E33" s="244">
        <f t="shared" si="1"/>
        <v>288532.68000000005</v>
      </c>
      <c r="F33" s="244">
        <f t="shared" si="1"/>
        <v>296575.73</v>
      </c>
      <c r="G33" s="244">
        <f t="shared" si="1"/>
        <v>81046.55</v>
      </c>
      <c r="H33" s="244">
        <f t="shared" si="1"/>
        <v>55369.819999999992</v>
      </c>
      <c r="I33" s="244">
        <f t="shared" si="1"/>
        <v>68821.539999999994</v>
      </c>
    </row>
    <row r="35" spans="1:9" ht="12" thickBot="1" x14ac:dyDescent="0.25">
      <c r="B35" s="250" t="s">
        <v>831</v>
      </c>
      <c r="D35" s="251">
        <f>E33</f>
        <v>288532.68000000005</v>
      </c>
      <c r="E35" s="247"/>
      <c r="F35" s="328" t="s">
        <v>1617</v>
      </c>
      <c r="G35" s="329"/>
      <c r="H35" s="329"/>
      <c r="I35" s="329"/>
    </row>
    <row r="36" spans="1:9" ht="12" thickTop="1" x14ac:dyDescent="0.2">
      <c r="B36" t="s">
        <v>810</v>
      </c>
      <c r="D36" s="20">
        <f>D33</f>
        <v>6134971.5199999986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M50" sqref="M5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Lisbon Regional</v>
      </c>
      <c r="B2" s="126">
        <f>'DOE25'!B2</f>
        <v>306</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2944727.57</v>
      </c>
      <c r="G4" s="299">
        <f>'DOE25'!L212+'DOE25'!L291</f>
        <v>2944727.57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Lisbon Regional School (Elem)</v>
      </c>
      <c r="B6" s="300">
        <f>IFERROR(VLOOKUP(A6,'School Tables'!$C$3:$D$365,2,FALSE),"")</f>
        <v>21420</v>
      </c>
      <c r="C6" s="293" t="str">
        <f>IFERROR(INDEX('School Tables'!$B$3:$B$365,MATCH('School Level Expenditures'!B6,'School Tables'!$D$3:$D$365,0)),"")</f>
        <v>Lisbon Regional</v>
      </c>
      <c r="D6" s="290">
        <v>2457296.7799999998</v>
      </c>
      <c r="E6" s="290">
        <v>487430.79</v>
      </c>
      <c r="F6" s="303">
        <f t="shared" ref="F6:F20" si="0">D6+E6</f>
        <v>2944727.57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2457296.7799999998</v>
      </c>
      <c r="E21" s="338">
        <f>SUM(E5:E20)</f>
        <v>487430.79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1419048.43</v>
      </c>
      <c r="G24" s="299">
        <f>'DOE25'!L230+'DOE25'!L310</f>
        <v>1419048.4300000002</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Lisbon Regional School (Middle)</v>
      </c>
      <c r="B26" s="300">
        <f>IFERROR(VLOOKUP(A26,'School Tables'!$N$4:$O$75,2,FALSE),"")</f>
        <v>23095</v>
      </c>
      <c r="C26" s="293" t="str">
        <f>IFERROR(INDEX('School Tables'!$M$4:$M$75,MATCH('School Level Expenditures'!A26,'School Tables'!$N$4:$N$75,0)),"")</f>
        <v>Lisbon Regional</v>
      </c>
      <c r="D26" s="290">
        <v>1372325.18</v>
      </c>
      <c r="E26" s="290">
        <v>46723.25</v>
      </c>
      <c r="F26" s="303">
        <f t="shared" ref="F26:F32" si="1">D26+E26</f>
        <v>1419048.43</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1372325.18</v>
      </c>
      <c r="E33" s="338">
        <f>SUM(E25:E32)</f>
        <v>46723.25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2308232.77</v>
      </c>
      <c r="G36" s="299">
        <f>'DOE25'!L248+'DOE25'!L329</f>
        <v>2308232.77</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Lisbon Regional School (High)</v>
      </c>
      <c r="B38" s="300">
        <f>IFERROR(VLOOKUP(A38,'School Tables'!$Y$4:$Z$100,2,FALSE),"")</f>
        <v>23100</v>
      </c>
      <c r="C38" s="293" t="str">
        <f>IFERROR(INDEX('School Tables'!$X$4:$X$100,MATCH('School Level Expenditures'!A38,'School Tables'!$Y$4:$Y$100,0)),"")</f>
        <v>Lisbon Regional</v>
      </c>
      <c r="D38" s="290">
        <v>2197298.9700000002</v>
      </c>
      <c r="E38" s="290">
        <v>110933.8</v>
      </c>
      <c r="F38" s="303">
        <f t="shared" si="2"/>
        <v>2308232.77</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2197298.9700000002</v>
      </c>
      <c r="E43" s="339">
        <f>SUM(E37:E42)</f>
        <v>110933.8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Lisbon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300906.39</v>
      </c>
      <c r="D8" s="95">
        <f>'DOE25'!G9</f>
        <v>0</v>
      </c>
      <c r="E8" s="95">
        <f>'DOE25'!H9</f>
        <v>0</v>
      </c>
      <c r="F8" s="95">
        <f>'DOE25'!I9</f>
        <v>0</v>
      </c>
      <c r="G8" s="95">
        <f>'DOE25'!J9</f>
        <v>511365.37</v>
      </c>
      <c r="H8" s="124">
        <f>SUM(C8:G8)</f>
        <v>812271.76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244278.88</v>
      </c>
      <c r="D11" s="95" t="str">
        <f>'DOE25'!G12</f>
        <v xml:space="preserve"> </v>
      </c>
      <c r="E11" s="95">
        <f>'DOE25'!H12</f>
        <v>0</v>
      </c>
      <c r="F11" s="95">
        <f>'DOE25'!I12</f>
        <v>0</v>
      </c>
      <c r="G11" s="95">
        <f>'DOE25'!J12</f>
        <v>0</v>
      </c>
      <c r="H11" s="124">
        <f t="shared" si="0"/>
        <v>244278.88</v>
      </c>
      <c r="I11" s="124"/>
    </row>
    <row r="12" spans="1:9" x14ac:dyDescent="0.2">
      <c r="A12" s="1" t="s">
        <v>143</v>
      </c>
      <c r="B12" s="6">
        <v>140</v>
      </c>
      <c r="C12" s="95">
        <f>'DOE25'!F13</f>
        <v>0</v>
      </c>
      <c r="D12" s="95">
        <f>'DOE25'!G13</f>
        <v>105218.68000000001</v>
      </c>
      <c r="E12" s="95">
        <f>'DOE25'!H13</f>
        <v>237681.72</v>
      </c>
      <c r="F12" s="95">
        <f>'DOE25'!I13</f>
        <v>0</v>
      </c>
      <c r="G12" s="95">
        <f>'DOE25'!J13</f>
        <v>0</v>
      </c>
      <c r="H12" s="124">
        <f t="shared" si="0"/>
        <v>342900.4</v>
      </c>
      <c r="I12" s="124"/>
    </row>
    <row r="13" spans="1:9" x14ac:dyDescent="0.2">
      <c r="A13" s="1" t="s">
        <v>144</v>
      </c>
      <c r="B13" s="6">
        <v>150</v>
      </c>
      <c r="C13" s="95">
        <f>'DOE25'!F14</f>
        <v>0</v>
      </c>
      <c r="D13" s="95">
        <f>'DOE25'!G14</f>
        <v>4.9000000000000004</v>
      </c>
      <c r="E13" s="95">
        <f>'DOE25'!H14</f>
        <v>0</v>
      </c>
      <c r="F13" s="95">
        <f>'DOE25'!I14</f>
        <v>0</v>
      </c>
      <c r="G13" s="95">
        <f>'DOE25'!J14</f>
        <v>0</v>
      </c>
      <c r="H13" s="124">
        <f t="shared" si="0"/>
        <v>4.9000000000000004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545185.27</v>
      </c>
      <c r="D18" s="41">
        <f>SUM(D8:D17)</f>
        <v>105223.58</v>
      </c>
      <c r="E18" s="41">
        <f>SUM(E8:E17)</f>
        <v>237681.72</v>
      </c>
      <c r="F18" s="41">
        <f>SUM(F8:F17)</f>
        <v>0</v>
      </c>
      <c r="G18" s="41">
        <f>SUM(G8:G17)</f>
        <v>511365.37</v>
      </c>
      <c r="H18" s="41">
        <f t="shared" si="0"/>
        <v>1399455.94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24693.23</v>
      </c>
      <c r="E21" s="95">
        <f>'DOE25'!H22</f>
        <v>219585.65</v>
      </c>
      <c r="F21" s="95">
        <f>'DOE25'!I22</f>
        <v>0</v>
      </c>
      <c r="G21" s="95">
        <f>'DOE25'!J22</f>
        <v>0</v>
      </c>
      <c r="H21" s="124">
        <f t="shared" ref="H21:H31" si="1">SUM(C21:G21)</f>
        <v>244278.88</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19628.349999999999</v>
      </c>
      <c r="D23" s="95">
        <f>'DOE25'!G24</f>
        <v>10847.8</v>
      </c>
      <c r="E23" s="95">
        <f>'DOE25'!H24</f>
        <v>18096.07</v>
      </c>
      <c r="F23" s="95">
        <f>'DOE25'!I24</f>
        <v>0</v>
      </c>
      <c r="G23" s="95">
        <f>'DOE25'!J24</f>
        <v>0</v>
      </c>
      <c r="H23" s="124">
        <f t="shared" si="1"/>
        <v>48572.22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146524.04</v>
      </c>
      <c r="D29" s="95">
        <f>'DOE25'!G30</f>
        <v>9059.4599999999991</v>
      </c>
      <c r="E29" s="95">
        <f>'DOE25'!H30</f>
        <v>0</v>
      </c>
      <c r="F29" s="95">
        <f>'DOE25'!I30</f>
        <v>0</v>
      </c>
      <c r="G29" s="24" t="s">
        <v>288</v>
      </c>
      <c r="H29" s="124">
        <f t="shared" si="1"/>
        <v>155583.5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166152.39000000001</v>
      </c>
      <c r="D31" s="41">
        <f>SUM(D21:D30)</f>
        <v>44600.49</v>
      </c>
      <c r="E31" s="41">
        <f>SUM(E21:E30)</f>
        <v>237681.72</v>
      </c>
      <c r="F31" s="41">
        <f>SUM(F21:F30)</f>
        <v>0</v>
      </c>
      <c r="G31" s="41">
        <f>SUM(G21:G30)</f>
        <v>0</v>
      </c>
      <c r="H31" s="41">
        <f t="shared" si="1"/>
        <v>448434.6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60623.09</v>
      </c>
      <c r="E39" s="24" t="s">
        <v>288</v>
      </c>
      <c r="F39" s="24" t="s">
        <v>288</v>
      </c>
      <c r="G39" s="24" t="s">
        <v>288</v>
      </c>
      <c r="H39" s="124">
        <f t="shared" si="2"/>
        <v>60623.09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511365.37</v>
      </c>
      <c r="H42" s="124">
        <f t="shared" si="2"/>
        <v>511365.37</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80733</v>
      </c>
      <c r="D45" s="24" t="s">
        <v>288</v>
      </c>
      <c r="E45" s="24" t="s">
        <v>288</v>
      </c>
      <c r="F45" s="24" t="s">
        <v>288</v>
      </c>
      <c r="G45" s="24" t="s">
        <v>288</v>
      </c>
      <c r="H45" s="124">
        <f t="shared" si="2"/>
        <v>80733</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298299.88</v>
      </c>
      <c r="D49" s="24" t="s">
        <v>288</v>
      </c>
      <c r="E49" s="24" t="s">
        <v>288</v>
      </c>
      <c r="F49" s="24" t="s">
        <v>288</v>
      </c>
      <c r="G49" s="24" t="s">
        <v>288</v>
      </c>
      <c r="H49" s="124">
        <f t="shared" si="2"/>
        <v>298299.88</v>
      </c>
      <c r="I49" s="124"/>
    </row>
    <row r="50" spans="1:9" ht="12.75" thickTop="1" thickBot="1" x14ac:dyDescent="0.25">
      <c r="A50" s="38" t="s">
        <v>884</v>
      </c>
      <c r="B50" s="48"/>
      <c r="C50" s="41">
        <f>SUM(C34:C49)</f>
        <v>379032.88</v>
      </c>
      <c r="D50" s="41">
        <f>SUM(D34:D49)</f>
        <v>60623.09</v>
      </c>
      <c r="E50" s="41">
        <f>SUM(E34:E49)</f>
        <v>0</v>
      </c>
      <c r="F50" s="41">
        <f>SUM(F34:F49)</f>
        <v>0</v>
      </c>
      <c r="G50" s="41">
        <f>SUM(G34:G49)</f>
        <v>511365.37</v>
      </c>
      <c r="H50" s="41">
        <f t="shared" si="2"/>
        <v>951021.34</v>
      </c>
      <c r="I50" s="124"/>
    </row>
    <row r="51" spans="1:9" ht="12" thickTop="1" x14ac:dyDescent="0.2">
      <c r="A51" s="38" t="s">
        <v>885</v>
      </c>
      <c r="B51" s="2"/>
      <c r="C51" s="41">
        <f>C50+C31</f>
        <v>545185.27</v>
      </c>
      <c r="D51" s="41">
        <f>D50+D31</f>
        <v>105223.57999999999</v>
      </c>
      <c r="E51" s="41">
        <f>E50+E31</f>
        <v>237681.72</v>
      </c>
      <c r="F51" s="41">
        <f>F50+F31</f>
        <v>0</v>
      </c>
      <c r="G51" s="41">
        <f>G50+G31</f>
        <v>511365.37</v>
      </c>
      <c r="H51" s="41">
        <f t="shared" si="2"/>
        <v>1399455.94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2880687</v>
      </c>
      <c r="D56" s="95">
        <f>'DOE25'!G60</f>
        <v>0</v>
      </c>
      <c r="E56" s="95">
        <f>'DOE25'!H60</f>
        <v>0</v>
      </c>
      <c r="F56" s="95">
        <f>'DOE25'!I60</f>
        <v>0</v>
      </c>
      <c r="G56" s="95">
        <f>'DOE25'!J60</f>
        <v>0</v>
      </c>
      <c r="H56" s="124">
        <f t="shared" ref="H56:H63" si="3">SUM(C56:G56)</f>
        <v>2880687</v>
      </c>
      <c r="I56"/>
    </row>
    <row r="57" spans="1:9" x14ac:dyDescent="0.2">
      <c r="A57" s="1" t="s">
        <v>164</v>
      </c>
      <c r="B57" s="6" t="s">
        <v>165</v>
      </c>
      <c r="C57" s="95">
        <f>'DOE25'!F79</f>
        <v>536780.93999999994</v>
      </c>
      <c r="D57" s="24" t="s">
        <v>288</v>
      </c>
      <c r="E57" s="95">
        <f>'DOE25'!H79</f>
        <v>0</v>
      </c>
      <c r="F57" s="24" t="s">
        <v>288</v>
      </c>
      <c r="G57" s="24" t="s">
        <v>288</v>
      </c>
      <c r="H57" s="124">
        <f t="shared" si="3"/>
        <v>536780.93999999994</v>
      </c>
      <c r="I57"/>
    </row>
    <row r="58" spans="1:9" x14ac:dyDescent="0.2">
      <c r="A58" s="1" t="s">
        <v>166</v>
      </c>
      <c r="B58" s="6" t="s">
        <v>167</v>
      </c>
      <c r="C58" s="95">
        <f>'DOE25'!F94</f>
        <v>480</v>
      </c>
      <c r="D58" s="24" t="s">
        <v>288</v>
      </c>
      <c r="E58" s="95">
        <f>'DOE25'!H94</f>
        <v>0</v>
      </c>
      <c r="F58" s="24" t="s">
        <v>288</v>
      </c>
      <c r="G58" s="24" t="s">
        <v>288</v>
      </c>
      <c r="H58" s="124">
        <f t="shared" si="3"/>
        <v>480</v>
      </c>
      <c r="I58"/>
    </row>
    <row r="59" spans="1:9" x14ac:dyDescent="0.2">
      <c r="A59" s="69" t="s">
        <v>168</v>
      </c>
      <c r="B59" s="37" t="s">
        <v>169</v>
      </c>
      <c r="C59" s="95">
        <f>'DOE25'!F96</f>
        <v>1673.26</v>
      </c>
      <c r="D59" s="95">
        <f>'DOE25'!G96</f>
        <v>0</v>
      </c>
      <c r="E59" s="95">
        <f>'DOE25'!H96</f>
        <v>0</v>
      </c>
      <c r="F59" s="95">
        <f>'DOE25'!I96</f>
        <v>0</v>
      </c>
      <c r="G59" s="95">
        <f>'DOE25'!J96</f>
        <v>554.04</v>
      </c>
      <c r="H59" s="124">
        <f t="shared" si="3"/>
        <v>2227.3000000000002</v>
      </c>
      <c r="I59"/>
    </row>
    <row r="60" spans="1:9" x14ac:dyDescent="0.2">
      <c r="A60" s="1" t="s">
        <v>170</v>
      </c>
      <c r="B60" s="118" t="s">
        <v>171</v>
      </c>
      <c r="C60" s="24" t="s">
        <v>288</v>
      </c>
      <c r="D60" s="95">
        <f>'DOE25'!G97</f>
        <v>7524.76</v>
      </c>
      <c r="E60" s="24" t="s">
        <v>288</v>
      </c>
      <c r="F60" s="24" t="s">
        <v>288</v>
      </c>
      <c r="G60" s="24" t="s">
        <v>288</v>
      </c>
      <c r="H60" s="124">
        <f t="shared" si="3"/>
        <v>7524.76</v>
      </c>
      <c r="I60"/>
    </row>
    <row r="61" spans="1:9" ht="12" thickBot="1" x14ac:dyDescent="0.25">
      <c r="A61" s="1" t="s">
        <v>172</v>
      </c>
      <c r="B61" s="118" t="s">
        <v>173</v>
      </c>
      <c r="C61" s="95">
        <f>SUM('DOE25'!F98:F110)</f>
        <v>69029.709999999992</v>
      </c>
      <c r="D61" s="95">
        <f>SUM('DOE25'!G98:G110)</f>
        <v>0</v>
      </c>
      <c r="E61" s="95">
        <f>SUM('DOE25'!H98:H110)</f>
        <v>0</v>
      </c>
      <c r="F61" s="95">
        <f>SUM('DOE25'!I98:I110)</f>
        <v>0</v>
      </c>
      <c r="G61" s="95">
        <f>SUM('DOE25'!J98:J110)</f>
        <v>0</v>
      </c>
      <c r="H61" s="124">
        <f t="shared" si="3"/>
        <v>69029.709999999992</v>
      </c>
      <c r="I61"/>
    </row>
    <row r="62" spans="1:9" ht="12.75" thickTop="1" thickBot="1" x14ac:dyDescent="0.25">
      <c r="A62" s="29" t="s">
        <v>174</v>
      </c>
      <c r="B62" s="6"/>
      <c r="C62" s="130">
        <f>SUM(C57:C61)</f>
        <v>607963.90999999992</v>
      </c>
      <c r="D62" s="130">
        <f>SUM(D57:D61)</f>
        <v>7524.76</v>
      </c>
      <c r="E62" s="130">
        <f>SUM(E57:E61)</f>
        <v>0</v>
      </c>
      <c r="F62" s="130">
        <f>SUM(F57:F61)</f>
        <v>0</v>
      </c>
      <c r="G62" s="130">
        <f>SUM(G57:G61)</f>
        <v>554.04</v>
      </c>
      <c r="H62" s="124">
        <f t="shared" si="3"/>
        <v>616042.71</v>
      </c>
      <c r="I62"/>
    </row>
    <row r="63" spans="1:9" ht="12" thickTop="1" x14ac:dyDescent="0.2">
      <c r="A63" s="29" t="s">
        <v>175</v>
      </c>
      <c r="B63" s="6"/>
      <c r="C63" s="22">
        <f>C56+C62</f>
        <v>3488650.91</v>
      </c>
      <c r="D63" s="22">
        <f>D56+D62</f>
        <v>7524.76</v>
      </c>
      <c r="E63" s="22">
        <f>E56+E62</f>
        <v>0</v>
      </c>
      <c r="F63" s="22">
        <f>F56+F62</f>
        <v>0</v>
      </c>
      <c r="G63" s="22">
        <f>G56+G62</f>
        <v>554.04</v>
      </c>
      <c r="H63" s="124">
        <f t="shared" si="3"/>
        <v>3496729.71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2320244.77</v>
      </c>
      <c r="D66" s="24" t="s">
        <v>288</v>
      </c>
      <c r="E66" s="24" t="s">
        <v>288</v>
      </c>
      <c r="F66" s="24" t="s">
        <v>288</v>
      </c>
      <c r="G66" s="24" t="s">
        <v>288</v>
      </c>
      <c r="H66" s="124">
        <f t="shared" ref="H66:H81" si="4">SUM(C66:G66)</f>
        <v>2320244.77</v>
      </c>
      <c r="I66"/>
    </row>
    <row r="67" spans="1:9" x14ac:dyDescent="0.2">
      <c r="A67" s="1" t="s">
        <v>770</v>
      </c>
      <c r="B67" s="6">
        <v>3112</v>
      </c>
      <c r="C67" s="95">
        <f>'DOE25'!F118</f>
        <v>348651</v>
      </c>
      <c r="D67" s="24"/>
      <c r="E67" s="24"/>
      <c r="F67" s="24"/>
      <c r="G67" s="24"/>
      <c r="H67" s="124">
        <f t="shared" si="4"/>
        <v>348651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1308.06</v>
      </c>
      <c r="D69" s="95">
        <f>'DOE25'!G120</f>
        <v>0</v>
      </c>
      <c r="E69" s="95">
        <f>'DOE25'!H120</f>
        <v>0</v>
      </c>
      <c r="F69" s="95">
        <f>'DOE25'!I120</f>
        <v>0</v>
      </c>
      <c r="G69" s="95">
        <f>'DOE25'!J120</f>
        <v>0</v>
      </c>
      <c r="H69" s="124">
        <f t="shared" si="4"/>
        <v>1308.06</v>
      </c>
      <c r="I69"/>
    </row>
    <row r="70" spans="1:9" ht="12" thickTop="1" x14ac:dyDescent="0.2">
      <c r="A70" s="29" t="s">
        <v>252</v>
      </c>
      <c r="B70" s="2"/>
      <c r="C70" s="139">
        <f>SUM(C66:C69)</f>
        <v>2670203.83</v>
      </c>
      <c r="D70" s="139">
        <f>D69</f>
        <v>0</v>
      </c>
      <c r="E70" s="139">
        <f>E69</f>
        <v>0</v>
      </c>
      <c r="F70" s="139">
        <f>F69</f>
        <v>0</v>
      </c>
      <c r="G70" s="139">
        <f>G69</f>
        <v>0</v>
      </c>
      <c r="H70" s="124">
        <f t="shared" si="4"/>
        <v>2670203.83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t="str">
        <f>'DOE25'!F126</f>
        <v xml:space="preserve"> </v>
      </c>
      <c r="D75" s="24" t="s">
        <v>288</v>
      </c>
      <c r="E75" s="24" t="s">
        <v>288</v>
      </c>
      <c r="F75" s="24" t="s">
        <v>288</v>
      </c>
      <c r="G75" s="24" t="s">
        <v>288</v>
      </c>
      <c r="H75" s="124">
        <f t="shared" si="4"/>
        <v>0</v>
      </c>
      <c r="I75"/>
    </row>
    <row r="76" spans="1:9" x14ac:dyDescent="0.2">
      <c r="A76" s="1" t="s">
        <v>257</v>
      </c>
      <c r="B76" s="6" t="s">
        <v>179</v>
      </c>
      <c r="C76" s="95">
        <f>SUM('DOE25'!F127:F130)</f>
        <v>12936</v>
      </c>
      <c r="D76" s="24" t="s">
        <v>288</v>
      </c>
      <c r="E76" s="95">
        <f>SUM('DOE25'!H127:H130)</f>
        <v>0</v>
      </c>
      <c r="F76" s="95">
        <f>SUM('DOE25'!I127:I130)</f>
        <v>0</v>
      </c>
      <c r="G76" s="24" t="s">
        <v>288</v>
      </c>
      <c r="H76" s="124">
        <f t="shared" si="4"/>
        <v>12936</v>
      </c>
      <c r="I76"/>
    </row>
    <row r="77" spans="1:9" ht="12" thickBot="1" x14ac:dyDescent="0.25">
      <c r="A77" s="1" t="s">
        <v>258</v>
      </c>
      <c r="B77" s="6" t="s">
        <v>180</v>
      </c>
      <c r="C77" s="95">
        <f>SUM('DOE25'!F131:F135)</f>
        <v>12005</v>
      </c>
      <c r="D77" s="95">
        <f>SUM('DOE25'!G131:G135)</f>
        <v>2911.92</v>
      </c>
      <c r="E77" s="95">
        <f>SUM('DOE25'!H131:H135)</f>
        <v>0</v>
      </c>
      <c r="F77" s="95">
        <f>SUM('DOE25'!I131:I135)</f>
        <v>0</v>
      </c>
      <c r="G77" s="95">
        <f>SUM('DOE25'!J131:J135)</f>
        <v>0</v>
      </c>
      <c r="H77" s="124">
        <f t="shared" si="4"/>
        <v>14916.92</v>
      </c>
      <c r="I77"/>
    </row>
    <row r="78" spans="1:9" ht="12.75" thickTop="1" thickBot="1" x14ac:dyDescent="0.25">
      <c r="A78" s="29" t="s">
        <v>259</v>
      </c>
      <c r="B78" s="6"/>
      <c r="C78" s="130">
        <f>SUM(C72:C77)</f>
        <v>24941</v>
      </c>
      <c r="D78" s="130">
        <f>SUM(D72:D77)</f>
        <v>2911.92</v>
      </c>
      <c r="E78" s="130">
        <f>SUM(E72:E77)</f>
        <v>0</v>
      </c>
      <c r="F78" s="130">
        <f>SUM(F72:F77)</f>
        <v>0</v>
      </c>
      <c r="G78" s="130">
        <f>SUM(G72:G77)</f>
        <v>0</v>
      </c>
      <c r="H78" s="124">
        <f t="shared" si="4"/>
        <v>27852.92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2695144.83</v>
      </c>
      <c r="D81" s="130">
        <f>SUM(D79:D80)+D78+D70</f>
        <v>2911.92</v>
      </c>
      <c r="E81" s="130">
        <f>SUM(E79:E80)+E78+E70</f>
        <v>0</v>
      </c>
      <c r="F81" s="130">
        <f>SUM(F79:F80)+F78+F70</f>
        <v>0</v>
      </c>
      <c r="G81" s="130">
        <f>SUM(G79:G80)+G78+G70</f>
        <v>0</v>
      </c>
      <c r="H81" s="130">
        <f t="shared" si="4"/>
        <v>2698056.75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15118.25</v>
      </c>
      <c r="D88" s="326">
        <f>SUM('DOE25'!G153:G162)</f>
        <v>221633.31</v>
      </c>
      <c r="E88" s="326">
        <f>SUM('DOE25'!H153:H162)</f>
        <v>645087.84000000008</v>
      </c>
      <c r="F88" s="326">
        <f>SUM('DOE25'!I153:I162)</f>
        <v>0</v>
      </c>
      <c r="G88" s="24" t="s">
        <v>288</v>
      </c>
      <c r="H88" s="124">
        <f t="shared" si="5"/>
        <v>881839.40000000014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696.98</v>
      </c>
      <c r="D90" s="24" t="s">
        <v>288</v>
      </c>
      <c r="E90" s="24" t="s">
        <v>288</v>
      </c>
      <c r="F90" s="24" t="s">
        <v>288</v>
      </c>
      <c r="G90" s="24" t="s">
        <v>288</v>
      </c>
      <c r="H90" s="124">
        <f t="shared" si="5"/>
        <v>696.98</v>
      </c>
    </row>
    <row r="91" spans="1:9" ht="12.75" thickTop="1" thickBot="1" x14ac:dyDescent="0.25">
      <c r="A91" s="33" t="s">
        <v>750</v>
      </c>
      <c r="C91" s="131">
        <f>SUM(C85:C90)</f>
        <v>15815.23</v>
      </c>
      <c r="D91" s="131">
        <f>SUM(D85:D90)</f>
        <v>221633.31</v>
      </c>
      <c r="E91" s="131">
        <f>SUM(E85:E90)</f>
        <v>645087.84000000008</v>
      </c>
      <c r="F91" s="131">
        <f>SUM(F85:F90)</f>
        <v>0</v>
      </c>
      <c r="G91" s="24" t="s">
        <v>288</v>
      </c>
      <c r="H91" s="124">
        <f t="shared" si="5"/>
        <v>882536.38000000012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6199610.9700000007</v>
      </c>
      <c r="D104" s="86">
        <f>D63+D81+D91+D103</f>
        <v>232069.99</v>
      </c>
      <c r="E104" s="86">
        <f>E63+E81+E91+E103</f>
        <v>645087.84000000008</v>
      </c>
      <c r="F104" s="86">
        <f>F63+F81+F91+F103</f>
        <v>0</v>
      </c>
      <c r="G104" s="86">
        <f>G63+G81+G103</f>
        <v>554.04</v>
      </c>
      <c r="H104" s="86">
        <f t="shared" si="5"/>
        <v>7077322.8400000008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2575338.54</v>
      </c>
      <c r="D109" s="24" t="s">
        <v>288</v>
      </c>
      <c r="E109" s="95">
        <f>('DOE25'!L277)+('DOE25'!L296)+('DOE25'!L315)</f>
        <v>338154.61</v>
      </c>
      <c r="F109" s="24" t="s">
        <v>288</v>
      </c>
      <c r="G109" s="24" t="s">
        <v>288</v>
      </c>
      <c r="H109" s="124">
        <f t="shared" ref="H109:H115" si="6">SUM(C109:G109)</f>
        <v>2913493.15</v>
      </c>
    </row>
    <row r="110" spans="1:8" x14ac:dyDescent="0.2">
      <c r="A110" t="s">
        <v>198</v>
      </c>
      <c r="B110" s="32" t="s">
        <v>199</v>
      </c>
      <c r="C110" s="95">
        <f>('DOE25'!L199)+('DOE25'!L217)+('DOE25'!L235)</f>
        <v>1012914.03</v>
      </c>
      <c r="D110" s="24" t="s">
        <v>288</v>
      </c>
      <c r="E110" s="95">
        <f>('DOE25'!L278)+('DOE25'!L297)+('DOE25'!L316)</f>
        <v>179384.25999999998</v>
      </c>
      <c r="F110" s="24" t="s">
        <v>288</v>
      </c>
      <c r="G110" s="24" t="s">
        <v>288</v>
      </c>
      <c r="H110" s="124">
        <f t="shared" si="6"/>
        <v>1192298.29</v>
      </c>
    </row>
    <row r="111" spans="1:8" x14ac:dyDescent="0.2">
      <c r="A111" t="s">
        <v>200</v>
      </c>
      <c r="B111" s="32" t="s">
        <v>165</v>
      </c>
      <c r="C111" s="95">
        <f>('DOE25'!L200)+('DOE25'!L218)+('DOE25'!L236)</f>
        <v>262567.49</v>
      </c>
      <c r="D111" s="24" t="s">
        <v>288</v>
      </c>
      <c r="E111" s="95">
        <f>('DOE25'!L279)+('DOE25'!L298)+('DOE25'!L317)</f>
        <v>0</v>
      </c>
      <c r="F111" s="24" t="s">
        <v>288</v>
      </c>
      <c r="G111" s="24" t="s">
        <v>288</v>
      </c>
      <c r="H111" s="124">
        <f t="shared" si="6"/>
        <v>262567.49</v>
      </c>
    </row>
    <row r="112" spans="1:8" x14ac:dyDescent="0.2">
      <c r="A112" t="s">
        <v>201</v>
      </c>
      <c r="B112" s="32" t="s">
        <v>167</v>
      </c>
      <c r="C112" s="95">
        <f>('DOE25'!L201)+('DOE25'!L219)+('DOE25'!L237)</f>
        <v>97102.07</v>
      </c>
      <c r="D112" s="24" t="s">
        <v>288</v>
      </c>
      <c r="E112" s="95">
        <f>+('DOE25'!L280)+('DOE25'!L299)+('DOE25'!L318)</f>
        <v>10280.950000000001</v>
      </c>
      <c r="F112" s="24" t="s">
        <v>288</v>
      </c>
      <c r="G112" s="24" t="s">
        <v>288</v>
      </c>
      <c r="H112" s="124">
        <f t="shared" si="6"/>
        <v>107383.02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3947922.1300000004</v>
      </c>
      <c r="D115" s="86">
        <f>SUM(D109:D114)</f>
        <v>0</v>
      </c>
      <c r="E115" s="86">
        <f>SUM(E109:E114)</f>
        <v>527819.81999999995</v>
      </c>
      <c r="F115" s="86">
        <f>SUM(F109:F114)</f>
        <v>0</v>
      </c>
      <c r="G115" s="86">
        <f>SUM(G109:G114)</f>
        <v>0</v>
      </c>
      <c r="H115" s="86">
        <f t="shared" si="6"/>
        <v>4475741.95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451258.41999999993</v>
      </c>
      <c r="D118" s="24" t="s">
        <v>288</v>
      </c>
      <c r="E118" s="95">
        <f>+('DOE25'!L282)+('DOE25'!L301)+('DOE25'!L320)</f>
        <v>30119.059999999998</v>
      </c>
      <c r="F118" s="24" t="s">
        <v>288</v>
      </c>
      <c r="G118" s="24" t="s">
        <v>288</v>
      </c>
      <c r="H118" s="124">
        <f t="shared" ref="H118:H145" si="7">SUM(C118:G118)</f>
        <v>481377.47999999992</v>
      </c>
    </row>
    <row r="119" spans="1:8" x14ac:dyDescent="0.2">
      <c r="A119" t="s">
        <v>208</v>
      </c>
      <c r="B119" s="32" t="s">
        <v>209</v>
      </c>
      <c r="C119" s="95">
        <f>('DOE25'!L204)+('DOE25'!L222)+('DOE25'!L240)</f>
        <v>118546.80000000002</v>
      </c>
      <c r="D119" s="24" t="s">
        <v>288</v>
      </c>
      <c r="E119" s="95">
        <f>+('DOE25'!L283)+('DOE25'!L302)+('DOE25'!L321)</f>
        <v>10581.08</v>
      </c>
      <c r="F119" s="24" t="s">
        <v>288</v>
      </c>
      <c r="G119" s="24" t="s">
        <v>288</v>
      </c>
      <c r="H119" s="124">
        <f t="shared" si="7"/>
        <v>129127.88000000002</v>
      </c>
    </row>
    <row r="120" spans="1:8" x14ac:dyDescent="0.2">
      <c r="A120" t="s">
        <v>210</v>
      </c>
      <c r="B120" s="32" t="s">
        <v>211</v>
      </c>
      <c r="C120" s="95">
        <f>('DOE25'!L205)+('DOE25'!L223)+('DOE25'!L241)</f>
        <v>317057.51</v>
      </c>
      <c r="D120" s="24" t="s">
        <v>288</v>
      </c>
      <c r="E120" s="95">
        <f>+('DOE25'!L284)+('DOE25'!L303)+('DOE25'!L322)</f>
        <v>19867.580000000002</v>
      </c>
      <c r="F120" s="24" t="s">
        <v>288</v>
      </c>
      <c r="G120" s="24" t="s">
        <v>288</v>
      </c>
      <c r="H120" s="124">
        <f t="shared" si="7"/>
        <v>336925.09</v>
      </c>
    </row>
    <row r="121" spans="1:8" x14ac:dyDescent="0.2">
      <c r="A121" t="s">
        <v>212</v>
      </c>
      <c r="B121" s="32" t="s">
        <v>213</v>
      </c>
      <c r="C121" s="95">
        <f>('DOE25'!L206)+('DOE25'!L224)+('DOE25'!L242)</f>
        <v>332466.25</v>
      </c>
      <c r="D121" s="24" t="s">
        <v>288</v>
      </c>
      <c r="E121" s="95">
        <f>+('DOE25'!L285)+('DOE25'!L304)+('DOE25'!L323)</f>
        <v>67.2</v>
      </c>
      <c r="F121" s="24" t="s">
        <v>288</v>
      </c>
      <c r="G121" s="24" t="s">
        <v>288</v>
      </c>
      <c r="H121" s="124">
        <f t="shared" si="7"/>
        <v>332533.45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546364.78999999992</v>
      </c>
      <c r="D123" s="24" t="s">
        <v>288</v>
      </c>
      <c r="E123" s="95">
        <f>+('DOE25'!L287)+('DOE25'!L306)+('DOE25'!L325)</f>
        <v>18155.830000000002</v>
      </c>
      <c r="F123" s="24" t="s">
        <v>288</v>
      </c>
      <c r="G123" s="24" t="s">
        <v>288</v>
      </c>
      <c r="H123" s="124">
        <f t="shared" si="7"/>
        <v>564520.61999999988</v>
      </c>
    </row>
    <row r="124" spans="1:8" x14ac:dyDescent="0.2">
      <c r="A124" t="s">
        <v>218</v>
      </c>
      <c r="B124" s="32" t="s">
        <v>219</v>
      </c>
      <c r="C124" s="95">
        <f>('DOE25'!L209)+('DOE25'!L227)+('DOE25'!L245+'DOE25'!L255)</f>
        <v>201715.15999999997</v>
      </c>
      <c r="D124" s="24" t="s">
        <v>288</v>
      </c>
      <c r="E124" s="95">
        <f>+('DOE25'!L288)+('DOE25'!L307)+('DOE25'!L326)</f>
        <v>0</v>
      </c>
      <c r="F124" s="24" t="s">
        <v>288</v>
      </c>
      <c r="G124" s="24" t="s">
        <v>288</v>
      </c>
      <c r="H124" s="124">
        <f t="shared" si="7"/>
        <v>201715.15999999997</v>
      </c>
    </row>
    <row r="125" spans="1:8" x14ac:dyDescent="0.2">
      <c r="A125" t="s">
        <v>220</v>
      </c>
      <c r="B125" s="32" t="s">
        <v>221</v>
      </c>
      <c r="C125" s="95">
        <f>('DOE25'!L210)+('DOE25'!L228)+('DOE25'!L246)</f>
        <v>111589.87</v>
      </c>
      <c r="D125" s="24" t="s">
        <v>288</v>
      </c>
      <c r="E125" s="95">
        <f>+('DOE25'!L289)+('DOE25'!L308)+('DOE25'!L327)</f>
        <v>38477.270000000004</v>
      </c>
      <c r="F125" s="24" t="s">
        <v>288</v>
      </c>
      <c r="G125" s="24" t="s">
        <v>288</v>
      </c>
      <c r="H125" s="124">
        <f t="shared" si="7"/>
        <v>150067.14000000001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186288.36000000002</v>
      </c>
      <c r="E127" s="24" t="s">
        <v>288</v>
      </c>
      <c r="F127" s="24" t="s">
        <v>288</v>
      </c>
      <c r="G127" s="24" t="s">
        <v>288</v>
      </c>
      <c r="H127" s="124">
        <f t="shared" si="7"/>
        <v>186288.36000000002</v>
      </c>
    </row>
    <row r="128" spans="1:8" ht="12.75" thickTop="1" thickBot="1" x14ac:dyDescent="0.25">
      <c r="A128" s="33" t="s">
        <v>226</v>
      </c>
      <c r="C128" s="86">
        <f>SUM(C118:C127)</f>
        <v>2078998.7999999998</v>
      </c>
      <c r="D128" s="86">
        <f>SUM(D118:D127)</f>
        <v>186288.36000000002</v>
      </c>
      <c r="E128" s="86">
        <f>SUM(E118:E127)</f>
        <v>117268.02</v>
      </c>
      <c r="F128" s="86">
        <f>SUM(F118:F127)</f>
        <v>0</v>
      </c>
      <c r="G128" s="86">
        <f>SUM(G118:G127)</f>
        <v>0</v>
      </c>
      <c r="H128" s="86">
        <f t="shared" si="7"/>
        <v>2382555.1799999997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53762.21</v>
      </c>
      <c r="D131" s="24" t="s">
        <v>288</v>
      </c>
      <c r="E131" s="129">
        <f>'DOE25'!L342</f>
        <v>0</v>
      </c>
      <c r="F131" s="24" t="s">
        <v>288</v>
      </c>
      <c r="G131" s="24" t="s">
        <v>288</v>
      </c>
      <c r="H131" s="124">
        <f t="shared" si="7"/>
        <v>53762.21</v>
      </c>
    </row>
    <row r="132" spans="1:8" x14ac:dyDescent="0.2">
      <c r="A132" t="s">
        <v>230</v>
      </c>
      <c r="B132" s="32">
        <v>5120</v>
      </c>
      <c r="C132" s="95">
        <f>'DOE25'!L262</f>
        <v>15059.33</v>
      </c>
      <c r="D132" s="24" t="s">
        <v>288</v>
      </c>
      <c r="E132" s="129">
        <f>'DOE25'!L343</f>
        <v>0</v>
      </c>
      <c r="F132" s="24" t="s">
        <v>288</v>
      </c>
      <c r="G132" s="24" t="s">
        <v>288</v>
      </c>
      <c r="H132" s="124">
        <f t="shared" si="7"/>
        <v>15059.33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554.04</v>
      </c>
      <c r="D139" s="24" t="s">
        <v>288</v>
      </c>
      <c r="E139" s="24" t="s">
        <v>288</v>
      </c>
      <c r="F139" s="24" t="s">
        <v>288</v>
      </c>
      <c r="G139" s="24" t="s">
        <v>288</v>
      </c>
      <c r="H139" s="124">
        <f t="shared" si="7"/>
        <v>554.04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-554.04</v>
      </c>
      <c r="D141" s="24" t="s">
        <v>288</v>
      </c>
      <c r="E141" s="24" t="s">
        <v>288</v>
      </c>
      <c r="F141" s="24" t="s">
        <v>288</v>
      </c>
      <c r="G141" s="24" t="s">
        <v>288</v>
      </c>
      <c r="H141" s="124">
        <f t="shared" si="7"/>
        <v>-554.04</v>
      </c>
    </row>
    <row r="142" spans="1:8" x14ac:dyDescent="0.2">
      <c r="A142" t="s">
        <v>241</v>
      </c>
      <c r="B142" s="32">
        <v>5310</v>
      </c>
      <c r="C142" s="129">
        <f>'DOE25'!L269</f>
        <v>12500</v>
      </c>
      <c r="D142" s="24" t="s">
        <v>288</v>
      </c>
      <c r="E142" s="129">
        <f>'DOE25'!L350</f>
        <v>0</v>
      </c>
      <c r="F142" s="24" t="s">
        <v>288</v>
      </c>
      <c r="G142" s="24" t="s">
        <v>288</v>
      </c>
      <c r="H142" s="124">
        <f t="shared" si="7"/>
        <v>12500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81321.539999999994</v>
      </c>
      <c r="D144" s="141">
        <f>SUM(D130:D143)</f>
        <v>0</v>
      </c>
      <c r="E144" s="141">
        <f>SUM(E130:E143)</f>
        <v>0</v>
      </c>
      <c r="F144" s="141">
        <f>SUM(F130:F143)</f>
        <v>0</v>
      </c>
      <c r="G144" s="141">
        <f>SUM(G130:G143)</f>
        <v>0</v>
      </c>
      <c r="H144" s="141">
        <f t="shared" si="7"/>
        <v>81321.539999999994</v>
      </c>
    </row>
    <row r="145" spans="1:9" ht="12.75" thickTop="1" thickBot="1" x14ac:dyDescent="0.25">
      <c r="A145" s="33" t="s">
        <v>244</v>
      </c>
      <c r="C145" s="86">
        <f>(C115+C128+C144)</f>
        <v>6108242.4699999997</v>
      </c>
      <c r="D145" s="86">
        <f>(D115+D128+D144)</f>
        <v>186288.36000000002</v>
      </c>
      <c r="E145" s="86">
        <f>(E115+E128+E144)</f>
        <v>645087.84</v>
      </c>
      <c r="F145" s="86">
        <f>(F115+F128+F144)</f>
        <v>0</v>
      </c>
      <c r="G145" s="86">
        <f>(G115+G128+G144)</f>
        <v>0</v>
      </c>
      <c r="H145" s="86">
        <f t="shared" si="7"/>
        <v>6939618.6699999999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Lisbon Regional</v>
      </c>
    </row>
    <row r="3" spans="1:4" x14ac:dyDescent="0.2">
      <c r="B3" s="187" t="s">
        <v>1799</v>
      </c>
    </row>
    <row r="4" spans="1:4" x14ac:dyDescent="0.2">
      <c r="B4" t="s">
        <v>61</v>
      </c>
      <c r="C4" s="178">
        <f>IF('DOE25'!F666+'DOE25'!F671=0,0,ROUND('DOE25'!F673,0))</f>
        <v>18260</v>
      </c>
    </row>
    <row r="5" spans="1:4" x14ac:dyDescent="0.2">
      <c r="B5" t="s">
        <v>700</v>
      </c>
      <c r="C5" s="178">
        <f>IF('DOE25'!G666+'DOE25'!G671=0,0,ROUND('DOE25'!G673,0))</f>
        <v>25891</v>
      </c>
    </row>
    <row r="6" spans="1:4" x14ac:dyDescent="0.2">
      <c r="B6" t="s">
        <v>62</v>
      </c>
      <c r="C6" s="178">
        <f>IF('DOE25'!H666+'DOE25'!H671=0,0,ROUND('DOE25'!H673,0))</f>
        <v>28178</v>
      </c>
    </row>
    <row r="7" spans="1:4" x14ac:dyDescent="0.2">
      <c r="B7" t="s">
        <v>701</v>
      </c>
      <c r="C7" s="178">
        <f>IF('DOE25'!I666+'DOE25'!I671=0,0,ROUND('DOE25'!I673,0))</f>
        <v>22199</v>
      </c>
    </row>
    <row r="9" spans="1:4" x14ac:dyDescent="0.2">
      <c r="A9" s="186" t="s">
        <v>94</v>
      </c>
      <c r="B9" s="187" t="s">
        <v>1800</v>
      </c>
      <c r="C9" s="180" t="s">
        <v>720</v>
      </c>
      <c r="D9" s="180" t="s">
        <v>721</v>
      </c>
    </row>
    <row r="10" spans="1:4" x14ac:dyDescent="0.2">
      <c r="A10">
        <v>1100</v>
      </c>
      <c r="B10" t="s">
        <v>702</v>
      </c>
      <c r="C10" s="178">
        <f>ROUND('DOE25'!L198+'DOE25'!L216+'DOE25'!L234+'DOE25'!L277+'DOE25'!L296+'DOE25'!L315,0)</f>
        <v>2913493</v>
      </c>
      <c r="D10" s="181">
        <f>ROUND((C10/$C$28)*100,1)</f>
        <v>42.4</v>
      </c>
    </row>
    <row r="11" spans="1:4" x14ac:dyDescent="0.2">
      <c r="A11">
        <v>1200</v>
      </c>
      <c r="B11" t="s">
        <v>703</v>
      </c>
      <c r="C11" s="178">
        <f>ROUND('DOE25'!L199+'DOE25'!L217+'DOE25'!L235+'DOE25'!L278+'DOE25'!L297+'DOE25'!L316,0)</f>
        <v>1192298</v>
      </c>
      <c r="D11" s="181">
        <f>ROUND((C11/$C$28)*100,1)</f>
        <v>17.3</v>
      </c>
    </row>
    <row r="12" spans="1:4" x14ac:dyDescent="0.2">
      <c r="A12">
        <v>1300</v>
      </c>
      <c r="B12" t="s">
        <v>704</v>
      </c>
      <c r="C12" s="178">
        <f>ROUND('DOE25'!L200+'DOE25'!L218+'DOE25'!L236+'DOE25'!L279+'DOE25'!L298+'DOE25'!L317,0)</f>
        <v>262567</v>
      </c>
      <c r="D12" s="181">
        <f>ROUND((C12/$C$28)*100,1)</f>
        <v>3.8</v>
      </c>
    </row>
    <row r="13" spans="1:4" x14ac:dyDescent="0.2">
      <c r="A13">
        <v>1400</v>
      </c>
      <c r="B13" t="s">
        <v>705</v>
      </c>
      <c r="C13" s="178">
        <f>ROUND('DOE25'!L201+'DOE25'!L219+'DOE25'!L237+'DOE25'!L280+'DOE25'!L299+'DOE25'!L318,0)</f>
        <v>107383</v>
      </c>
      <c r="D13" s="181">
        <f>ROUND((C13/$C$28)*100,1)</f>
        <v>1.6</v>
      </c>
    </row>
    <row r="14" spans="1:4" x14ac:dyDescent="0.2">
      <c r="D14" s="181"/>
    </row>
    <row r="15" spans="1:4" x14ac:dyDescent="0.2">
      <c r="A15">
        <v>2100</v>
      </c>
      <c r="B15" t="s">
        <v>706</v>
      </c>
      <c r="C15" s="178">
        <f>ROUND('DOE25'!L203+'DOE25'!L221+'DOE25'!L239+'DOE25'!L282+'DOE25'!L301+'DOE25'!L320,0)</f>
        <v>481377</v>
      </c>
      <c r="D15" s="181">
        <f t="shared" ref="D15:D27" si="0">ROUND((C15/$C$28)*100,1)</f>
        <v>7</v>
      </c>
    </row>
    <row r="16" spans="1:4" x14ac:dyDescent="0.2">
      <c r="A16">
        <v>2200</v>
      </c>
      <c r="B16" t="s">
        <v>707</v>
      </c>
      <c r="C16" s="178">
        <f>ROUND('DOE25'!L204+'DOE25'!L222+'DOE25'!L240+'DOE25'!L283+'DOE25'!L302+'DOE25'!L321,0)</f>
        <v>129128</v>
      </c>
      <c r="D16" s="181">
        <f t="shared" si="0"/>
        <v>1.9</v>
      </c>
    </row>
    <row r="17" spans="1:4" x14ac:dyDescent="0.2">
      <c r="A17" s="182" t="s">
        <v>723</v>
      </c>
      <c r="B17" t="s">
        <v>738</v>
      </c>
      <c r="C17" s="178">
        <f>ROUND('DOE25'!L205+'DOE25'!L210+'DOE25'!L223+'DOE25'!L228+'DOE25'!L241+'DOE25'!L246+'DOE25'!L284+'DOE25'!L289+'DOE25'!L303+'DOE25'!L308+'DOE25'!L322+'DOE25'!L327,0)</f>
        <v>486992</v>
      </c>
      <c r="D17" s="181">
        <f t="shared" si="0"/>
        <v>7.1</v>
      </c>
    </row>
    <row r="18" spans="1:4" x14ac:dyDescent="0.2">
      <c r="A18">
        <v>2400</v>
      </c>
      <c r="B18" t="s">
        <v>711</v>
      </c>
      <c r="C18" s="178">
        <f>ROUND('DOE25'!L206+'DOE25'!L224+'DOE25'!L242+'DOE25'!L285+'DOE25'!L304+'DOE25'!L323,0)</f>
        <v>332533</v>
      </c>
      <c r="D18" s="181">
        <f t="shared" si="0"/>
        <v>4.8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564521</v>
      </c>
      <c r="D20" s="181">
        <f t="shared" si="0"/>
        <v>8.1999999999999993</v>
      </c>
    </row>
    <row r="21" spans="1:4" x14ac:dyDescent="0.2">
      <c r="A21">
        <v>2700</v>
      </c>
      <c r="B21" t="s">
        <v>710</v>
      </c>
      <c r="C21" s="178">
        <f>ROUND('DOE25'!L209+'DOE25'!L227+'DOE25'!L245+'DOE25'!L288+'DOE25'!L307+'DOE25'!L326,0)</f>
        <v>201715</v>
      </c>
      <c r="D21" s="181">
        <f t="shared" si="0"/>
        <v>2.9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15059</v>
      </c>
      <c r="D25" s="181">
        <f t="shared" si="0"/>
        <v>0.2</v>
      </c>
    </row>
    <row r="26" spans="1:4" x14ac:dyDescent="0.2">
      <c r="A26" s="182" t="s">
        <v>717</v>
      </c>
      <c r="B26" t="s">
        <v>718</v>
      </c>
      <c r="C26" s="178">
        <f>'DOE25'!L269+'DOE25'!L270+'DOE25'!L350+'DOE25'!L351</f>
        <v>12500</v>
      </c>
      <c r="D26" s="181">
        <f t="shared" si="0"/>
        <v>0.2</v>
      </c>
    </row>
    <row r="27" spans="1:4" x14ac:dyDescent="0.2">
      <c r="A27">
        <v>3100</v>
      </c>
      <c r="B27" t="s">
        <v>11</v>
      </c>
      <c r="C27" s="178">
        <f>ROUND('DOE25'!L363-'DOE25'!L362,0)-SUM('DOE25'!G97:G110)</f>
        <v>178763.24</v>
      </c>
      <c r="D27" s="181">
        <f t="shared" si="0"/>
        <v>2.6</v>
      </c>
    </row>
    <row r="28" spans="1:4" x14ac:dyDescent="0.2">
      <c r="B28" s="186" t="s">
        <v>719</v>
      </c>
      <c r="C28" s="179">
        <f>SUM(C10:C27)</f>
        <v>6878329.2400000002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6878329.2400000002</v>
      </c>
    </row>
    <row r="31" spans="1:4" x14ac:dyDescent="0.2">
      <c r="B31" s="33"/>
      <c r="C31" s="179"/>
    </row>
    <row r="32" spans="1:4" x14ac:dyDescent="0.2">
      <c r="A32">
        <v>5100</v>
      </c>
      <c r="B32" s="33" t="s">
        <v>726</v>
      </c>
      <c r="C32" s="179">
        <f>ROUND('DOE25'!L261+'DOE25'!L342,0)</f>
        <v>53762</v>
      </c>
    </row>
    <row r="34" spans="1:4" x14ac:dyDescent="0.2">
      <c r="A34" s="186" t="s">
        <v>94</v>
      </c>
      <c r="B34" s="187" t="s">
        <v>1801</v>
      </c>
      <c r="C34" s="180" t="s">
        <v>720</v>
      </c>
      <c r="D34" s="180" t="s">
        <v>721</v>
      </c>
    </row>
    <row r="35" spans="1:4" x14ac:dyDescent="0.2">
      <c r="A35">
        <v>1100</v>
      </c>
      <c r="B35" s="184" t="s">
        <v>727</v>
      </c>
      <c r="C35" s="178">
        <f>ROUND('DOE25'!F60+'DOE25'!G60+'DOE25'!H60+'DOE25'!I60+'DOE25'!J60,0)</f>
        <v>2880687</v>
      </c>
      <c r="D35" s="181">
        <f t="shared" ref="D35:D40" si="1">ROUND((C35/$C$41)*100,1)</f>
        <v>40.700000000000003</v>
      </c>
    </row>
    <row r="36" spans="1:4" x14ac:dyDescent="0.2">
      <c r="B36" s="184" t="s">
        <v>739</v>
      </c>
      <c r="C36" s="178">
        <f>SUM('DOE25'!F112:J112)-SUM('DOE25'!G97:G110)+('DOE25'!F175+'DOE25'!F176+'DOE25'!I175+'DOE25'!I176)-C35</f>
        <v>608517.95000000019</v>
      </c>
      <c r="D36" s="181">
        <f t="shared" si="1"/>
        <v>8.6</v>
      </c>
    </row>
    <row r="37" spans="1:4" x14ac:dyDescent="0.2">
      <c r="A37" s="182" t="s">
        <v>835</v>
      </c>
      <c r="B37" s="184" t="s">
        <v>728</v>
      </c>
      <c r="C37" s="178">
        <f>ROUND('DOE25'!F117+'DOE25'!F118,0)</f>
        <v>2668896</v>
      </c>
      <c r="D37" s="181">
        <f t="shared" si="1"/>
        <v>37.799999999999997</v>
      </c>
    </row>
    <row r="38" spans="1:4" x14ac:dyDescent="0.2">
      <c r="A38" s="182" t="s">
        <v>734</v>
      </c>
      <c r="B38" s="184" t="s">
        <v>729</v>
      </c>
      <c r="C38" s="178">
        <f>ROUND(SUM('DOE25'!F140:J140)-SUM('DOE25'!F117:F119),0)</f>
        <v>29161</v>
      </c>
      <c r="D38" s="181">
        <f t="shared" si="1"/>
        <v>0.4</v>
      </c>
    </row>
    <row r="39" spans="1:4" x14ac:dyDescent="0.2">
      <c r="A39">
        <v>4000</v>
      </c>
      <c r="B39" s="184" t="s">
        <v>730</v>
      </c>
      <c r="C39" s="178">
        <f>ROUND('DOE25'!F170+'DOE25'!G170+'DOE25'!H170+'DOE25'!I170,0)</f>
        <v>882536</v>
      </c>
      <c r="D39" s="181">
        <f t="shared" si="1"/>
        <v>12.5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7069797.9500000002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Lisbon Regional</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39</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46</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f>IF('School Level Expenditures'!$B$2='School Tables'!L42,'School Tables'!S42,"")</f>
        <v>39</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f>IF('School Level Expenditures'!$B$2='School Tables'!W49,'School Tables'!AD49,"")</f>
        <v>46</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f>IF('School Level Expenditures'!$B$2=A165,'School Tables'!H165,"")</f>
        <v>162</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2022-10-28T18:02:44Z</cp:lastPrinted>
  <dcterms:created xsi:type="dcterms:W3CDTF">1997-12-04T19:04:30Z</dcterms:created>
  <dcterms:modified xsi:type="dcterms:W3CDTF">2022-12-19T16:26:57Z</dcterms:modified>
</cp:coreProperties>
</file>