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E88DE92-3ABB-42B7-A329-5B7E4EE0CAC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6" i="16" l="1"/>
  <c r="B28" i="12" l="1"/>
  <c r="H156" i="1"/>
  <c r="H157" i="1"/>
  <c r="H155" i="1"/>
  <c r="E17" i="17"/>
  <c r="E13" i="17"/>
  <c r="E9" i="17"/>
  <c r="H245" i="1"/>
  <c r="H227" i="1"/>
  <c r="K302" i="1"/>
  <c r="J302" i="1"/>
  <c r="H612" i="1"/>
  <c r="G612" i="1"/>
  <c r="F612" i="1"/>
  <c r="I612" i="1"/>
  <c r="J605" i="1"/>
  <c r="H605" i="1"/>
  <c r="I605" i="1"/>
  <c r="H596" i="1"/>
  <c r="J595" i="1"/>
  <c r="I595" i="1"/>
  <c r="J594" i="1"/>
  <c r="J593" i="1"/>
  <c r="I593" i="1"/>
  <c r="H593" i="1"/>
  <c r="J592" i="1"/>
  <c r="I592" i="1"/>
  <c r="H592" i="1"/>
  <c r="H583" i="1"/>
  <c r="F583" i="1"/>
  <c r="H580" i="1"/>
  <c r="F580" i="1"/>
  <c r="H576" i="1"/>
  <c r="K570" i="1"/>
  <c r="I570" i="1"/>
  <c r="I568" i="1"/>
  <c r="H570" i="1"/>
  <c r="J565" i="1"/>
  <c r="J563" i="1"/>
  <c r="I565" i="1"/>
  <c r="I563" i="1"/>
  <c r="G565" i="1"/>
  <c r="G563" i="1"/>
  <c r="F565" i="1"/>
  <c r="F563" i="1"/>
  <c r="I522" i="1"/>
  <c r="H544" i="1"/>
  <c r="H524" i="1"/>
  <c r="H529" i="1"/>
  <c r="H528" i="1"/>
  <c r="H527" i="1"/>
  <c r="H543" i="1"/>
  <c r="H542" i="1"/>
  <c r="K524" i="1"/>
  <c r="G529" i="1"/>
  <c r="G527" i="1"/>
  <c r="K523" i="1"/>
  <c r="K522" i="1"/>
  <c r="J527" i="1"/>
  <c r="J524" i="1"/>
  <c r="J522" i="1"/>
  <c r="J523" i="1"/>
  <c r="I524" i="1"/>
  <c r="I523" i="1"/>
  <c r="H522" i="1"/>
  <c r="H523" i="1"/>
  <c r="G522" i="1"/>
  <c r="G523" i="1"/>
  <c r="G524" i="1"/>
  <c r="F529" i="1"/>
  <c r="F527" i="1"/>
  <c r="F522" i="1"/>
  <c r="F524" i="1"/>
  <c r="F523" i="1"/>
  <c r="I361" i="1"/>
  <c r="H361" i="1"/>
  <c r="H360" i="1"/>
  <c r="H359" i="1"/>
  <c r="J361" i="1"/>
  <c r="J359" i="1"/>
  <c r="I359" i="1"/>
  <c r="J321" i="1"/>
  <c r="J283" i="1"/>
  <c r="H302" i="1"/>
  <c r="H321" i="1"/>
  <c r="I277" i="1"/>
  <c r="J277" i="1"/>
  <c r="J315" i="1"/>
  <c r="J308" i="1"/>
  <c r="J320" i="1"/>
  <c r="H282" i="1"/>
  <c r="G282" i="1"/>
  <c r="F282" i="1"/>
  <c r="H288" i="1"/>
  <c r="H283" i="1"/>
  <c r="K284" i="1"/>
  <c r="G277" i="1"/>
  <c r="F277" i="1"/>
  <c r="J317" i="1"/>
  <c r="I317" i="1"/>
  <c r="G317" i="1"/>
  <c r="F317" i="1"/>
  <c r="H317" i="1"/>
  <c r="I315" i="1"/>
  <c r="H325" i="1"/>
  <c r="K320" i="1"/>
  <c r="H320" i="1"/>
  <c r="G315" i="1"/>
  <c r="F315" i="1"/>
  <c r="G321" i="1"/>
  <c r="F321" i="1"/>
  <c r="I320" i="1"/>
  <c r="H326" i="1"/>
  <c r="J325" i="1"/>
  <c r="K334" i="1"/>
  <c r="I334" i="1"/>
  <c r="H334" i="1"/>
  <c r="F334" i="1"/>
  <c r="G334" i="1"/>
  <c r="G278" i="1"/>
  <c r="F278" i="1"/>
  <c r="J278" i="1"/>
  <c r="H301" i="1"/>
  <c r="K303" i="1"/>
  <c r="I296" i="1"/>
  <c r="K301" i="1"/>
  <c r="G302" i="1"/>
  <c r="F302" i="1"/>
  <c r="I302" i="1"/>
  <c r="H287" i="1"/>
  <c r="I282" i="1"/>
  <c r="J287" i="1"/>
  <c r="I287" i="1"/>
  <c r="G286" i="1"/>
  <c r="F286" i="1"/>
  <c r="I283" i="1"/>
  <c r="I321" i="1"/>
  <c r="G301" i="1"/>
  <c r="F301" i="1"/>
  <c r="G280" i="1"/>
  <c r="F280" i="1"/>
  <c r="H278" i="1"/>
  <c r="K278" i="1"/>
  <c r="J334" i="1"/>
  <c r="J327" i="1"/>
  <c r="K322" i="1"/>
  <c r="H277" i="1"/>
  <c r="H284" i="1"/>
  <c r="G199" i="1"/>
  <c r="G217" i="1"/>
  <c r="J466" i="1"/>
  <c r="J469" i="1"/>
  <c r="F199" i="1" l="1"/>
  <c r="G252" i="1"/>
  <c r="K208" i="1"/>
  <c r="K226" i="1"/>
  <c r="K244" i="1"/>
  <c r="I244" i="1"/>
  <c r="I226" i="1"/>
  <c r="I208" i="1"/>
  <c r="I199" i="1"/>
  <c r="I217" i="1"/>
  <c r="I235" i="1"/>
  <c r="H209" i="1"/>
  <c r="H244" i="1"/>
  <c r="H226" i="1"/>
  <c r="H208" i="1"/>
  <c r="G244" i="1"/>
  <c r="G226" i="1"/>
  <c r="G208" i="1"/>
  <c r="G235" i="1"/>
  <c r="F235" i="1"/>
  <c r="F217" i="1"/>
  <c r="F244" i="1"/>
  <c r="F226" i="1"/>
  <c r="F208" i="1"/>
  <c r="G239" i="1"/>
  <c r="G240" i="1"/>
  <c r="J244" i="1"/>
  <c r="K242" i="1"/>
  <c r="G242" i="1"/>
  <c r="F242" i="1"/>
  <c r="I242" i="1"/>
  <c r="H242" i="1"/>
  <c r="K240" i="1"/>
  <c r="J240" i="1"/>
  <c r="I240" i="1"/>
  <c r="F240" i="1"/>
  <c r="H239" i="1"/>
  <c r="F239" i="1"/>
  <c r="K239" i="1"/>
  <c r="I239" i="1"/>
  <c r="K237" i="1"/>
  <c r="J237" i="1"/>
  <c r="I237" i="1"/>
  <c r="H237" i="1"/>
  <c r="G237" i="1"/>
  <c r="F237" i="1"/>
  <c r="K236" i="1"/>
  <c r="J236" i="1"/>
  <c r="I236" i="1"/>
  <c r="H236" i="1"/>
  <c r="G236" i="1"/>
  <c r="F236" i="1"/>
  <c r="K235" i="1"/>
  <c r="H235" i="1"/>
  <c r="J235" i="1"/>
  <c r="J234" i="1"/>
  <c r="H234" i="1"/>
  <c r="I234" i="1"/>
  <c r="G234" i="1"/>
  <c r="F234" i="1"/>
  <c r="J226" i="1"/>
  <c r="G224" i="1"/>
  <c r="F224" i="1"/>
  <c r="G222" i="1"/>
  <c r="F222" i="1"/>
  <c r="H221" i="1"/>
  <c r="G221" i="1"/>
  <c r="F221" i="1"/>
  <c r="H219" i="1"/>
  <c r="G219" i="1"/>
  <c r="F219" i="1"/>
  <c r="G218" i="1"/>
  <c r="F218" i="1"/>
  <c r="K217" i="1"/>
  <c r="J217" i="1"/>
  <c r="H217" i="1"/>
  <c r="H216" i="1"/>
  <c r="G216" i="1"/>
  <c r="F216" i="1"/>
  <c r="J208" i="1"/>
  <c r="G206" i="1"/>
  <c r="F206" i="1"/>
  <c r="J206" i="1"/>
  <c r="K206" i="1"/>
  <c r="I206" i="1"/>
  <c r="H206" i="1"/>
  <c r="G204" i="1"/>
  <c r="F204" i="1"/>
  <c r="K204" i="1"/>
  <c r="I204" i="1"/>
  <c r="J203" i="1"/>
  <c r="I203" i="1"/>
  <c r="H203" i="1"/>
  <c r="G203" i="1"/>
  <c r="F203" i="1"/>
  <c r="K203" i="1"/>
  <c r="G201" i="1"/>
  <c r="F201" i="1"/>
  <c r="J199" i="1"/>
  <c r="H199" i="1"/>
  <c r="K199" i="1"/>
  <c r="J198" i="1"/>
  <c r="I198" i="1"/>
  <c r="H198" i="1"/>
  <c r="G198" i="1"/>
  <c r="F198" i="1"/>
  <c r="H154" i="1" l="1"/>
  <c r="H162" i="1"/>
  <c r="H159" i="1"/>
  <c r="G158" i="1"/>
  <c r="G132" i="1"/>
  <c r="G97" i="1" l="1"/>
  <c r="H12" i="1"/>
  <c r="F9"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H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H80" i="2" s="1"/>
  <c r="E80" i="2"/>
  <c r="C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J652" i="1" s="1"/>
  <c r="H653" i="1"/>
  <c r="G654" i="1"/>
  <c r="H654" i="1"/>
  <c r="H655" i="1"/>
  <c r="H656" i="1"/>
  <c r="H97" i="2" l="1"/>
  <c r="I409" i="1"/>
  <c r="H89" i="2"/>
  <c r="F85" i="2"/>
  <c r="F91" i="2" s="1"/>
  <c r="H72" i="2"/>
  <c r="H59" i="2"/>
  <c r="H35" i="2"/>
  <c r="H34" i="2"/>
  <c r="H13" i="2"/>
  <c r="H9" i="2"/>
  <c r="H132" i="2"/>
  <c r="H36" i="2"/>
  <c r="H38" i="2"/>
  <c r="H43" i="2"/>
  <c r="H44" i="2"/>
  <c r="H47" i="2"/>
  <c r="H48" i="2"/>
  <c r="H94" i="2"/>
  <c r="H69" i="2"/>
  <c r="H30" i="2"/>
  <c r="H28" i="2"/>
  <c r="H27" i="2"/>
  <c r="H24" i="2"/>
  <c r="H17" i="2"/>
  <c r="H12" i="2"/>
  <c r="H137" i="2"/>
  <c r="E121" i="2"/>
  <c r="H22" i="2"/>
  <c r="H102" i="2"/>
  <c r="H101" i="2"/>
  <c r="H100" i="2"/>
  <c r="H99" i="2"/>
  <c r="H98" i="2"/>
  <c r="H79" i="2"/>
  <c r="H73" i="2"/>
  <c r="H58" i="2"/>
  <c r="H15" i="2"/>
  <c r="G663" i="1"/>
  <c r="G662" i="1"/>
  <c r="H125" i="2"/>
  <c r="H96" i="2"/>
  <c r="G646" i="1"/>
  <c r="H8" i="2"/>
  <c r="H477" i="1"/>
  <c r="H625" i="1" s="1"/>
  <c r="J625" i="1" s="1"/>
  <c r="G477" i="1"/>
  <c r="B33" i="16" s="1"/>
  <c r="C110" i="2"/>
  <c r="E13" i="13"/>
  <c r="C13" i="13" s="1"/>
  <c r="C120" i="2"/>
  <c r="H120" i="2" s="1"/>
  <c r="D15" i="13"/>
  <c r="C15" i="13" s="1"/>
  <c r="C112" i="2"/>
  <c r="H112" i="2" s="1"/>
  <c r="C12" i="10"/>
  <c r="D6" i="13"/>
  <c r="C6" i="13" s="1"/>
  <c r="C13" i="10"/>
  <c r="C121" i="2"/>
  <c r="H121" i="2" s="1"/>
  <c r="A40" i="12"/>
  <c r="G409" i="1"/>
  <c r="H646" i="1" s="1"/>
  <c r="G62" i="2"/>
  <c r="H76" i="2"/>
  <c r="D78" i="2"/>
  <c r="D81" i="2" s="1"/>
  <c r="H77" i="2"/>
  <c r="H61" i="2"/>
  <c r="H29" i="2"/>
  <c r="H23" i="2"/>
  <c r="H11"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E144" i="2" l="1"/>
  <c r="L572" i="1"/>
  <c r="H57" i="2"/>
  <c r="H78" i="2"/>
  <c r="J646" i="1"/>
  <c r="H16" i="2"/>
  <c r="H85" i="2"/>
  <c r="H21" i="2"/>
  <c r="D128" i="2"/>
  <c r="D145" i="2" s="1"/>
  <c r="H127" i="2"/>
  <c r="I663" i="1"/>
  <c r="E128" i="2"/>
  <c r="G24" i="14"/>
  <c r="H24" i="14" s="1"/>
  <c r="I24" i="14" s="1"/>
  <c r="H118" i="2"/>
  <c r="H114" i="2"/>
  <c r="H110" i="2"/>
  <c r="E115" i="2"/>
  <c r="F661" i="1"/>
  <c r="F665" i="1" s="1"/>
  <c r="F668" i="1" s="1"/>
  <c r="H109" i="2"/>
  <c r="H103" i="2"/>
  <c r="G50" i="2"/>
  <c r="H42" i="2"/>
  <c r="H31" i="2"/>
  <c r="H50" i="2"/>
  <c r="G144" i="2"/>
  <c r="G145" i="2" s="1"/>
  <c r="H134" i="2"/>
  <c r="H91" i="2"/>
  <c r="H62" i="2"/>
  <c r="F194" i="1"/>
  <c r="C81" i="2"/>
  <c r="H81" i="2" s="1"/>
  <c r="D5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H115" i="2"/>
  <c r="H51"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<sst xmlns="http://schemas.openxmlformats.org/spreadsheetml/2006/main" count="6530" uniqueCount="1802">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</sst>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1"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44" fontId="80" fillId="0" borderId="0" applyFont="0" applyFill="0" applyBorder="0" applyAlignment="0" applyProtection="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4" fontId="0" fillId="0" borderId="0" xfId="44"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4"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6000000}"/>
    <cellStyle name="Normal 3" xfId="43"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8" zoomScale="140" zoomScaleNormal="14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1195</v>
      </c>
      <c r="B2" s="126">
        <f>INDEX('School Tables'!$AH$3:$AH$208,MATCH('DOE25'!A2,'School Tables'!$AJ$3:$AJ$208,0))</f>
        <v>317</v>
      </c>
      <c r="C2" s="126">
        <f>INDEX('School Tables'!$AI$3:$AI$208,MATCH('DOE25'!A2,'School Tables'!$AJ$3:$AJ$208,0))</f>
        <v>317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409694.97+695563.66+82607.07</f>
        <v>1187865.7</v>
      </c>
      <c r="G9" s="18"/>
      <c r="H9" s="18"/>
      <c r="I9" s="18"/>
      <c r="J9" s="67">
        <f>SUM(I440)</f>
        <v>872053.59</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547256.35</v>
      </c>
      <c r="G12" s="18">
        <v>84168.58</v>
      </c>
      <c r="H12" s="18">
        <f>89924.81+10119.53</f>
        <v>100044.34</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35141.4</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1770263.4499999997</v>
      </c>
      <c r="G19" s="41">
        <f>SUM(G9:G18)</f>
        <v>84168.58</v>
      </c>
      <c r="H19" s="41">
        <f>SUM(H9:H18)</f>
        <v>100044.34</v>
      </c>
      <c r="I19" s="41">
        <f>SUM(I9:I18)</f>
        <v>0</v>
      </c>
      <c r="J19" s="41">
        <f>SUM(J9:J18)</f>
        <v>872053.59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467316.88</v>
      </c>
      <c r="G24" s="18"/>
      <c r="H24" s="18">
        <v>10119.530000000001</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20459.810000000001</v>
      </c>
      <c r="H30" s="18">
        <v>89924.81</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467316.88</v>
      </c>
      <c r="G32" s="41">
        <f>SUM(G22:G31)</f>
        <v>20459.810000000001</v>
      </c>
      <c r="H32" s="41">
        <f>SUM(H22:H31)</f>
        <v>100044.34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63708.77</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872053.59</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561430.35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691516.22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1302946.5699999998</v>
      </c>
      <c r="G51" s="41">
        <f>SUM(G35:G50)</f>
        <v>63708.77</v>
      </c>
      <c r="H51" s="41">
        <f>SUM(H35:H50)</f>
        <v>0</v>
      </c>
      <c r="I51" s="41">
        <f>SUM(I35:I50)</f>
        <v>0</v>
      </c>
      <c r="J51" s="41">
        <f>SUM(J35:J50)</f>
        <v>872053.59</v>
      </c>
      <c r="K51" s="45" t="s">
        <v>288</v>
      </c>
      <c r="L51" s="45" t="s">
        <v>288</v>
      </c>
      <c r="N51" s="263"/>
    </row>
    <row r="52" spans="1:14" s="3" customFormat="1" ht="12.2" customHeight="1" thickTop="1" x14ac:dyDescent="0.15">
      <c r="A52" s="38" t="s">
        <v>455</v>
      </c>
      <c r="B52" s="39" t="s">
        <v>289</v>
      </c>
      <c r="C52" s="6">
        <v>37</v>
      </c>
      <c r="D52" s="39" t="s">
        <v>653</v>
      </c>
      <c r="E52" s="39"/>
      <c r="F52" s="41">
        <f>F51+F32</f>
        <v>1770263.4499999997</v>
      </c>
      <c r="G52" s="41">
        <f>G51+G32</f>
        <v>84168.58</v>
      </c>
      <c r="H52" s="41">
        <f>H51+H32</f>
        <v>100044.34</v>
      </c>
      <c r="I52" s="41">
        <f>I51+I32</f>
        <v>0</v>
      </c>
      <c r="J52" s="41">
        <f>J51+J32</f>
        <v>872053.59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9685227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9685227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4420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81366.880000000005</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85786.880000000005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4719.13</v>
      </c>
      <c r="G96" s="18"/>
      <c r="H96" s="18"/>
      <c r="I96" s="18"/>
      <c r="J96" s="18">
        <v>861.29</v>
      </c>
      <c r="K96" s="24" t="s">
        <v>288</v>
      </c>
      <c r="L96" s="24" t="s">
        <v>288</v>
      </c>
      <c r="M96" s="8"/>
      <c r="N96" s="265"/>
    </row>
    <row r="97" spans="1:14" s="3" customFormat="1" ht="12.2" customHeight="1" x14ac:dyDescent="0.15">
      <c r="A97" s="1" t="s">
        <v>503</v>
      </c>
      <c r="B97" s="2" t="s">
        <v>315</v>
      </c>
      <c r="C97" s="6">
        <v>12</v>
      </c>
      <c r="D97" s="2" t="s">
        <v>430</v>
      </c>
      <c r="E97" s="6">
        <v>1600</v>
      </c>
      <c r="F97" s="24" t="s">
        <v>288</v>
      </c>
      <c r="G97" s="18">
        <f>2259.03+7.36+28340.61</f>
        <v>30607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234144.99</v>
      </c>
      <c r="G110" s="18">
        <v>13860.05</v>
      </c>
      <c r="H110" s="18">
        <v>6351.48</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238864.12</v>
      </c>
      <c r="G111" s="41">
        <f>SUM(G96:G110)</f>
        <v>44467.05</v>
      </c>
      <c r="H111" s="41">
        <f>SUM(H96:H110)</f>
        <v>6351.48</v>
      </c>
      <c r="I111" s="41">
        <f>SUM(I96:I110)</f>
        <v>0</v>
      </c>
      <c r="J111" s="41">
        <f>SUM(J96:J110)</f>
        <v>861.29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10009878</v>
      </c>
      <c r="G112" s="41">
        <f>G60+G111</f>
        <v>44467.05</v>
      </c>
      <c r="H112" s="41">
        <f>H60+H79+H94+H111</f>
        <v>6351.48</v>
      </c>
      <c r="I112" s="41">
        <f>I60+I111</f>
        <v>0</v>
      </c>
      <c r="J112" s="41">
        <f>J60+J111</f>
        <v>861.29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3659196.18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1543380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5202576.18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208806.95</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183768.56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315730.84000000003</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3740.8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2912.24+1899.57</f>
        <v>4811.8099999999995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712047.15000000014</v>
      </c>
      <c r="G136" s="41">
        <f>SUM(G123:G135)</f>
        <v>4811.8099999999995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5914623.3300000001</v>
      </c>
      <c r="G140" s="41">
        <f>G121+SUM(G136:G137)</f>
        <v>4811.8099999999995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72683.61</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72683.61</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85548.62+347376.8</f>
        <v>432925.42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53105.14+1132.63+3494.52+59650.22+13144.65+2900+9036.34+7946.35</f>
        <v>150409.84999999998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f>42250.48+17673.76</f>
        <v>59924.240000000005</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f>88623.7+67686.86+3766.91-10000</f>
        <v>150077.47</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78289.48+61035.22+165274.03+97839.32+26897.73</f>
        <v>429335.77999999997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12645.25+28456.01+161268.18+2230.92+5119.46</f>
        <v>209719.82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62930.94+690935.42+338320.32+17030.07</f>
        <v>1109216.7500000002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429335.77999999997</v>
      </c>
      <c r="H163" s="41">
        <f>SUM(H150:H162)</f>
        <v>2112273.5500000003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1419.35</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74102.960000000006</v>
      </c>
      <c r="G170" s="41">
        <f>G147+G163+SUM(G164:G169)</f>
        <v>429335.77999999997</v>
      </c>
      <c r="H170" s="41">
        <f>H147+H163+SUM(H164:H169)</f>
        <v>2112273.5500000003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1285.3800000000001</v>
      </c>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1285.3800000000001</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v>10000</v>
      </c>
      <c r="I180" s="18"/>
      <c r="J180" s="18">
        <v>8718.08</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10000</v>
      </c>
      <c r="I184" s="41">
        <f>SUM(I180:I183)</f>
        <v>0</v>
      </c>
      <c r="J184" s="41">
        <f>SUM(J180:J183)</f>
        <v>8718.08</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46825.66</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46825.66</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48111.040000000001</v>
      </c>
      <c r="G193" s="41">
        <f>G184+SUM(G189:G192)</f>
        <v>0</v>
      </c>
      <c r="H193" s="41">
        <f>+H184+SUM(H189:H192)</f>
        <v>10000</v>
      </c>
      <c r="I193" s="41">
        <f>I178+I184+SUM(I189:I192)</f>
        <v>0</v>
      </c>
      <c r="J193" s="41">
        <f>J184</f>
        <v>8718.08</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16046715.33</v>
      </c>
      <c r="G194" s="47">
        <f>G112+G140+G170+G193</f>
        <v>478614.63999999996</v>
      </c>
      <c r="H194" s="47">
        <f>H112+H140+H170+H193</f>
        <v>2128625.0300000003</v>
      </c>
      <c r="I194" s="47">
        <f>I112+I140+I170+I193</f>
        <v>0</v>
      </c>
      <c r="J194" s="47">
        <f>J112+J140+J193</f>
        <v>9579.369999999999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1542141.43+9000+24093.63+31173+5662.84+56924.43</f>
        <v>1668995.3299999998</v>
      </c>
      <c r="G198" s="18">
        <f>498624.86+11240.52+2790.72+123048.89+3387.6+325673.29+31234.5+621.17+6838.93</f>
        <v>1003460.48</v>
      </c>
      <c r="H198" s="18">
        <f>305+10270.5</f>
        <v>10575.5</v>
      </c>
      <c r="I198" s="18">
        <f>31266.75+12402.58+673.22</f>
        <v>44342.55</v>
      </c>
      <c r="J198" s="18">
        <f>29325.84+3488.71</f>
        <v>32814.550000000003</v>
      </c>
      <c r="K198" s="18"/>
      <c r="L198" s="19">
        <f>SUM(F198:K198)</f>
        <v>2760188.4099999992</v>
      </c>
      <c r="M198" s="8"/>
      <c r="N198" s="265"/>
    </row>
    <row r="199" spans="1:14" s="3" customFormat="1" ht="12.2" customHeight="1" x14ac:dyDescent="0.15">
      <c r="A199" s="1" t="s">
        <v>439</v>
      </c>
      <c r="B199" s="2" t="s">
        <v>341</v>
      </c>
      <c r="C199" s="2" t="s">
        <v>291</v>
      </c>
      <c r="D199" s="2" t="s">
        <v>431</v>
      </c>
      <c r="E199" s="6">
        <v>1200</v>
      </c>
      <c r="F199" s="18">
        <f>305752.97+476510.99+12490.43+16075.01+47970+41535</f>
        <v>900334.4</v>
      </c>
      <c r="G199" s="18">
        <f>326258.69+10443.88+2974.83+59603.77+64544.38+63638.6+160.94+3558.08+18604.74+478.32+94.56+3554.87+10118.3+25.02+273.76+14160</f>
        <v>578492.74</v>
      </c>
      <c r="H199" s="18">
        <f>10829.22+4843+1994.88+70861.4</f>
        <v>88528.5</v>
      </c>
      <c r="I199" s="18">
        <f>1989.98+997.43+515.56+2499.72+1997.64+467.5+1552</f>
        <v>10019.83</v>
      </c>
      <c r="J199" s="18">
        <f>218.92+462.99</f>
        <v>681.91</v>
      </c>
      <c r="K199" s="18">
        <f>350</f>
        <v>350</v>
      </c>
      <c r="L199" s="19">
        <f>SUM(F199:K199)</f>
        <v>1578407.3800000001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f>857</f>
        <v>857</v>
      </c>
      <c r="G201" s="18">
        <f>65.56+180.14</f>
        <v>245.7</v>
      </c>
      <c r="H201" s="18"/>
      <c r="I201" s="18"/>
      <c r="J201" s="18"/>
      <c r="K201" s="18"/>
      <c r="L201" s="19">
        <f>SUM(F201:K201)</f>
        <v>1102.7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9669.66+48163.1+68220+64220+33591.52+121276.66+34924.5</f>
        <v>380065.44</v>
      </c>
      <c r="G203" s="18">
        <f>739.74+4.4+48.22+14311.38+367.92+72.72+3624.32+10123.97+5.7+278.96+22793.98+478.32+94.56+5126.7+14339.78+53.78+587.59+18604.74+478.32+94.56+4834.92+13499.04+25.56+279.7+9845.26+239.16+47.28+2370.39+7061.08+5.7+149.87+37676.15+717.48+141.84+8762.75+25492.44+11.4+460.72+12558.75+239.16+47.28+2499.77+7341.1+5.7+155.8</f>
        <v>226697.96</v>
      </c>
      <c r="H203" s="18">
        <f>33954.8</f>
        <v>33954.800000000003</v>
      </c>
      <c r="I203" s="18">
        <f>1188.74+1204.39+1690.52+2572.35+99.9+565.96</f>
        <v>7321.86</v>
      </c>
      <c r="J203" s="18">
        <f>2860.77+136.9+1398.98+195.17</f>
        <v>4591.82</v>
      </c>
      <c r="K203" s="18">
        <f>365+26.72</f>
        <v>391.72</v>
      </c>
      <c r="L203" s="19">
        <f t="shared" ref="L203:L209" si="0">SUM(F203:K203)</f>
        <v>653023.6</v>
      </c>
      <c r="M203" s="8"/>
      <c r="N203" s="265"/>
    </row>
    <row r="204" spans="1:14" s="3" customFormat="1" ht="12.2" customHeight="1" x14ac:dyDescent="0.15">
      <c r="A204" s="1" t="s">
        <v>443</v>
      </c>
      <c r="B204" s="2" t="s">
        <v>341</v>
      </c>
      <c r="C204" s="2" t="s">
        <v>295</v>
      </c>
      <c r="D204" s="2" t="s">
        <v>431</v>
      </c>
      <c r="E204" s="6">
        <v>2200</v>
      </c>
      <c r="F204" s="18">
        <f>85618.77+50670</f>
        <v>136288.77000000002</v>
      </c>
      <c r="G204" s="18">
        <f>17054.4+438.38+279.18+6465.22+17997.02+5.7+324.96+25117.4+478.32+94.56+3609.83+10650.87+26.64+291.57</f>
        <v>82834.050000000017</v>
      </c>
      <c r="H204" s="18"/>
      <c r="I204" s="18">
        <f>689</f>
        <v>689</v>
      </c>
      <c r="J204" s="18"/>
      <c r="K204" s="18">
        <f>9520</f>
        <v>9520</v>
      </c>
      <c r="L204" s="19">
        <f t="shared" si="0"/>
        <v>229331.82000000004</v>
      </c>
      <c r="M204" s="8"/>
      <c r="N204" s="265"/>
    </row>
    <row r="205" spans="1:14" s="3" customFormat="1" ht="12.2" customHeight="1" x14ac:dyDescent="0.15">
      <c r="A205" s="1" t="s">
        <v>444</v>
      </c>
      <c r="B205" s="2" t="s">
        <v>341</v>
      </c>
      <c r="C205" s="2" t="s">
        <v>296</v>
      </c>
      <c r="D205" s="2" t="s">
        <v>431</v>
      </c>
      <c r="E205" s="6">
        <v>2300</v>
      </c>
      <c r="F205" s="18">
        <v>156267</v>
      </c>
      <c r="G205" s="18">
        <v>111666</v>
      </c>
      <c r="H205" s="18">
        <v>128412</v>
      </c>
      <c r="I205" s="18">
        <v>5324</v>
      </c>
      <c r="J205" s="18">
        <v>2027</v>
      </c>
      <c r="K205" s="18">
        <v>14884</v>
      </c>
      <c r="L205" s="19">
        <f t="shared" si="0"/>
        <v>418580</v>
      </c>
      <c r="M205" s="8"/>
      <c r="N205" s="265"/>
    </row>
    <row r="206" spans="1:14" s="3" customFormat="1" ht="12.2" customHeight="1" x14ac:dyDescent="0.15">
      <c r="A206" s="1" t="s">
        <v>445</v>
      </c>
      <c r="B206" s="2" t="s">
        <v>341</v>
      </c>
      <c r="C206" s="2" t="s">
        <v>297</v>
      </c>
      <c r="D206" s="2" t="s">
        <v>431</v>
      </c>
      <c r="E206" s="6">
        <v>2400</v>
      </c>
      <c r="F206" s="18">
        <f>170000+81850.67+1831.42</f>
        <v>253682.09</v>
      </c>
      <c r="G206" s="18">
        <f>43722.3+956.64+608.92+12499.19+35734.09+2858.86+11.4+779+11771.9+510.32+166.6+6363.35+11504.78+11.4+368.73</f>
        <v>127867.48</v>
      </c>
      <c r="H206" s="18">
        <f>795.3+2686.45+1717.66</f>
        <v>5199.41</v>
      </c>
      <c r="I206" s="18">
        <f>24268.89</f>
        <v>24268.89</v>
      </c>
      <c r="J206" s="18">
        <f>1492.32+263.81</f>
        <v>1756.1299999999999</v>
      </c>
      <c r="K206" s="18">
        <f>697.81+795.33</f>
        <v>1493.1399999999999</v>
      </c>
      <c r="L206" s="19">
        <f t="shared" si="0"/>
        <v>414267.14</v>
      </c>
      <c r="M206" s="8"/>
      <c r="N206" s="265"/>
    </row>
    <row r="207" spans="1:14" s="3" customFormat="1" ht="12.2" customHeight="1" x14ac:dyDescent="0.15">
      <c r="A207" s="1" t="s">
        <v>446</v>
      </c>
      <c r="B207" s="2" t="s">
        <v>341</v>
      </c>
      <c r="C207" s="2" t="s">
        <v>298</v>
      </c>
      <c r="D207" s="2" t="s">
        <v>431</v>
      </c>
      <c r="E207" s="6">
        <v>2500</v>
      </c>
      <c r="F207" s="18">
        <v>85140</v>
      </c>
      <c r="G207" s="18">
        <v>35721</v>
      </c>
      <c r="H207" s="18">
        <v>690</v>
      </c>
      <c r="I207" s="18">
        <v>802</v>
      </c>
      <c r="J207" s="18">
        <v>273</v>
      </c>
      <c r="K207" s="18">
        <v>343</v>
      </c>
      <c r="L207" s="19">
        <f t="shared" si="0"/>
        <v>122969</v>
      </c>
      <c r="M207" s="8"/>
      <c r="N207" s="265"/>
    </row>
    <row r="208" spans="1:14" s="3" customFormat="1" ht="12.2" customHeight="1" x14ac:dyDescent="0.15">
      <c r="A208" s="1" t="s">
        <v>447</v>
      </c>
      <c r="B208" s="2" t="s">
        <v>341</v>
      </c>
      <c r="C208" s="2" t="s">
        <v>299</v>
      </c>
      <c r="D208" s="2" t="s">
        <v>431</v>
      </c>
      <c r="E208" s="6">
        <v>2600</v>
      </c>
      <c r="F208" s="18">
        <f>152156.94+5518+2000+976.45+14040</f>
        <v>174691.39</v>
      </c>
      <c r="G208" s="18">
        <f>50385.98+1363.53+320.15+11770.27+20651.74+25.61+675.88+6202</f>
        <v>91395.160000000018</v>
      </c>
      <c r="H208" s="18">
        <f>19085.09+5583.69+17940.41+16134+10607.79+28500+141224.12+6672.09+14971</f>
        <v>260718.19</v>
      </c>
      <c r="I208" s="18">
        <f>24867.03+63512.73+9170.39+53633.05+8863</f>
        <v>160046.20000000001</v>
      </c>
      <c r="J208" s="18">
        <f>32541.25+221596.94</f>
        <v>254138.19</v>
      </c>
      <c r="K208" s="18">
        <f>990+938.49+108</f>
        <v>2036.49</v>
      </c>
      <c r="L208" s="19">
        <f t="shared" si="0"/>
        <v>943025.61999999988</v>
      </c>
      <c r="M208" s="8"/>
      <c r="N208" s="265"/>
    </row>
    <row r="209" spans="1:14" s="3" customFormat="1" ht="12.2" customHeight="1" x14ac:dyDescent="0.15">
      <c r="A209" s="1" t="s">
        <v>448</v>
      </c>
      <c r="B209" s="2" t="s">
        <v>341</v>
      </c>
      <c r="C209" s="2" t="s">
        <v>300</v>
      </c>
      <c r="D209" s="2" t="s">
        <v>431</v>
      </c>
      <c r="E209" s="6">
        <v>2700</v>
      </c>
      <c r="F209" s="18"/>
      <c r="G209" s="18"/>
      <c r="H209" s="18">
        <f>360+3114.56+161791</f>
        <v>165265.56</v>
      </c>
      <c r="I209" s="18">
        <v>623</v>
      </c>
      <c r="J209" s="18"/>
      <c r="K209" s="18"/>
      <c r="L209" s="19">
        <f t="shared" si="0"/>
        <v>165888.56</v>
      </c>
      <c r="M209" s="8"/>
      <c r="N209" s="265"/>
    </row>
    <row r="210" spans="1:14" s="3" customFormat="1" ht="12.2" customHeight="1" x14ac:dyDescent="0.15">
      <c r="A210" s="1" t="s">
        <v>449</v>
      </c>
      <c r="B210" s="2" t="s">
        <v>341</v>
      </c>
      <c r="C210" s="2" t="s">
        <v>343</v>
      </c>
      <c r="D210" s="2" t="s">
        <v>431</v>
      </c>
      <c r="E210" s="6">
        <v>2800</v>
      </c>
      <c r="F210" s="18">
        <v>83621</v>
      </c>
      <c r="G210" s="18">
        <v>18488</v>
      </c>
      <c r="H210" s="18">
        <v>76875</v>
      </c>
      <c r="I210" s="18">
        <v>33447</v>
      </c>
      <c r="J210" s="18">
        <v>54284</v>
      </c>
      <c r="K210" s="18">
        <v>1080</v>
      </c>
      <c r="L210" s="19">
        <f>SUM(F210:K210)</f>
        <v>267795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3839942.42</v>
      </c>
      <c r="G212" s="41">
        <f t="shared" si="1"/>
        <v>2276868.5700000003</v>
      </c>
      <c r="H212" s="41">
        <f t="shared" si="1"/>
        <v>770218.96</v>
      </c>
      <c r="I212" s="41">
        <f t="shared" si="1"/>
        <v>286884.33</v>
      </c>
      <c r="J212" s="41">
        <f t="shared" si="1"/>
        <v>350566.6</v>
      </c>
      <c r="K212" s="41">
        <f t="shared" si="1"/>
        <v>30098.350000000002</v>
      </c>
      <c r="L212" s="41">
        <f t="shared" si="1"/>
        <v>7554579.2299999986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392398.79+2418.86+1000+1045</f>
        <v>396862.64999999997</v>
      </c>
      <c r="G216" s="18">
        <f>146715.69+3392.6+758.77+28724.52+340.12+82482.15+162.42+1776.87</f>
        <v>264353.13999999996</v>
      </c>
      <c r="H216" s="18">
        <f>3563</f>
        <v>3563</v>
      </c>
      <c r="I216" s="18"/>
      <c r="J216" s="18"/>
      <c r="K216" s="18"/>
      <c r="L216" s="19">
        <f>SUM(F216:K216)</f>
        <v>664778.78999999992</v>
      </c>
      <c r="M216" s="8"/>
      <c r="N216" s="265"/>
    </row>
    <row r="217" spans="1:14" s="3" customFormat="1" ht="12.2" customHeight="1" x14ac:dyDescent="0.15">
      <c r="A217" s="1" t="s">
        <v>439</v>
      </c>
      <c r="B217" s="2" t="s">
        <v>346</v>
      </c>
      <c r="C217" s="2" t="s">
        <v>291</v>
      </c>
      <c r="D217" s="2" t="s">
        <v>431</v>
      </c>
      <c r="E217" s="6">
        <v>1200</v>
      </c>
      <c r="F217" s="18">
        <f>68870+73044.69+175+72143.84+12307</f>
        <v>226540.53</v>
      </c>
      <c r="G217" s="18">
        <f>37209.6+1913.28+994.26+10353.01+10269.98+14476.54+44.17+632.1+17488.9+573.99+113.46+5307.07+15164.75+28.98+339.05+4198</f>
        <v>119107.14000000004</v>
      </c>
      <c r="H217" s="18">
        <f>3600+1800</f>
        <v>5400</v>
      </c>
      <c r="I217" s="18">
        <f>1315.62+486.98+385.19+460</f>
        <v>2647.79</v>
      </c>
      <c r="J217" s="18">
        <f>56.11</f>
        <v>56.11</v>
      </c>
      <c r="K217" s="18">
        <f>-300.6</f>
        <v>-300.60000000000002</v>
      </c>
      <c r="L217" s="19">
        <f>SUM(F217:K217)</f>
        <v>353450.97000000003</v>
      </c>
      <c r="M217" s="8"/>
      <c r="N217" s="265"/>
    </row>
    <row r="218" spans="1:14" s="3" customFormat="1" ht="12.2" customHeight="1" x14ac:dyDescent="0.15">
      <c r="A218" s="1" t="s">
        <v>440</v>
      </c>
      <c r="B218" s="2" t="s">
        <v>346</v>
      </c>
      <c r="C218" s="2" t="s">
        <v>292</v>
      </c>
      <c r="D218" s="2" t="s">
        <v>431</v>
      </c>
      <c r="E218" s="6">
        <v>1300</v>
      </c>
      <c r="F218" s="18">
        <f>18846.11</f>
        <v>18846.11</v>
      </c>
      <c r="G218" s="18">
        <f>5581.4+143.6+28.37+1377.24+3961.38+7.49+82.35</f>
        <v>11181.83</v>
      </c>
      <c r="H218" s="18"/>
      <c r="I218" s="18"/>
      <c r="J218" s="18"/>
      <c r="K218" s="18"/>
      <c r="L218" s="19">
        <f>SUM(F218:K218)</f>
        <v>30027.940000000002</v>
      </c>
      <c r="M218" s="8"/>
      <c r="N218" s="265"/>
    </row>
    <row r="219" spans="1:14" s="3" customFormat="1" ht="12.2" customHeight="1" x14ac:dyDescent="0.15">
      <c r="A219" s="1" t="s">
        <v>441</v>
      </c>
      <c r="B219" s="2" t="s">
        <v>346</v>
      </c>
      <c r="C219" s="2" t="s">
        <v>293</v>
      </c>
      <c r="D219" s="2" t="s">
        <v>431</v>
      </c>
      <c r="E219" s="6">
        <v>1400</v>
      </c>
      <c r="F219" s="18">
        <f>11699.64</f>
        <v>11699.64</v>
      </c>
      <c r="G219" s="18">
        <f>893.61+164.22+820.76</f>
        <v>1878.59</v>
      </c>
      <c r="H219" s="18">
        <f>4517.5</f>
        <v>4517.5</v>
      </c>
      <c r="I219" s="18"/>
      <c r="J219" s="18"/>
      <c r="K219" s="18"/>
      <c r="L219" s="19">
        <f>SUM(F219:K219)</f>
        <v>18095.73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51766.07+25128+13436.54+16595.79+13969.8</f>
        <v>120896.20000000003</v>
      </c>
      <c r="G221" s="18">
        <f>21883.62+416.76+82.23+3674.45+10881.14+20.62+225.54+10046.96+191.33+37.82+1778.6+5281.91+9.99+109.8+3937.95+95.66+18.96+948.01+2824.38+5.48+60.09+5023.45+95.66+18.96+1208.86+3488.48+5.7+66.03+5023.45+95.66+18.96+1000.01+2936.44+5.7+62.32</f>
        <v>81580.98000000001</v>
      </c>
      <c r="H221" s="18">
        <f>11591.8</f>
        <v>11591.8</v>
      </c>
      <c r="I221" s="18"/>
      <c r="J221" s="18"/>
      <c r="K221" s="18"/>
      <c r="L221" s="19">
        <f t="shared" ref="L221:L227" si="2">SUM(F221:K221)</f>
        <v>214068.98000000004</v>
      </c>
      <c r="M221" s="8"/>
      <c r="N221" s="265"/>
    </row>
    <row r="222" spans="1:14" s="3" customFormat="1" ht="12.2" customHeight="1" x14ac:dyDescent="0.15">
      <c r="A222" s="1" t="s">
        <v>443</v>
      </c>
      <c r="B222" s="2" t="s">
        <v>346</v>
      </c>
      <c r="C222" s="2" t="s">
        <v>295</v>
      </c>
      <c r="D222" s="2" t="s">
        <v>431</v>
      </c>
      <c r="E222" s="6">
        <v>2200</v>
      </c>
      <c r="F222" s="18">
        <f>16487.95</f>
        <v>16487.95</v>
      </c>
      <c r="G222" s="18">
        <f>7441.94+191.33+37.82+1151.98+3465.81+8.03+87.54</f>
        <v>12384.45</v>
      </c>
      <c r="H222" s="18"/>
      <c r="I222" s="18"/>
      <c r="J222" s="18"/>
      <c r="K222" s="18"/>
      <c r="L222" s="19">
        <f t="shared" si="2"/>
        <v>28872.400000000001</v>
      </c>
      <c r="M222" s="8"/>
      <c r="N222" s="265"/>
    </row>
    <row r="223" spans="1:14" s="3" customFormat="1" ht="12.2" customHeight="1" x14ac:dyDescent="0.15">
      <c r="A223" s="1" t="s">
        <v>444</v>
      </c>
      <c r="B223" s="2" t="s">
        <v>346</v>
      </c>
      <c r="C223" s="2" t="s">
        <v>296</v>
      </c>
      <c r="D223" s="2" t="s">
        <v>431</v>
      </c>
      <c r="E223" s="6">
        <v>2300</v>
      </c>
      <c r="F223" s="18">
        <v>46301</v>
      </c>
      <c r="G223" s="18">
        <v>33086</v>
      </c>
      <c r="H223" s="18">
        <v>38048</v>
      </c>
      <c r="I223" s="18">
        <v>1577</v>
      </c>
      <c r="J223" s="18">
        <v>601</v>
      </c>
      <c r="K223" s="18">
        <v>4410</v>
      </c>
      <c r="L223" s="19">
        <f t="shared" si="2"/>
        <v>124023</v>
      </c>
      <c r="M223" s="8"/>
      <c r="N223" s="265"/>
    </row>
    <row r="224" spans="1:14" s="3" customFormat="1" ht="12.2" customHeight="1" x14ac:dyDescent="0.15">
      <c r="A224" s="1" t="s">
        <v>445</v>
      </c>
      <c r="B224" s="2" t="s">
        <v>346</v>
      </c>
      <c r="C224" s="2" t="s">
        <v>297</v>
      </c>
      <c r="D224" s="2" t="s">
        <v>431</v>
      </c>
      <c r="E224" s="6">
        <v>2400</v>
      </c>
      <c r="F224" s="18">
        <f>65620.83</f>
        <v>65620.83</v>
      </c>
      <c r="G224" s="18">
        <f>12093.34+350.81+230.28+4841.22+13793.47+2050.29+11.4+338.31</f>
        <v>33709.120000000003</v>
      </c>
      <c r="H224" s="18"/>
      <c r="I224" s="18"/>
      <c r="J224" s="18"/>
      <c r="K224" s="18"/>
      <c r="L224" s="19">
        <f t="shared" si="2"/>
        <v>99329.950000000012</v>
      </c>
      <c r="M224" s="8"/>
      <c r="N224" s="265"/>
    </row>
    <row r="225" spans="1:14" s="3" customFormat="1" ht="12.2" customHeight="1" x14ac:dyDescent="0.15">
      <c r="A225" s="1" t="s">
        <v>446</v>
      </c>
      <c r="B225" s="2" t="s">
        <v>346</v>
      </c>
      <c r="C225" s="2" t="s">
        <v>298</v>
      </c>
      <c r="D225" s="2" t="s">
        <v>431</v>
      </c>
      <c r="E225" s="6">
        <v>2500</v>
      </c>
      <c r="F225" s="18">
        <v>25226</v>
      </c>
      <c r="G225" s="18">
        <v>10584</v>
      </c>
      <c r="H225" s="18">
        <v>205</v>
      </c>
      <c r="I225" s="18">
        <v>238</v>
      </c>
      <c r="J225" s="18">
        <v>81</v>
      </c>
      <c r="K225" s="18">
        <v>102</v>
      </c>
      <c r="L225" s="19">
        <f t="shared" si="2"/>
        <v>36436</v>
      </c>
      <c r="M225" s="8"/>
      <c r="N225" s="265"/>
    </row>
    <row r="226" spans="1:14" s="3" customFormat="1" ht="12.2" customHeight="1" x14ac:dyDescent="0.15">
      <c r="A226" s="1" t="s">
        <v>447</v>
      </c>
      <c r="B226" s="2" t="s">
        <v>346</v>
      </c>
      <c r="C226" s="2" t="s">
        <v>299</v>
      </c>
      <c r="D226" s="2" t="s">
        <v>431</v>
      </c>
      <c r="E226" s="6">
        <v>2600</v>
      </c>
      <c r="F226" s="18">
        <f>74523+4160</f>
        <v>78683</v>
      </c>
      <c r="G226" s="18">
        <f>32166.89+1838</f>
        <v>34004.89</v>
      </c>
      <c r="H226" s="18">
        <f>207.2+88228.96+4436</f>
        <v>92872.16</v>
      </c>
      <c r="I226" s="18">
        <f>86603.75+2626</f>
        <v>89229.75</v>
      </c>
      <c r="J226" s="18">
        <f>1656.22+16000</f>
        <v>17656.22</v>
      </c>
      <c r="K226" s="18">
        <f>100+32</f>
        <v>132</v>
      </c>
      <c r="L226" s="19">
        <f t="shared" si="2"/>
        <v>312578.02</v>
      </c>
      <c r="M226" s="8"/>
      <c r="N226" s="265"/>
    </row>
    <row r="227" spans="1:14" s="3" customFormat="1" ht="12.2" customHeight="1" x14ac:dyDescent="0.15">
      <c r="A227" s="1" t="s">
        <v>448</v>
      </c>
      <c r="B227" s="2" t="s">
        <v>346</v>
      </c>
      <c r="C227" s="2" t="s">
        <v>300</v>
      </c>
      <c r="D227" s="2" t="s">
        <v>431</v>
      </c>
      <c r="E227" s="6">
        <v>2700</v>
      </c>
      <c r="F227" s="18"/>
      <c r="G227" s="18"/>
      <c r="H227" s="18">
        <f>22749.77+47938-8303.77</f>
        <v>62384</v>
      </c>
      <c r="I227" s="18">
        <v>185</v>
      </c>
      <c r="J227" s="18"/>
      <c r="K227" s="18"/>
      <c r="L227" s="19">
        <f t="shared" si="2"/>
        <v>62569</v>
      </c>
      <c r="M227" s="8"/>
      <c r="N227" s="265"/>
    </row>
    <row r="228" spans="1:14" s="3" customFormat="1" ht="12.2" customHeight="1" x14ac:dyDescent="0.15">
      <c r="A228" s="1" t="s">
        <v>449</v>
      </c>
      <c r="B228" s="2" t="s">
        <v>346</v>
      </c>
      <c r="C228" s="2" t="s">
        <v>343</v>
      </c>
      <c r="D228" s="2" t="s">
        <v>431</v>
      </c>
      <c r="E228" s="6">
        <v>2800</v>
      </c>
      <c r="F228" s="18">
        <v>24776</v>
      </c>
      <c r="G228" s="18">
        <v>5478</v>
      </c>
      <c r="H228" s="18">
        <v>22778</v>
      </c>
      <c r="I228" s="18">
        <v>9910</v>
      </c>
      <c r="J228" s="18">
        <v>16084</v>
      </c>
      <c r="K228" s="18">
        <v>320</v>
      </c>
      <c r="L228" s="19">
        <f>SUM(F228:K228)</f>
        <v>79346</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1031939.9099999999</v>
      </c>
      <c r="G230" s="41">
        <f>SUM(G216:G229)</f>
        <v>607348.14000000013</v>
      </c>
      <c r="H230" s="41">
        <f>SUM(H216:H229)</f>
        <v>241359.46000000002</v>
      </c>
      <c r="I230" s="41">
        <f>SUM(I216:I229)</f>
        <v>103787.54</v>
      </c>
      <c r="J230" s="41">
        <f>SUM(J216:J229)</f>
        <v>34478.33</v>
      </c>
      <c r="K230" s="41">
        <f t="shared" si="3"/>
        <v>4663.3999999999996</v>
      </c>
      <c r="L230" s="41">
        <f t="shared" si="3"/>
        <v>2023576.7799999998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736053.86+8000+5383.84+19902.25+6160.92+26821.5</f>
        <v>802322.37</v>
      </c>
      <c r="G234" s="18">
        <f>210948.14+6412.96+1661.99+59944.28+863.28+156601.56+5220+198+291.94+3219.13</f>
        <v>445361.28</v>
      </c>
      <c r="H234" s="18">
        <f>4558.03+889.67+23541.76</f>
        <v>28989.46</v>
      </c>
      <c r="I234" s="18">
        <f>24102.84+6910.16+4454.82</f>
        <v>35467.82</v>
      </c>
      <c r="J234" s="18">
        <f>2361.41+4484.15</f>
        <v>6845.5599999999995</v>
      </c>
      <c r="K234" s="18"/>
      <c r="L234" s="19">
        <f>SUM(F234:K234)</f>
        <v>1318986.49</v>
      </c>
      <c r="M234" s="8"/>
      <c r="N234" s="265"/>
    </row>
    <row r="235" spans="1:14" s="3" customFormat="1" ht="12.2" customHeight="1" x14ac:dyDescent="0.15">
      <c r="A235" s="1" t="s">
        <v>439</v>
      </c>
      <c r="B235" s="2" t="s">
        <v>350</v>
      </c>
      <c r="C235" s="2" t="s">
        <v>291</v>
      </c>
      <c r="D235" s="2" t="s">
        <v>431</v>
      </c>
      <c r="E235" s="6">
        <v>1200</v>
      </c>
      <c r="F235" s="18">
        <f>52020+1725+93892.61+7662.84+2627.5+108216.16+1144.94+23075.77</f>
        <v>290364.82</v>
      </c>
      <c r="G235" s="18">
        <f>55814.22+1434.96+470.56+11294.97+13201.26+11297.15-41.59+647.68+26233.24+860.97+170.22+7959.94+22746.91+43.52+476.3+87.59+7870.02</f>
        <v>160567.91999999995</v>
      </c>
      <c r="H235" s="18">
        <f>4296.42+1000+395+12708.36+249345.99+823.2+3655</f>
        <v>272223.97000000003</v>
      </c>
      <c r="I235" s="18">
        <f>1159.56+1278.76+174.66+135.72+994.38+862.98</f>
        <v>4606.0599999999995</v>
      </c>
      <c r="J235" s="18">
        <f>34.89+277.99</f>
        <v>312.88</v>
      </c>
      <c r="K235" s="18">
        <f>150+36.75</f>
        <v>186.75</v>
      </c>
      <c r="L235" s="19">
        <f>SUM(F235:K235)</f>
        <v>728262.4</v>
      </c>
      <c r="M235" s="8"/>
      <c r="N235" s="265"/>
    </row>
    <row r="236" spans="1:14" s="3" customFormat="1" ht="12.2" customHeight="1" x14ac:dyDescent="0.15">
      <c r="A236" s="1" t="s">
        <v>440</v>
      </c>
      <c r="B236" s="2" t="s">
        <v>350</v>
      </c>
      <c r="C236" s="2" t="s">
        <v>292</v>
      </c>
      <c r="D236" s="2" t="s">
        <v>431</v>
      </c>
      <c r="E236" s="6">
        <v>1300</v>
      </c>
      <c r="F236" s="18">
        <f>573036.1+56891.23</f>
        <v>629927.32999999996</v>
      </c>
      <c r="G236" s="18">
        <f>146178.02+3546.64+1070.62+46715.37+14615.65+92798.7+191.55+2772.5</f>
        <v>307889.05</v>
      </c>
      <c r="H236" s="18">
        <f>1315.41+77.23+14840.81+7297.32</f>
        <v>23530.769999999997</v>
      </c>
      <c r="I236" s="18">
        <f>20033.6+4178.86+3202.15</f>
        <v>27414.61</v>
      </c>
      <c r="J236" s="18">
        <f>50493.79+4846.83</f>
        <v>55340.62</v>
      </c>
      <c r="K236" s="18">
        <f>603</f>
        <v>603</v>
      </c>
      <c r="L236" s="19">
        <f>SUM(F236:K236)</f>
        <v>1044705.3799999999</v>
      </c>
      <c r="M236" s="8"/>
      <c r="N236" s="265"/>
    </row>
    <row r="237" spans="1:14" s="3" customFormat="1" ht="12.2" customHeight="1" x14ac:dyDescent="0.15">
      <c r="A237" s="1" t="s">
        <v>441</v>
      </c>
      <c r="B237" s="2" t="s">
        <v>350</v>
      </c>
      <c r="C237" s="2" t="s">
        <v>293</v>
      </c>
      <c r="D237" s="2" t="s">
        <v>431</v>
      </c>
      <c r="E237" s="6">
        <v>1400</v>
      </c>
      <c r="F237" s="18">
        <f>110243.08</f>
        <v>110243.08</v>
      </c>
      <c r="G237" s="18">
        <f>8493.74+2343.32+8482.76</f>
        <v>19319.82</v>
      </c>
      <c r="H237" s="18">
        <f>2842.5+15745.96</f>
        <v>18588.46</v>
      </c>
      <c r="I237" s="18">
        <f>13435.61+3250.45</f>
        <v>16686.060000000001</v>
      </c>
      <c r="J237" s="18">
        <f>6312.26</f>
        <v>6312.26</v>
      </c>
      <c r="K237" s="18">
        <f>9623.39+1815.75+225+2000</f>
        <v>13664.14</v>
      </c>
      <c r="L237" s="19">
        <f>SUM(F237:K237)</f>
        <v>184813.82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23953.86+131868.2+26010+37742+20154.94+24893.51+20954.7</f>
        <v>285577.21000000002</v>
      </c>
      <c r="G239" s="18">
        <f>1832.51+5.7+106.09+35350.54+797.2+238.42+9375.01+5245.91+19875.99+43.03+593.53+9841.42+187.4+37.14+1863.34+5467.31+10.31+112.77+15070.44+286.99+56.74+2671.41+7933.25+15.03+163.96+5907.05+143.5+28.32+1422.13+4236.44+5.7+89.77+7535.3+143.5+28.32+1812.81+5232.61+5.7+98.67+7535.3+143.5+28.32+1500.26+4404.66+5.7+93.48</f>
        <v>157582.48000000007</v>
      </c>
      <c r="H239" s="18">
        <f>7362.4+18593.4</f>
        <v>25955.800000000003</v>
      </c>
      <c r="I239" s="18">
        <f>494.84+469.42+1686.36</f>
        <v>2650.62</v>
      </c>
      <c r="J239" s="18"/>
      <c r="K239" s="18">
        <f>1085.79+399</f>
        <v>1484.79</v>
      </c>
      <c r="L239" s="19">
        <f t="shared" ref="L239:L245" si="4">SUM(F239:K239)</f>
        <v>473250.9</v>
      </c>
      <c r="M239" s="8"/>
      <c r="N239" s="265"/>
    </row>
    <row r="240" spans="1:14" s="3" customFormat="1" ht="12.2" customHeight="1" x14ac:dyDescent="0.15">
      <c r="A240" s="1" t="s">
        <v>443</v>
      </c>
      <c r="B240" s="2" t="s">
        <v>350</v>
      </c>
      <c r="C240" s="2" t="s">
        <v>295</v>
      </c>
      <c r="D240" s="2" t="s">
        <v>431</v>
      </c>
      <c r="E240" s="6">
        <v>2200</v>
      </c>
      <c r="F240" s="18">
        <f>24732.05</f>
        <v>24732.05</v>
      </c>
      <c r="G240" s="18">
        <f>11162.8+286.99+56.74+1727.78+5198.71+12.05+132.06</f>
        <v>18577.13</v>
      </c>
      <c r="H240" s="18"/>
      <c r="I240" s="18">
        <f>998.41+3082.21</f>
        <v>4080.62</v>
      </c>
      <c r="J240" s="18">
        <f>274.98</f>
        <v>274.98</v>
      </c>
      <c r="K240" s="18">
        <f>15732.31+438</f>
        <v>16170.31</v>
      </c>
      <c r="L240" s="19">
        <f t="shared" si="4"/>
        <v>63835.090000000004</v>
      </c>
      <c r="M240" s="8"/>
      <c r="N240" s="265"/>
    </row>
    <row r="241" spans="1:14" s="3" customFormat="1" ht="12.2" customHeight="1" x14ac:dyDescent="0.15">
      <c r="A241" s="1" t="s">
        <v>444</v>
      </c>
      <c r="B241" s="2" t="s">
        <v>350</v>
      </c>
      <c r="C241" s="2" t="s">
        <v>296</v>
      </c>
      <c r="D241" s="2" t="s">
        <v>431</v>
      </c>
      <c r="E241" s="6">
        <v>2300</v>
      </c>
      <c r="F241" s="18">
        <v>86815.69</v>
      </c>
      <c r="G241" s="18">
        <v>62036.06</v>
      </c>
      <c r="H241" s="18">
        <v>71340.73</v>
      </c>
      <c r="I241" s="18">
        <v>2957.44</v>
      </c>
      <c r="J241" s="18">
        <v>1125.6400000000001</v>
      </c>
      <c r="K241" s="18">
        <v>8268.7199999999993</v>
      </c>
      <c r="L241" s="19">
        <f t="shared" si="4"/>
        <v>232544.28</v>
      </c>
      <c r="M241" s="8"/>
      <c r="N241" s="265"/>
    </row>
    <row r="242" spans="1:14" s="3" customFormat="1" ht="12.2" customHeight="1" x14ac:dyDescent="0.15">
      <c r="A242" s="1" t="s">
        <v>445</v>
      </c>
      <c r="B242" s="2" t="s">
        <v>350</v>
      </c>
      <c r="C242" s="2" t="s">
        <v>297</v>
      </c>
      <c r="D242" s="2" t="s">
        <v>431</v>
      </c>
      <c r="E242" s="6">
        <v>2400</v>
      </c>
      <c r="F242" s="18">
        <f>98430.89+62690.18+2000</f>
        <v>163121.07</v>
      </c>
      <c r="G242" s="18">
        <f>18140.24+526.11+345.48+7262.15+20690.21+6395.4+11.4+507.46+32305.77+528.98+169.9+4780.64+8802.58+11.4+304.92</f>
        <v>100782.63999999998</v>
      </c>
      <c r="H242" s="18">
        <f>1397+5211.59+3600</f>
        <v>10208.59</v>
      </c>
      <c r="I242" s="18">
        <f>8343.9+149</f>
        <v>8492.9</v>
      </c>
      <c r="J242" s="18"/>
      <c r="K242" s="18">
        <f>5613.73+5990.55+2583.14</f>
        <v>14187.419999999998</v>
      </c>
      <c r="L242" s="19">
        <f t="shared" si="4"/>
        <v>296792.62</v>
      </c>
      <c r="M242" s="8"/>
      <c r="N242" s="265"/>
    </row>
    <row r="243" spans="1:14" s="3" customFormat="1" ht="12.2" customHeight="1" x14ac:dyDescent="0.15">
      <c r="A243" s="1" t="s">
        <v>446</v>
      </c>
      <c r="B243" s="2" t="s">
        <v>350</v>
      </c>
      <c r="C243" s="2" t="s">
        <v>298</v>
      </c>
      <c r="D243" s="2" t="s">
        <v>431</v>
      </c>
      <c r="E243" s="6">
        <v>2500</v>
      </c>
      <c r="F243" s="18">
        <v>47300.76</v>
      </c>
      <c r="G243" s="18">
        <v>19845.05</v>
      </c>
      <c r="H243" s="18">
        <v>383.47</v>
      </c>
      <c r="I243" s="18">
        <v>444.68</v>
      </c>
      <c r="J243" s="18">
        <v>151.99</v>
      </c>
      <c r="K243" s="18">
        <v>190</v>
      </c>
      <c r="L243" s="19">
        <f t="shared" si="4"/>
        <v>68315.95</v>
      </c>
      <c r="M243" s="8"/>
      <c r="N243" s="265"/>
    </row>
    <row r="244" spans="1:14" s="3" customFormat="1" ht="12.2" customHeight="1" x14ac:dyDescent="0.15">
      <c r="A244" s="1" t="s">
        <v>447</v>
      </c>
      <c r="B244" s="2" t="s">
        <v>350</v>
      </c>
      <c r="C244" s="2" t="s">
        <v>299</v>
      </c>
      <c r="D244" s="2" t="s">
        <v>431</v>
      </c>
      <c r="E244" s="6">
        <v>2600</v>
      </c>
      <c r="F244" s="18">
        <f>209225.38+3697.48-74523+7800.26</f>
        <v>146200.12000000002</v>
      </c>
      <c r="G244" s="18">
        <f>48073.25+2017.34+354.22+15852.13+24304.93+47.48+1256.05-32166.89+3444.86</f>
        <v>63183.369999999995</v>
      </c>
      <c r="H244" s="18">
        <f>47056.52+4604.09+23372.01+19894.5+23267.11+131202.64+2685.86-88228.96+8317.63</f>
        <v>172171.39999999997</v>
      </c>
      <c r="I244" s="18">
        <f>29964.72+94887.88+128300.96-86603.75+4924.69</f>
        <v>171474.5</v>
      </c>
      <c r="J244" s="18">
        <f>17201.97+51079.14</f>
        <v>68281.11</v>
      </c>
      <c r="K244" s="18">
        <f>803.55+90+60</f>
        <v>953.55</v>
      </c>
      <c r="L244" s="19">
        <f t="shared" si="4"/>
        <v>622264.05000000005</v>
      </c>
      <c r="M244" s="8"/>
      <c r="N244" s="265"/>
    </row>
    <row r="245" spans="1:14" s="3" customFormat="1" ht="12.2" customHeight="1" x14ac:dyDescent="0.15">
      <c r="A245" s="1" t="s">
        <v>448</v>
      </c>
      <c r="B245" s="2" t="s">
        <v>350</v>
      </c>
      <c r="C245" s="2" t="s">
        <v>300</v>
      </c>
      <c r="D245" s="2" t="s">
        <v>431</v>
      </c>
      <c r="E245" s="6">
        <v>2700</v>
      </c>
      <c r="F245" s="18"/>
      <c r="G245" s="18"/>
      <c r="H245" s="18">
        <f>21222.12+43777.22-22749.77+89884.45+8303.77</f>
        <v>140437.78999999998</v>
      </c>
      <c r="I245" s="18">
        <v>345.49</v>
      </c>
      <c r="J245" s="18"/>
      <c r="K245" s="18"/>
      <c r="L245" s="19">
        <f t="shared" si="4"/>
        <v>140783.27999999997</v>
      </c>
      <c r="M245" s="8"/>
      <c r="N245" s="265"/>
    </row>
    <row r="246" spans="1:14" s="3" customFormat="1" ht="12.2" customHeight="1" x14ac:dyDescent="0.15">
      <c r="A246" s="1" t="s">
        <v>449</v>
      </c>
      <c r="B246" s="2" t="s">
        <v>350</v>
      </c>
      <c r="C246" s="2" t="s">
        <v>343</v>
      </c>
      <c r="D246" s="2" t="s">
        <v>431</v>
      </c>
      <c r="E246" s="6">
        <v>2800</v>
      </c>
      <c r="F246" s="18">
        <v>46456</v>
      </c>
      <c r="G246" s="18">
        <v>10270.74</v>
      </c>
      <c r="H246" s="18">
        <v>42708.49</v>
      </c>
      <c r="I246" s="18">
        <v>18581.97</v>
      </c>
      <c r="J246" s="18">
        <v>30158.799999999999</v>
      </c>
      <c r="K246" s="18">
        <v>600</v>
      </c>
      <c r="L246" s="19">
        <f>SUM(F246:K246)</f>
        <v>148776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2633060.4999999995</v>
      </c>
      <c r="G248" s="41">
        <f t="shared" si="5"/>
        <v>1365415.5399999998</v>
      </c>
      <c r="H248" s="41">
        <f t="shared" si="5"/>
        <v>806538.92999999993</v>
      </c>
      <c r="I248" s="41">
        <f t="shared" si="5"/>
        <v>293202.7699999999</v>
      </c>
      <c r="J248" s="41">
        <f t="shared" si="5"/>
        <v>168803.84</v>
      </c>
      <c r="K248" s="41">
        <f t="shared" si="5"/>
        <v>56308.68</v>
      </c>
      <c r="L248" s="41">
        <f t="shared" si="5"/>
        <v>5323330.26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75000</v>
      </c>
      <c r="G252" s="18">
        <f>18604.8+478.32+304.46+5658.94+15765.07+5.7+284.89</f>
        <v>41102.179999999993</v>
      </c>
      <c r="H252" s="18">
        <v>202.42</v>
      </c>
      <c r="I252" s="18"/>
      <c r="J252" s="18"/>
      <c r="K252" s="18"/>
      <c r="L252" s="19">
        <f t="shared" si="6"/>
        <v>116304.59999999999</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10039.969999999999</v>
      </c>
      <c r="I256" s="18"/>
      <c r="J256" s="18"/>
      <c r="K256" s="18"/>
      <c r="L256" s="19">
        <f t="shared" si="6"/>
        <v>10039.969999999999</v>
      </c>
      <c r="M256" s="8"/>
      <c r="N256" s="265"/>
    </row>
    <row r="257" spans="1:14" s="3" customFormat="1" ht="12.2" customHeight="1" thickTop="1" thickBot="1" x14ac:dyDescent="0.2">
      <c r="A257" s="38" t="s">
        <v>461</v>
      </c>
      <c r="B257" s="40">
        <v>10</v>
      </c>
      <c r="C257" s="40">
        <v>7</v>
      </c>
      <c r="D257" s="39" t="s">
        <v>431</v>
      </c>
      <c r="E257" s="40"/>
      <c r="F257" s="41">
        <f t="shared" ref="F257:K257" si="7">SUM(F251:F256)</f>
        <v>75000</v>
      </c>
      <c r="G257" s="41">
        <f t="shared" si="7"/>
        <v>41102.179999999993</v>
      </c>
      <c r="H257" s="41">
        <f t="shared" si="7"/>
        <v>10242.39</v>
      </c>
      <c r="I257" s="41">
        <f t="shared" si="7"/>
        <v>0</v>
      </c>
      <c r="J257" s="41">
        <f t="shared" si="7"/>
        <v>0</v>
      </c>
      <c r="K257" s="41">
        <f t="shared" si="7"/>
        <v>0</v>
      </c>
      <c r="L257" s="41">
        <f>SUM(F257:K257)</f>
        <v>126344.56999999999</v>
      </c>
      <c r="M257" s="8"/>
      <c r="N257" s="265"/>
    </row>
    <row r="258" spans="1:14" s="3" customFormat="1" ht="12.2" customHeight="1" thickTop="1" x14ac:dyDescent="0.15">
      <c r="A258" s="38" t="s">
        <v>462</v>
      </c>
      <c r="B258" s="40">
        <v>10</v>
      </c>
      <c r="C258" s="40">
        <v>8</v>
      </c>
      <c r="D258" s="39" t="s">
        <v>431</v>
      </c>
      <c r="E258" s="40"/>
      <c r="F258" s="41">
        <f t="shared" ref="F258:L258" si="8">F212+F230+F248+F257</f>
        <v>7579942.8300000001</v>
      </c>
      <c r="G258" s="41">
        <f t="shared" si="8"/>
        <v>4290734.43</v>
      </c>
      <c r="H258" s="41">
        <f t="shared" si="8"/>
        <v>1828359.7399999998</v>
      </c>
      <c r="I258" s="41">
        <f t="shared" si="8"/>
        <v>683874.6399999999</v>
      </c>
      <c r="J258" s="41">
        <f t="shared" si="8"/>
        <v>553848.77</v>
      </c>
      <c r="K258" s="41">
        <f t="shared" si="8"/>
        <v>91070.43</v>
      </c>
      <c r="L258" s="41">
        <f t="shared" si="8"/>
        <v>15027830.839999998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560000</v>
      </c>
      <c r="L261" s="19">
        <f>SUM(F261:K261)</f>
        <v>560000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84202</v>
      </c>
      <c r="L262" s="19">
        <f>SUM(F262:K262)</f>
        <v>84202</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10000</v>
      </c>
      <c r="L265" s="19">
        <f t="shared" ref="L265:L271" si="9">SUM(F265:K265)</f>
        <v>10000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8718.08</v>
      </c>
      <c r="L267" s="19">
        <f t="shared" si="9"/>
        <v>8718.08</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662920.07999999996</v>
      </c>
      <c r="L271" s="41">
        <f t="shared" si="9"/>
        <v>662920.07999999996</v>
      </c>
      <c r="M271" s="8"/>
      <c r="N271" s="265"/>
    </row>
    <row r="272" spans="1:14" s="34" customFormat="1" ht="12.2" customHeight="1" thickTop="1" x14ac:dyDescent="0.2">
      <c r="A272" s="43" t="s">
        <v>464</v>
      </c>
      <c r="B272" s="40">
        <v>10</v>
      </c>
      <c r="C272" s="40">
        <v>18</v>
      </c>
      <c r="D272" s="39" t="s">
        <v>431</v>
      </c>
      <c r="E272" s="40"/>
      <c r="F272" s="42">
        <f t="shared" ref="F272:L272" si="11">F258+F271</f>
        <v>7579942.8300000001</v>
      </c>
      <c r="G272" s="42">
        <f t="shared" si="11"/>
        <v>4290734.43</v>
      </c>
      <c r="H272" s="42">
        <f t="shared" si="11"/>
        <v>1828359.7399999998</v>
      </c>
      <c r="I272" s="42">
        <f t="shared" si="11"/>
        <v>683874.6399999999</v>
      </c>
      <c r="J272" s="42">
        <f t="shared" si="11"/>
        <v>553848.77</v>
      </c>
      <c r="K272" s="42">
        <f t="shared" si="11"/>
        <v>753990.51</v>
      </c>
      <c r="L272" s="42">
        <f t="shared" si="11"/>
        <v>15690750.919999998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14400+5375+3789.26+27085.72+232711.34</f>
        <v>283361.32</v>
      </c>
      <c r="G277" s="18">
        <f>1100.76+84.36+2900.78+394.31+1129.84+3024.04+67.29+15.57+1036.93+1003+2071.01+744.15+2522.54+49225.36+1367.67+268.11+16386.86+37749.31</f>
        <v>121091.89</v>
      </c>
      <c r="H277" s="18">
        <f>16200+3113.48+1900.2</f>
        <v>21213.68</v>
      </c>
      <c r="I277" s="18">
        <f>1351.58+521.7+372+17307.99+9635.34+7342+7324.35-2398.77</f>
        <v>41456.19</v>
      </c>
      <c r="J277" s="18">
        <f>62825.95+2999.94</f>
        <v>65825.89</v>
      </c>
      <c r="K277" s="18"/>
      <c r="L277" s="19">
        <f>SUM(F277:K277)</f>
        <v>532948.97</v>
      </c>
      <c r="M277" s="8"/>
      <c r="N277" s="265"/>
    </row>
    <row r="278" spans="1:14" s="3" customFormat="1" ht="12.2" customHeight="1" x14ac:dyDescent="0.15">
      <c r="A278" s="1" t="s">
        <v>439</v>
      </c>
      <c r="B278" s="2" t="s">
        <v>357</v>
      </c>
      <c r="C278" s="2" t="s">
        <v>291</v>
      </c>
      <c r="D278" s="2" t="s">
        <v>431</v>
      </c>
      <c r="E278" s="6">
        <v>1200</v>
      </c>
      <c r="F278" s="18">
        <f>5059.62+10951.08+63834.92+5119.46+34766.92</f>
        <v>119732</v>
      </c>
      <c r="G278" s="18">
        <f>2879.85+67.46+976.78+85+85+85+85+1755.52+70.9+11.34+1079.29+1884.84+85+85+4.41+75.44+0.06+85+85+7546.76+407.42+83.22+4520.42+13835.3+85+85+22237.65+410.86+90.15+2848.83+8714.73+85+85</f>
        <v>70521.23</v>
      </c>
      <c r="H278" s="18">
        <f>1329+1307.65+2700.51</f>
        <v>5337.16</v>
      </c>
      <c r="I278" s="18"/>
      <c r="J278" s="18">
        <f>1631</f>
        <v>1631</v>
      </c>
      <c r="K278" s="18">
        <f>6945.97</f>
        <v>6945.97</v>
      </c>
      <c r="L278" s="19">
        <f>SUM(F278:K278)</f>
        <v>204167.36</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33216.95</f>
        <v>33216.949999999997</v>
      </c>
      <c r="G280" s="18">
        <f>2539.44+6977.98</f>
        <v>9517.42</v>
      </c>
      <c r="H280" s="18"/>
      <c r="I280" s="18"/>
      <c r="J280" s="18"/>
      <c r="K280" s="18"/>
      <c r="L280" s="19">
        <f>SUM(F280:K280)</f>
        <v>42734.369999999995</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1000+6000+5400</f>
        <v>12400</v>
      </c>
      <c r="G282" s="18">
        <f>73.07+210.2+456.95+1261.2+412.56+1135.08</f>
        <v>3549.06</v>
      </c>
      <c r="H282" s="18">
        <f>42989.77+1125</f>
        <v>44114.77</v>
      </c>
      <c r="I282" s="18">
        <f>7618.75</f>
        <v>7618.75</v>
      </c>
      <c r="J282" s="18"/>
      <c r="K282" s="18"/>
      <c r="L282" s="19">
        <f t="shared" ref="L282:L288" si="12">SUM(F282:K282)</f>
        <v>67682.579999999987</v>
      </c>
      <c r="M282" s="8"/>
      <c r="N282" s="265"/>
    </row>
    <row r="283" spans="1:14" s="3" customFormat="1" ht="12.2" customHeight="1" x14ac:dyDescent="0.15">
      <c r="A283" s="1" t="s">
        <v>443</v>
      </c>
      <c r="B283" s="2" t="s">
        <v>357</v>
      </c>
      <c r="C283" s="2" t="s">
        <v>295</v>
      </c>
      <c r="D283" s="2" t="s">
        <v>431</v>
      </c>
      <c r="E283" s="6">
        <v>2200</v>
      </c>
      <c r="F283" s="18"/>
      <c r="G283" s="18"/>
      <c r="H283" s="18">
        <f>1220.91+19725+2230.92</f>
        <v>23176.83</v>
      </c>
      <c r="I283" s="18">
        <f>7062.09</f>
        <v>7062.09</v>
      </c>
      <c r="J283" s="18">
        <f>58299.07</f>
        <v>58299.07</v>
      </c>
      <c r="K283" s="18"/>
      <c r="L283" s="19">
        <f t="shared" si="12"/>
        <v>88537.99</v>
      </c>
      <c r="M283" s="8"/>
      <c r="N283" s="265"/>
    </row>
    <row r="284" spans="1:14" s="3" customFormat="1" ht="12.2" customHeight="1" x14ac:dyDescent="0.15">
      <c r="A284" s="1" t="s">
        <v>444</v>
      </c>
      <c r="B284" s="2" t="s">
        <v>357</v>
      </c>
      <c r="C284" s="2" t="s">
        <v>296</v>
      </c>
      <c r="D284" s="2" t="s">
        <v>431</v>
      </c>
      <c r="E284" s="6">
        <v>2300</v>
      </c>
      <c r="F284" s="18"/>
      <c r="G284" s="18"/>
      <c r="H284" s="18">
        <f>3175</f>
        <v>3175</v>
      </c>
      <c r="I284" s="18"/>
      <c r="J284" s="18"/>
      <c r="K284" s="18">
        <f>1216.8+3321.54+11570.17+1950+198.57+622+198.57+963.7</f>
        <v>20041.350000000002</v>
      </c>
      <c r="L284" s="19">
        <f t="shared" si="12"/>
        <v>23216.350000000002</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f>12869.26</f>
        <v>12869.26</v>
      </c>
      <c r="G286" s="18">
        <f>1198.23+61.62+10.82+924.95+1809.4</f>
        <v>4005.02</v>
      </c>
      <c r="H286" s="18"/>
      <c r="I286" s="18"/>
      <c r="J286" s="18"/>
      <c r="K286" s="18"/>
      <c r="L286" s="19">
        <f t="shared" si="12"/>
        <v>16874.28</v>
      </c>
      <c r="M286" s="8"/>
      <c r="N286" s="265"/>
    </row>
    <row r="287" spans="1:14" s="3" customFormat="1" ht="12.2" customHeight="1" x14ac:dyDescent="0.15">
      <c r="A287" s="1" t="s">
        <v>447</v>
      </c>
      <c r="B287" s="2" t="s">
        <v>357</v>
      </c>
      <c r="C287" s="2" t="s">
        <v>299</v>
      </c>
      <c r="D287" s="2" t="s">
        <v>431</v>
      </c>
      <c r="E287" s="6">
        <v>2600</v>
      </c>
      <c r="F287" s="18"/>
      <c r="G287" s="18"/>
      <c r="H287" s="18">
        <f>15110</f>
        <v>15110</v>
      </c>
      <c r="I287" s="18">
        <f>9501</f>
        <v>9501</v>
      </c>
      <c r="J287" s="18">
        <f>50683</f>
        <v>50683</v>
      </c>
      <c r="K287" s="18"/>
      <c r="L287" s="19">
        <f t="shared" si="12"/>
        <v>75294</v>
      </c>
      <c r="M287" s="8"/>
      <c r="N287" s="265"/>
    </row>
    <row r="288" spans="1:14" s="3" customFormat="1" ht="12.2" customHeight="1" x14ac:dyDescent="0.15">
      <c r="A288" s="1" t="s">
        <v>448</v>
      </c>
      <c r="B288" s="2" t="s">
        <v>357</v>
      </c>
      <c r="C288" s="2" t="s">
        <v>300</v>
      </c>
      <c r="D288" s="2" t="s">
        <v>431</v>
      </c>
      <c r="E288" s="6">
        <v>2700</v>
      </c>
      <c r="F288" s="18"/>
      <c r="G288" s="18"/>
      <c r="H288" s="18">
        <f>5000+3200+16831.5</f>
        <v>25031.5</v>
      </c>
      <c r="I288" s="18"/>
      <c r="J288" s="18"/>
      <c r="K288" s="18"/>
      <c r="L288" s="19">
        <f t="shared" si="12"/>
        <v>25031.5</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461579.53</v>
      </c>
      <c r="G291" s="42">
        <f t="shared" si="13"/>
        <v>208684.62</v>
      </c>
      <c r="H291" s="42">
        <f t="shared" si="13"/>
        <v>137158.94</v>
      </c>
      <c r="I291" s="42">
        <f t="shared" si="13"/>
        <v>65638.03</v>
      </c>
      <c r="J291" s="42">
        <f t="shared" si="13"/>
        <v>176438.96</v>
      </c>
      <c r="K291" s="42">
        <f t="shared" si="13"/>
        <v>26987.320000000003</v>
      </c>
      <c r="L291" s="41">
        <f t="shared" si="13"/>
        <v>1076487.3999999999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f>1999.96+2580+663.17+9200</f>
        <v>14443.130000000001</v>
      </c>
      <c r="J296" s="18"/>
      <c r="K296" s="18"/>
      <c r="L296" s="19">
        <f>SUM(F296:K296)</f>
        <v>14443.130000000001</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f>420</f>
        <v>420</v>
      </c>
      <c r="G301" s="18">
        <f>32.13</f>
        <v>32.130000000000003</v>
      </c>
      <c r="H301" s="18">
        <f>3610.71+3490</f>
        <v>7100.71</v>
      </c>
      <c r="I301" s="18"/>
      <c r="J301" s="18"/>
      <c r="K301" s="18">
        <f>1320</f>
        <v>1320</v>
      </c>
      <c r="L301" s="19">
        <f t="shared" ref="L301:L307" si="14">SUM(F301:K301)</f>
        <v>8872.84</v>
      </c>
      <c r="M301" s="8"/>
      <c r="N301" s="265"/>
    </row>
    <row r="302" spans="1:14" s="3" customFormat="1" ht="12.2" customHeight="1" x14ac:dyDescent="0.15">
      <c r="A302" s="1" t="s">
        <v>443</v>
      </c>
      <c r="B302" s="2" t="s">
        <v>358</v>
      </c>
      <c r="C302" s="2" t="s">
        <v>295</v>
      </c>
      <c r="D302" s="2" t="s">
        <v>431</v>
      </c>
      <c r="E302" s="6">
        <v>2200</v>
      </c>
      <c r="F302" s="18">
        <f>12500+2500</f>
        <v>15000</v>
      </c>
      <c r="G302" s="18">
        <f>932.25+2592.7+186.67+525.5</f>
        <v>4237.12</v>
      </c>
      <c r="H302" s="18">
        <f>4879+750+1500+1330.94+800+77236</f>
        <v>86495.94</v>
      </c>
      <c r="I302" s="18">
        <f>1039.6</f>
        <v>1039.5999999999999</v>
      </c>
      <c r="J302" s="18">
        <f>22499.75+100000-1</f>
        <v>122498.75</v>
      </c>
      <c r="K302" s="18">
        <f>483+1500+1600+500+1</f>
        <v>4084</v>
      </c>
      <c r="L302" s="19">
        <f t="shared" si="14"/>
        <v>233355.41</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f>1132.63+251.35+1162.71+454.55</f>
        <v>3001.2400000000002</v>
      </c>
      <c r="L303" s="19">
        <f t="shared" si="14"/>
        <v>3001.2400000000002</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f>629.95+56691.5</f>
        <v>57321.45</v>
      </c>
      <c r="K308" s="18"/>
      <c r="L308" s="19">
        <f>SUM(F308:K308)</f>
        <v>57321.45</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15420</v>
      </c>
      <c r="G310" s="42">
        <f t="shared" si="15"/>
        <v>4269.25</v>
      </c>
      <c r="H310" s="42">
        <f t="shared" si="15"/>
        <v>93596.650000000009</v>
      </c>
      <c r="I310" s="42">
        <f t="shared" si="15"/>
        <v>15482.730000000001</v>
      </c>
      <c r="J310" s="42">
        <f t="shared" si="15"/>
        <v>179820.2</v>
      </c>
      <c r="K310" s="42">
        <f t="shared" si="15"/>
        <v>8405.24</v>
      </c>
      <c r="L310" s="41">
        <f t="shared" si="15"/>
        <v>316994.07</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f>41164.47+2880</f>
        <v>44044.47</v>
      </c>
      <c r="G315" s="18">
        <f>12662.93+358.72+70.87+3149.15+8652.83+213.2+605.36</f>
        <v>25713.06</v>
      </c>
      <c r="H315" s="18"/>
      <c r="I315" s="18">
        <f>99601+22672.8+2157</f>
        <v>124430.8</v>
      </c>
      <c r="J315" s="18">
        <f>2700.51+12172.12</f>
        <v>14872.630000000001</v>
      </c>
      <c r="K315" s="18"/>
      <c r="L315" s="19">
        <f>SUM(F315:K315)</f>
        <v>209060.96000000002</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f>240+600+750+1680+960+10140</f>
        <v>14370</v>
      </c>
      <c r="G317" s="18">
        <f>18.36+45.9+126.12+55+128.13+302.7+68.78+201.8+775.71</f>
        <v>1722.5</v>
      </c>
      <c r="H317" s="18">
        <f>3124.08+3000+3000+411.25+5766.25+1125+2691.68+10439.38+852</f>
        <v>30409.64</v>
      </c>
      <c r="I317" s="18">
        <f>217.4+6802.21</f>
        <v>7019.61</v>
      </c>
      <c r="J317" s="18">
        <f>3155.49+3247</f>
        <v>6402.49</v>
      </c>
      <c r="K317" s="18"/>
      <c r="L317" s="19">
        <f>SUM(F317:K317)</f>
        <v>59924.24</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f>600+995+6800+3767.32</f>
        <v>12162.32</v>
      </c>
      <c r="I320" s="18">
        <f>26553.96+1780.39+3879.08</f>
        <v>32213.43</v>
      </c>
      <c r="J320" s="18">
        <f>25+17991.91</f>
        <v>18016.91</v>
      </c>
      <c r="K320" s="18">
        <f>14400</f>
        <v>14400</v>
      </c>
      <c r="L320" s="19">
        <f t="shared" ref="L320:L326" si="16">SUM(F320:K320)</f>
        <v>76792.66</v>
      </c>
      <c r="M320" s="8"/>
      <c r="N320" s="265"/>
    </row>
    <row r="321" spans="1:14" s="3" customFormat="1" ht="12.2" customHeight="1" x14ac:dyDescent="0.15">
      <c r="A321" s="1" t="s">
        <v>443</v>
      </c>
      <c r="B321" s="2" t="s">
        <v>359</v>
      </c>
      <c r="C321" s="2" t="s">
        <v>295</v>
      </c>
      <c r="D321" s="2" t="s">
        <v>431</v>
      </c>
      <c r="E321" s="6">
        <v>2200</v>
      </c>
      <c r="F321" s="18">
        <f>1980</f>
        <v>1980</v>
      </c>
      <c r="G321" s="18">
        <f>150.84+278.4</f>
        <v>429.24</v>
      </c>
      <c r="H321" s="18">
        <f>425+438.01+180+2100+13663.4+6800</f>
        <v>23606.41</v>
      </c>
      <c r="I321" s="18">
        <f>32+3213.79+172.03+178.55+9666.05+26140.08+5138.5</f>
        <v>44541</v>
      </c>
      <c r="J321" s="18">
        <f>11151.48+16991+1347.54+50000</f>
        <v>79490.02</v>
      </c>
      <c r="K321" s="18"/>
      <c r="L321" s="19">
        <f t="shared" si="16"/>
        <v>150046.66999999998</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f>368.54</f>
        <v>368.54</v>
      </c>
      <c r="L322" s="19">
        <f t="shared" si="16"/>
        <v>368.54</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f>2000+340</f>
        <v>2340</v>
      </c>
      <c r="I325" s="18"/>
      <c r="J325" s="18">
        <f>5.32+55924+655</f>
        <v>56584.32</v>
      </c>
      <c r="K325" s="18"/>
      <c r="L325" s="19">
        <f t="shared" si="16"/>
        <v>58924.32</v>
      </c>
      <c r="M325" s="8"/>
      <c r="N325" s="265"/>
    </row>
    <row r="326" spans="1:14" s="3" customFormat="1" ht="12.2" customHeight="1" x14ac:dyDescent="0.15">
      <c r="A326" s="1" t="s">
        <v>448</v>
      </c>
      <c r="B326" s="2" t="s">
        <v>359</v>
      </c>
      <c r="C326" s="2" t="s">
        <v>300</v>
      </c>
      <c r="D326" s="2" t="s">
        <v>431</v>
      </c>
      <c r="E326" s="6">
        <v>2700</v>
      </c>
      <c r="F326" s="18"/>
      <c r="G326" s="18"/>
      <c r="H326" s="18">
        <f>19800</f>
        <v>19800</v>
      </c>
      <c r="I326" s="18"/>
      <c r="J326" s="18"/>
      <c r="K326" s="18"/>
      <c r="L326" s="19">
        <f t="shared" si="16"/>
        <v>19800</v>
      </c>
      <c r="M326" s="8"/>
      <c r="N326" s="265"/>
    </row>
    <row r="327" spans="1:14" s="3" customFormat="1" ht="12.2" customHeight="1" x14ac:dyDescent="0.15">
      <c r="A327" s="1" t="s">
        <v>449</v>
      </c>
      <c r="B327" s="2" t="s">
        <v>359</v>
      </c>
      <c r="C327" s="2" t="s">
        <v>343</v>
      </c>
      <c r="D327" s="2" t="s">
        <v>431</v>
      </c>
      <c r="E327" s="6">
        <v>2800</v>
      </c>
      <c r="F327" s="18"/>
      <c r="G327" s="18"/>
      <c r="H327" s="18"/>
      <c r="I327" s="18"/>
      <c r="J327" s="18">
        <f>148.7</f>
        <v>148.69999999999999</v>
      </c>
      <c r="K327" s="18"/>
      <c r="L327" s="19">
        <f>SUM(F327:K327)</f>
        <v>148.69999999999999</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60394.47</v>
      </c>
      <c r="G329" s="42">
        <f t="shared" si="17"/>
        <v>27864.800000000003</v>
      </c>
      <c r="H329" s="42">
        <f t="shared" si="17"/>
        <v>88318.37</v>
      </c>
      <c r="I329" s="42">
        <f t="shared" si="17"/>
        <v>208204.84</v>
      </c>
      <c r="J329" s="42">
        <f t="shared" si="17"/>
        <v>175515.07</v>
      </c>
      <c r="K329" s="42">
        <f t="shared" si="17"/>
        <v>14768.54</v>
      </c>
      <c r="L329" s="41">
        <f t="shared" si="17"/>
        <v>575066.08999999985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f>2604+16380+8316+9800</f>
        <v>37100</v>
      </c>
      <c r="G334" s="18">
        <f>199.21+1188.93+228.34+2545.46+636.23+682.57+2060.04</f>
        <v>7540.78</v>
      </c>
      <c r="H334" s="18">
        <f>6626.88+7000+17032.51</f>
        <v>30659.39</v>
      </c>
      <c r="I334" s="18">
        <f>917.86+1000+56129.02+20041.75</f>
        <v>78088.63</v>
      </c>
      <c r="J334" s="18">
        <f>1479.6</f>
        <v>1479.6</v>
      </c>
      <c r="K334" s="18">
        <f>1369.45+1721.86+2117.76</f>
        <v>5209.07</v>
      </c>
      <c r="L334" s="19">
        <f t="shared" si="18"/>
        <v>160077.47</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37100</v>
      </c>
      <c r="G338" s="41">
        <f t="shared" si="19"/>
        <v>7540.78</v>
      </c>
      <c r="H338" s="41">
        <f t="shared" si="19"/>
        <v>30659.39</v>
      </c>
      <c r="I338" s="41">
        <f t="shared" si="19"/>
        <v>78088.63</v>
      </c>
      <c r="J338" s="41">
        <f t="shared" si="19"/>
        <v>1479.6</v>
      </c>
      <c r="K338" s="41">
        <f t="shared" si="19"/>
        <v>5209.07</v>
      </c>
      <c r="L338" s="41">
        <f t="shared" si="18"/>
        <v>160077.47</v>
      </c>
      <c r="M338" s="8"/>
      <c r="N338" s="265"/>
    </row>
    <row r="339" spans="1:43" s="3" customFormat="1" ht="12.2" customHeight="1" thickTop="1" x14ac:dyDescent="0.15">
      <c r="A339" s="38" t="s">
        <v>468</v>
      </c>
      <c r="B339" s="40">
        <v>14</v>
      </c>
      <c r="C339" s="40">
        <v>7</v>
      </c>
      <c r="D339" s="39" t="s">
        <v>431</v>
      </c>
      <c r="E339" s="40"/>
      <c r="F339" s="41">
        <f t="shared" ref="F339:L339" si="20">F291+F310+F329+F338</f>
        <v>574494</v>
      </c>
      <c r="G339" s="41">
        <f t="shared" si="20"/>
        <v>248359.44999999998</v>
      </c>
      <c r="H339" s="41">
        <f t="shared" si="20"/>
        <v>349733.35000000003</v>
      </c>
      <c r="I339" s="41">
        <f t="shared" si="20"/>
        <v>367414.23</v>
      </c>
      <c r="J339" s="41">
        <f t="shared" si="20"/>
        <v>533253.82999999996</v>
      </c>
      <c r="K339" s="41">
        <f t="shared" si="20"/>
        <v>55370.170000000006</v>
      </c>
      <c r="L339" s="41">
        <f t="shared" si="20"/>
        <v>2128625.0299999998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574494</v>
      </c>
      <c r="G353" s="41">
        <f>G339</f>
        <v>248359.44999999998</v>
      </c>
      <c r="H353" s="41">
        <f>H339</f>
        <v>349733.35000000003</v>
      </c>
      <c r="I353" s="41">
        <f>I339</f>
        <v>367414.23</v>
      </c>
      <c r="J353" s="41">
        <f>J339</f>
        <v>533253.82999999996</v>
      </c>
      <c r="K353" s="47">
        <f>K339+K352</f>
        <v>55370.170000000006</v>
      </c>
      <c r="L353" s="41">
        <f>L339+L352</f>
        <v>2128625.0299999998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168605.66+14524</f>
        <v>183129.66</v>
      </c>
      <c r="I359" s="18">
        <f>139.83+691.98</f>
        <v>831.81000000000006</v>
      </c>
      <c r="J359" s="18">
        <f>51082.8</f>
        <v>51082.8</v>
      </c>
      <c r="K359" s="18"/>
      <c r="L359" s="13">
        <f>SUM(F359:K359)</f>
        <v>235044.27000000002</v>
      </c>
      <c r="M359" s="8"/>
      <c r="N359" s="265"/>
    </row>
    <row r="360" spans="1:22" s="3" customFormat="1" ht="12.2" customHeight="1" x14ac:dyDescent="0.15">
      <c r="A360" s="1" t="s">
        <v>542</v>
      </c>
      <c r="B360" s="2" t="s">
        <v>366</v>
      </c>
      <c r="C360" s="6">
        <v>2</v>
      </c>
      <c r="D360" s="2" t="s">
        <v>431</v>
      </c>
      <c r="E360" s="6"/>
      <c r="F360" s="18"/>
      <c r="G360" s="18"/>
      <c r="H360" s="18">
        <f>47717.22+4303</f>
        <v>52020.22</v>
      </c>
      <c r="I360" s="18">
        <v>583.11</v>
      </c>
      <c r="J360" s="18"/>
      <c r="K360" s="18"/>
      <c r="L360" s="19">
        <f>SUM(F360:K360)</f>
        <v>52603.33</v>
      </c>
      <c r="M360" s="8"/>
      <c r="N360" s="265"/>
    </row>
    <row r="361" spans="1:22" s="3" customFormat="1" ht="12.2" customHeight="1" x14ac:dyDescent="0.15">
      <c r="A361" s="3" t="s">
        <v>543</v>
      </c>
      <c r="B361" s="2" t="s">
        <v>366</v>
      </c>
      <c r="C361" s="6">
        <v>3</v>
      </c>
      <c r="D361" s="2" t="s">
        <v>431</v>
      </c>
      <c r="E361" s="6"/>
      <c r="F361" s="18"/>
      <c r="G361" s="18"/>
      <c r="H361" s="18">
        <f>114827.48+8070.73</f>
        <v>122898.20999999999</v>
      </c>
      <c r="I361" s="18">
        <f>1767.72-583.11</f>
        <v>1184.6100000000001</v>
      </c>
      <c r="J361" s="18">
        <f>3175.45</f>
        <v>3175.45</v>
      </c>
      <c r="K361" s="18"/>
      <c r="L361" s="19">
        <f>SUM(F361:K361)</f>
        <v>127258.26999999999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358048.08999999997</v>
      </c>
      <c r="I363" s="47">
        <f t="shared" si="22"/>
        <v>2599.5300000000002</v>
      </c>
      <c r="J363" s="47">
        <f t="shared" si="22"/>
        <v>54258.25</v>
      </c>
      <c r="K363" s="47">
        <f t="shared" si="22"/>
        <v>0</v>
      </c>
      <c r="L363" s="47">
        <f t="shared" si="22"/>
        <v>414905.87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831.81</v>
      </c>
      <c r="G369" s="63">
        <v>583.11</v>
      </c>
      <c r="H369" s="63">
        <v>1184.6099999999999</v>
      </c>
      <c r="I369" s="56">
        <f>SUM(F369:H369)</f>
        <v>2599.5299999999997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831.81</v>
      </c>
      <c r="G370" s="47">
        <f>SUM(G368:G369)</f>
        <v>583.11</v>
      </c>
      <c r="H370" s="47">
        <f>SUM(H368:H369)</f>
        <v>1184.6099999999999</v>
      </c>
      <c r="I370" s="47">
        <f>SUM(I368:I369)</f>
        <v>2599.5299999999997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8718.08</v>
      </c>
      <c r="H390" s="18">
        <v>651.04999999999995</v>
      </c>
      <c r="I390" s="18"/>
      <c r="J390" s="24" t="s">
        <v>288</v>
      </c>
      <c r="K390" s="24" t="s">
        <v>288</v>
      </c>
      <c r="L390" s="56">
        <f t="shared" si="25"/>
        <v>9369.1299999999992</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210.24</v>
      </c>
      <c r="I393" s="18"/>
      <c r="J393" s="24" t="s">
        <v>288</v>
      </c>
      <c r="K393" s="24" t="s">
        <v>288</v>
      </c>
      <c r="L393" s="56">
        <f t="shared" si="25"/>
        <v>210.24</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8718.08</v>
      </c>
      <c r="H394" s="139">
        <f>SUM(H388:H393)</f>
        <v>861.29</v>
      </c>
      <c r="I394" s="65">
        <f>SUM(I388:I393)</f>
        <v>0</v>
      </c>
      <c r="J394" s="45" t="s">
        <v>288</v>
      </c>
      <c r="K394" s="45" t="s">
        <v>288</v>
      </c>
      <c r="L394" s="47">
        <f>SUM(L388:L393)</f>
        <v>9579.369999999999</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2">
      <c r="A398" s="79" t="s">
        <v>515</v>
      </c>
      <c r="B398" s="2" t="s">
        <v>381</v>
      </c>
      <c r="C398" s="6">
        <v>10</v>
      </c>
      <c r="D398" s="2" t="s">
        <v>432</v>
      </c>
      <c r="E398" s="6"/>
      <c r="F398" s="372"/>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8718.08</v>
      </c>
      <c r="H409" s="47">
        <f>H394+H402+H408</f>
        <v>861.29</v>
      </c>
      <c r="I409" s="47">
        <f>I394+I402+I408</f>
        <v>0</v>
      </c>
      <c r="J409" s="24" t="s">
        <v>288</v>
      </c>
      <c r="K409" s="24" t="s">
        <v>288</v>
      </c>
      <c r="L409" s="47">
        <f>L394+L402+L408</f>
        <v>9579.369999999999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46825.66</v>
      </c>
      <c r="L416" s="56">
        <f t="shared" si="27"/>
        <v>46825.66</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46825.66</v>
      </c>
      <c r="L420" s="47">
        <f t="shared" si="28"/>
        <v>46825.66</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46825.66</v>
      </c>
      <c r="L435" s="47">
        <f t="shared" si="32"/>
        <v>46825.66</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872053.59</v>
      </c>
      <c r="G440" s="18"/>
      <c r="H440" s="18"/>
      <c r="I440" s="56">
        <f t="shared" ref="I440:I446" si="33">SUM(F440:H440)</f>
        <v>872053.59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872053.59</v>
      </c>
      <c r="G447" s="13">
        <f>SUM(G440:G446)</f>
        <v>0</v>
      </c>
      <c r="H447" s="13">
        <f>SUM(H440:H446)</f>
        <v>0</v>
      </c>
      <c r="I447" s="13">
        <f>SUM(I440:I446)</f>
        <v>872053.59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872053.59</v>
      </c>
      <c r="G457" s="18"/>
      <c r="H457" s="18"/>
      <c r="I457" s="56">
        <f t="shared" si="34"/>
        <v>872053.59</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872053.59</v>
      </c>
      <c r="G461" s="83">
        <f>SUM(G455:G460)</f>
        <v>0</v>
      </c>
      <c r="H461" s="83">
        <f>SUM(H455:H460)</f>
        <v>0</v>
      </c>
      <c r="I461" s="83">
        <f>SUM(I455:I460)</f>
        <v>872053.59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872053.59</v>
      </c>
      <c r="G462" s="42">
        <f>G453+G461</f>
        <v>0</v>
      </c>
      <c r="H462" s="42">
        <f>H453+H461</f>
        <v>0</v>
      </c>
      <c r="I462" s="42">
        <f>I453+I461</f>
        <v>872053.59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946982.16</v>
      </c>
      <c r="G466" s="18"/>
      <c r="H466" s="18"/>
      <c r="I466" s="18"/>
      <c r="J466" s="18">
        <f>698606.12+210693.76</f>
        <v>909299.88</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16046715.33</v>
      </c>
      <c r="G469" s="18">
        <v>478614.64</v>
      </c>
      <c r="H469" s="18">
        <v>2128625.0299999998</v>
      </c>
      <c r="I469" s="18"/>
      <c r="J469" s="18">
        <f>8718.08+651.05+210.24</f>
        <v>9579.369999999999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16046715.33</v>
      </c>
      <c r="G471" s="53">
        <f>SUM(G469:G470)</f>
        <v>478614.64</v>
      </c>
      <c r="H471" s="53">
        <f>SUM(H469:H470)</f>
        <v>2128625.0299999998</v>
      </c>
      <c r="I471" s="53">
        <f>SUM(I469:I470)</f>
        <v>0</v>
      </c>
      <c r="J471" s="53">
        <f>SUM(J469:J470)</f>
        <v>9579.369999999999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15690750.92</v>
      </c>
      <c r="G473" s="18">
        <v>414905.87</v>
      </c>
      <c r="H473" s="18">
        <v>2128625.0299999998</v>
      </c>
      <c r="I473" s="18"/>
      <c r="J473" s="18">
        <v>46825.66</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15690750.92</v>
      </c>
      <c r="G475" s="53">
        <f>SUM(G473:G474)</f>
        <v>414905.87</v>
      </c>
      <c r="H475" s="53">
        <f>SUM(H473:H474)</f>
        <v>2128625.0299999998</v>
      </c>
      <c r="I475" s="53">
        <f>SUM(I473:I474)</f>
        <v>0</v>
      </c>
      <c r="J475" s="53">
        <f>SUM(J473:J474)</f>
        <v>46825.66</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1302946.5699999984</v>
      </c>
      <c r="G477" s="53">
        <f>(G466+G471)- G475</f>
        <v>63708.770000000019</v>
      </c>
      <c r="H477" s="53">
        <f>(H466+H471)- H475</f>
        <v>0</v>
      </c>
      <c r="I477" s="53">
        <f>(I466+I471)- I475</f>
        <v>0</v>
      </c>
      <c r="J477" s="53">
        <f>(J466+J471)- J475</f>
        <v>872053.59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290409.24+15343.73+47970+33591.52+121276.66+34924.5+467291.55+9219.44+12490.43+16075.01+74917.77</f>
        <v>1123509.8499999999</v>
      </c>
      <c r="G522" s="18">
        <f>326258.69+9302.4+18604.74+9845.26+37676.15+12558.75+10443.88+608.82+478.32+239.16+717.48+239.16+2974.83+271.1+2594.6+10118.3+7061.08+25492.44+7341.1+160.94+17.09+25.02+5.7+11.4+5.7+3558.08+94.56+47.28+141.84+47.28+57724.72+1879.05+5852.68+3554.87+2370.39+8762.75+2499.77+63248.13+1296.25+10181.93+61044+273.76+149.87+460.72+155.8</f>
        <v>706395.84000000032</v>
      </c>
      <c r="H522" s="18">
        <f>10829.22+33954.8+4843+1994.88+70861.4</f>
        <v>122483.29999999999</v>
      </c>
      <c r="I522" s="18">
        <f>24.89+1965.09+1519.73+515.56+1997.64+2572.36+99.9+565.96+997.43+1295.27+2499.72+467.5+59.98-0.01</f>
        <v>14581.02</v>
      </c>
      <c r="J522" s="18">
        <f>218.92+462.99+1398.98+195.17</f>
        <v>2276.06</v>
      </c>
      <c r="K522" s="18">
        <f>350+365+26.72</f>
        <v>741.72</v>
      </c>
      <c r="L522" s="88">
        <f>SUM(F522:K522)</f>
        <v>1969987.7900000003</v>
      </c>
      <c r="N522" s="264"/>
    </row>
    <row r="523" spans="1:14" s="52" customFormat="1" ht="12.2" customHeight="1" x14ac:dyDescent="0.2">
      <c r="A523" s="22" t="s">
        <v>634</v>
      </c>
      <c r="B523" s="105">
        <v>21</v>
      </c>
      <c r="C523" s="115">
        <v>2</v>
      </c>
      <c r="D523" s="2" t="s">
        <v>432</v>
      </c>
      <c r="E523" s="115"/>
      <c r="F523" s="18">
        <f>68870+72143.84+13436.54+16595.79+13969.8+73044.69+2000+175</f>
        <v>260235.66</v>
      </c>
      <c r="G523" s="18">
        <f>37209.6+62.32+66.03+60.09+339.05+632.1+5.7+5.7+5.48+28.98+44.17+2936.44+3488.48+2824.38+15164.75+14476.54+994.26+95.66+95.66+95.66+573.99+1913.28+5023.45+5023.45+3937.95+17488.9+113.46+18.96+18.96+18.96+10353.01+5307.07+948.01+1208.86+1000.01+10269.98</f>
        <v>141849.35000000003</v>
      </c>
      <c r="H523" s="18">
        <f>3600+11591.8+1800</f>
        <v>16991.8</v>
      </c>
      <c r="I523" s="18">
        <f>385.19+486.98+1315.62</f>
        <v>2187.79</v>
      </c>
      <c r="J523" s="18">
        <f>56.11</f>
        <v>56.11</v>
      </c>
      <c r="K523" s="18">
        <f>-300.6</f>
        <v>-300.60000000000002</v>
      </c>
      <c r="L523" s="88">
        <f>SUM(F523:K523)</f>
        <v>421020.11</v>
      </c>
      <c r="N523" s="264"/>
    </row>
    <row r="524" spans="1:14" s="52" customFormat="1" ht="12.2" customHeight="1" thickBot="1" x14ac:dyDescent="0.25">
      <c r="A524" s="22" t="s">
        <v>635</v>
      </c>
      <c r="B524" s="105">
        <v>21</v>
      </c>
      <c r="C524" s="115">
        <v>3</v>
      </c>
      <c r="D524" s="2" t="s">
        <v>432</v>
      </c>
      <c r="E524" s="115"/>
      <c r="F524" s="18">
        <f>52020+108216.16+20154.94+1725+24893.51+20954.7+93892.61+1144.94+7662.84+2627.5</f>
        <v>333292.20000000007</v>
      </c>
      <c r="G524" s="18">
        <f>55814.22+26233.24+5907.05+7535.3+7535.3+1434.96+860.97+143.5+143.5+143.5+470.56+170.22+28.32+28.32+28.32+11294.97+7959.94+87.59+1422.13+1812.81+1500.26+13201.26+11297.15+22746.91+4236.44+5232.61+4404.66-41.59+43.52+5.7+5.7+5.7+647.68+476.3+89.77+98.67+93.48</f>
        <v>193098.94000000006</v>
      </c>
      <c r="H524" s="18">
        <f>395+823.2+4296.42+18593.4+1000+3655+12708.36+249345.99</f>
        <v>290817.37</v>
      </c>
      <c r="I524" s="18">
        <f>98+1061.56+135.72+994.38+1278.76+174.66</f>
        <v>3743.08</v>
      </c>
      <c r="J524" s="18">
        <f>34.89+277.99</f>
        <v>312.88</v>
      </c>
      <c r="K524" s="18">
        <f>150+36.75+2583.14</f>
        <v>2769.89</v>
      </c>
      <c r="L524" s="88">
        <f>SUM(F524:K524)</f>
        <v>824034.3600000001</v>
      </c>
      <c r="N524" s="264"/>
    </row>
    <row r="525" spans="1:14" s="52" customFormat="1" ht="12.2" customHeight="1" thickTop="1" x14ac:dyDescent="0.2">
      <c r="A525" s="139" t="s">
        <v>63</v>
      </c>
      <c r="B525" s="107">
        <v>21</v>
      </c>
      <c r="C525" s="194">
        <v>4</v>
      </c>
      <c r="D525" s="195" t="s">
        <v>432</v>
      </c>
      <c r="E525" s="194"/>
      <c r="F525" s="108">
        <f>SUM(F522:F524)</f>
        <v>1717037.71</v>
      </c>
      <c r="G525" s="108">
        <f t="shared" ref="G525:L525" si="36">SUM(G522:G524)</f>
        <v>1041344.1300000005</v>
      </c>
      <c r="H525" s="108">
        <f t="shared" si="36"/>
        <v>430292.47</v>
      </c>
      <c r="I525" s="108">
        <f t="shared" si="36"/>
        <v>20511.89</v>
      </c>
      <c r="J525" s="108">
        <f t="shared" si="36"/>
        <v>2645.05</v>
      </c>
      <c r="K525" s="108">
        <f t="shared" si="36"/>
        <v>3211.0099999999998</v>
      </c>
      <c r="L525" s="89">
        <f t="shared" si="36"/>
        <v>3215042.2600000007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5059.62+5119.46+34766.25</f>
        <v>44945.33</v>
      </c>
      <c r="G527" s="18">
        <f>2879.85+22237.65+67.46+410.86+4.41+90.15+0.06+976.78+8714.73+85+85+85+75.44+2848.83+85+85+85</f>
        <v>38816.22</v>
      </c>
      <c r="H527" s="18">
        <f>23214</f>
        <v>23214</v>
      </c>
      <c r="I527" s="18"/>
      <c r="J527" s="18">
        <f>2700.51+1631</f>
        <v>4331.51</v>
      </c>
      <c r="K527" s="18"/>
      <c r="L527" s="88">
        <f>SUM(F527:K527)</f>
        <v>111307.06</v>
      </c>
      <c r="M527" s="8"/>
      <c r="N527" s="265"/>
    </row>
    <row r="528" spans="1:14" s="3" customFormat="1" ht="12.2" customHeight="1" x14ac:dyDescent="0.15">
      <c r="A528" s="22" t="s">
        <v>634</v>
      </c>
      <c r="B528" s="105">
        <v>21</v>
      </c>
      <c r="C528" s="115">
        <v>6</v>
      </c>
      <c r="D528" s="2" t="s">
        <v>432</v>
      </c>
      <c r="E528" s="115"/>
      <c r="F528" s="18"/>
      <c r="G528" s="18"/>
      <c r="H528" s="18">
        <f>6878</f>
        <v>6878</v>
      </c>
      <c r="I528" s="18"/>
      <c r="J528" s="18"/>
      <c r="K528" s="18"/>
      <c r="L528" s="88">
        <f>SUM(F528:K528)</f>
        <v>6878</v>
      </c>
      <c r="M528" s="8"/>
      <c r="N528" s="265"/>
    </row>
    <row r="529" spans="1:14" s="3" customFormat="1" ht="12.2" customHeight="1" thickBot="1" x14ac:dyDescent="0.2">
      <c r="A529" s="22" t="s">
        <v>635</v>
      </c>
      <c r="B529" s="118">
        <v>21</v>
      </c>
      <c r="C529" s="118">
        <v>7</v>
      </c>
      <c r="D529" s="2" t="s">
        <v>432</v>
      </c>
      <c r="E529" s="118"/>
      <c r="F529" s="18">
        <f>10951.08+63835.59</f>
        <v>74786.67</v>
      </c>
      <c r="G529" s="18">
        <f>85+85+85+85+85+85+13835.3+1884.84+83.22+11.34+407.42+70.9+7546.76+1755.52+1079.29+4520.42</f>
        <v>31705.010000000002</v>
      </c>
      <c r="H529" s="18">
        <f>12897.87</f>
        <v>12897.87</v>
      </c>
      <c r="I529" s="18"/>
      <c r="J529" s="18"/>
      <c r="K529" s="18"/>
      <c r="L529" s="88">
        <f>SUM(F529:K529)</f>
        <v>119389.54999999999</v>
      </c>
      <c r="M529" s="8"/>
      <c r="N529" s="265"/>
    </row>
    <row r="530" spans="1:14" s="3" customFormat="1" ht="12.2" customHeight="1" thickTop="1" x14ac:dyDescent="0.15">
      <c r="A530" s="139" t="s">
        <v>65</v>
      </c>
      <c r="B530" s="107">
        <v>21</v>
      </c>
      <c r="C530" s="107">
        <v>8</v>
      </c>
      <c r="D530" s="158" t="s">
        <v>432</v>
      </c>
      <c r="E530" s="107"/>
      <c r="F530" s="89">
        <f>SUM(F527:F529)</f>
        <v>119732</v>
      </c>
      <c r="G530" s="89">
        <f t="shared" ref="G530:L530" si="37">SUM(G527:G529)</f>
        <v>70521.23000000001</v>
      </c>
      <c r="H530" s="89">
        <f t="shared" si="37"/>
        <v>42989.87</v>
      </c>
      <c r="I530" s="89">
        <f t="shared" si="37"/>
        <v>0</v>
      </c>
      <c r="J530" s="89">
        <f t="shared" si="37"/>
        <v>4331.51</v>
      </c>
      <c r="K530" s="89">
        <f t="shared" si="37"/>
        <v>0</v>
      </c>
      <c r="L530" s="89">
        <f t="shared" si="37"/>
        <v>237574.61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1728+53936</f>
        <v>55664</v>
      </c>
      <c r="I542" s="18"/>
      <c r="J542" s="18"/>
      <c r="K542" s="18"/>
      <c r="L542" s="88">
        <f>SUM(F542:K542)</f>
        <v>55664</v>
      </c>
      <c r="M542" s="8"/>
      <c r="N542" s="265"/>
    </row>
    <row r="543" spans="1:14" s="3" customFormat="1" ht="12.2" customHeight="1" x14ac:dyDescent="0.15">
      <c r="A543" s="22" t="s">
        <v>634</v>
      </c>
      <c r="B543" s="105">
        <v>21</v>
      </c>
      <c r="C543" s="105">
        <v>18</v>
      </c>
      <c r="D543" s="2" t="s">
        <v>432</v>
      </c>
      <c r="E543" s="105"/>
      <c r="F543" s="18"/>
      <c r="G543" s="18"/>
      <c r="H543" s="18">
        <f>512+15981</f>
        <v>16493</v>
      </c>
      <c r="I543" s="18"/>
      <c r="J543" s="18"/>
      <c r="K543" s="18"/>
      <c r="L543" s="88">
        <f>SUM(F543:K543)</f>
        <v>16493</v>
      </c>
      <c r="M543" s="8"/>
      <c r="N543" s="265"/>
    </row>
    <row r="544" spans="1:14" s="3" customFormat="1" ht="12.2" customHeight="1" thickBot="1" x14ac:dyDescent="0.2">
      <c r="A544" s="22" t="s">
        <v>635</v>
      </c>
      <c r="B544" s="105">
        <v>21</v>
      </c>
      <c r="C544" s="105">
        <v>19</v>
      </c>
      <c r="D544" s="2" t="s">
        <v>432</v>
      </c>
      <c r="E544" s="105"/>
      <c r="F544" s="18"/>
      <c r="G544" s="18"/>
      <c r="H544" s="18">
        <f>960+29965.16</f>
        <v>30925.16</v>
      </c>
      <c r="I544" s="18"/>
      <c r="J544" s="18"/>
      <c r="K544" s="18"/>
      <c r="L544" s="88">
        <f>SUM(F544:K544)</f>
        <v>30925.16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103082.16</v>
      </c>
      <c r="I545" s="192">
        <f t="shared" si="40"/>
        <v>0</v>
      </c>
      <c r="J545" s="192">
        <f t="shared" si="40"/>
        <v>0</v>
      </c>
      <c r="K545" s="192">
        <f t="shared" si="40"/>
        <v>0</v>
      </c>
      <c r="L545" s="192">
        <f t="shared" si="40"/>
        <v>103082.16</v>
      </c>
      <c r="M545" s="8"/>
      <c r="N545" s="265"/>
    </row>
    <row r="546" spans="1:14" s="3" customFormat="1" ht="12.2" customHeight="1" thickTop="1" x14ac:dyDescent="0.15">
      <c r="A546" s="98" t="s">
        <v>72</v>
      </c>
      <c r="B546" s="107">
        <v>21</v>
      </c>
      <c r="C546" s="107">
        <v>21</v>
      </c>
      <c r="D546" s="158" t="s">
        <v>432</v>
      </c>
      <c r="E546" s="107"/>
      <c r="F546" s="89">
        <f>F525+F530+F535+F540+F545</f>
        <v>1836769.71</v>
      </c>
      <c r="G546" s="89">
        <f t="shared" ref="G546:L546" si="41">G525+G530+G535+G540+G545</f>
        <v>1111865.3600000006</v>
      </c>
      <c r="H546" s="89">
        <f t="shared" si="41"/>
        <v>576364.5</v>
      </c>
      <c r="I546" s="89">
        <f t="shared" si="41"/>
        <v>20511.89</v>
      </c>
      <c r="J546" s="89">
        <f t="shared" si="41"/>
        <v>6976.56</v>
      </c>
      <c r="K546" s="89">
        <f t="shared" si="41"/>
        <v>3211.0099999999998</v>
      </c>
      <c r="L546" s="89">
        <f t="shared" si="41"/>
        <v>3555699.0300000007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1969987.7900000003</v>
      </c>
      <c r="G550" s="87">
        <f>L527</f>
        <v>111307.06</v>
      </c>
      <c r="H550" s="87">
        <f>L532</f>
        <v>0</v>
      </c>
      <c r="I550" s="87">
        <f>L537</f>
        <v>0</v>
      </c>
      <c r="J550" s="87">
        <f>L542</f>
        <v>55664</v>
      </c>
      <c r="K550" s="87">
        <f>SUM(F550:J550)</f>
        <v>2136958.8500000006</v>
      </c>
      <c r="L550" s="24" t="s">
        <v>288</v>
      </c>
      <c r="M550" s="8"/>
      <c r="N550" s="265"/>
    </row>
    <row r="551" spans="1:14" s="3" customFormat="1" ht="12.2" customHeight="1" x14ac:dyDescent="0.15">
      <c r="A551" s="22" t="s">
        <v>634</v>
      </c>
      <c r="B551" s="75">
        <v>21</v>
      </c>
      <c r="C551" s="75">
        <v>23</v>
      </c>
      <c r="D551" s="2" t="s">
        <v>432</v>
      </c>
      <c r="E551" s="75"/>
      <c r="F551" s="87">
        <f>L523</f>
        <v>421020.11</v>
      </c>
      <c r="G551" s="87">
        <f>L528</f>
        <v>6878</v>
      </c>
      <c r="H551" s="87">
        <f>L533</f>
        <v>0</v>
      </c>
      <c r="I551" s="87">
        <f>L538</f>
        <v>0</v>
      </c>
      <c r="J551" s="87">
        <f>L543</f>
        <v>16493</v>
      </c>
      <c r="K551" s="87">
        <f>SUM(F551:J551)</f>
        <v>444391.11</v>
      </c>
      <c r="L551" s="24" t="s">
        <v>288</v>
      </c>
      <c r="M551" s="8"/>
      <c r="N551" s="265"/>
    </row>
    <row r="552" spans="1:14" s="3" customFormat="1" ht="12.2" customHeight="1" thickBot="1" x14ac:dyDescent="0.2">
      <c r="A552" s="22" t="s">
        <v>635</v>
      </c>
      <c r="B552" s="75">
        <v>21</v>
      </c>
      <c r="C552" s="75">
        <v>24</v>
      </c>
      <c r="D552" s="2" t="s">
        <v>432</v>
      </c>
      <c r="E552" s="75"/>
      <c r="F552" s="87">
        <f>L524</f>
        <v>824034.3600000001</v>
      </c>
      <c r="G552" s="87">
        <f>L529</f>
        <v>119389.54999999999</v>
      </c>
      <c r="H552" s="87">
        <f>L534</f>
        <v>0</v>
      </c>
      <c r="I552" s="87">
        <f>L539</f>
        <v>0</v>
      </c>
      <c r="J552" s="87">
        <f>L544</f>
        <v>30925.16</v>
      </c>
      <c r="K552" s="87">
        <f>SUM(F552:J552)</f>
        <v>974349.07000000018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3215042.2600000007</v>
      </c>
      <c r="G553" s="89">
        <f t="shared" si="42"/>
        <v>237574.61</v>
      </c>
      <c r="H553" s="89">
        <f t="shared" si="42"/>
        <v>0</v>
      </c>
      <c r="I553" s="89">
        <f t="shared" si="42"/>
        <v>0</v>
      </c>
      <c r="J553" s="89">
        <f t="shared" si="42"/>
        <v>103082.16</v>
      </c>
      <c r="K553" s="89">
        <f t="shared" si="42"/>
        <v>3555699.0300000007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f>47970</f>
        <v>47970</v>
      </c>
      <c r="G563" s="18">
        <f>18604.74+478.32+94.56+3554.87+10118.3+25.02+273.76</f>
        <v>33149.57</v>
      </c>
      <c r="H563" s="18"/>
      <c r="I563" s="18">
        <f>515.56+2499.72</f>
        <v>3015.2799999999997</v>
      </c>
      <c r="J563" s="18">
        <f>462.99</f>
        <v>462.99</v>
      </c>
      <c r="K563" s="18"/>
      <c r="L563" s="88">
        <f>SUM(F563:K563)</f>
        <v>84597.840000000011</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f>1144.94</f>
        <v>1144.94</v>
      </c>
      <c r="G565" s="18">
        <f>87.59</f>
        <v>87.59</v>
      </c>
      <c r="H565" s="18"/>
      <c r="I565" s="18">
        <f>135.72</f>
        <v>135.72</v>
      </c>
      <c r="J565" s="18">
        <f>277.99</f>
        <v>277.99</v>
      </c>
      <c r="K565" s="18"/>
      <c r="L565" s="88">
        <f>SUM(F565:K565)</f>
        <v>1646.24</v>
      </c>
      <c r="M565" s="8"/>
      <c r="N565" s="265"/>
    </row>
    <row r="566" spans="1:14" s="3" customFormat="1" ht="12.2" customHeight="1" thickTop="1" x14ac:dyDescent="0.15">
      <c r="A566" s="139" t="s">
        <v>65</v>
      </c>
      <c r="B566" s="107">
        <v>22</v>
      </c>
      <c r="C566" s="107">
        <v>8</v>
      </c>
      <c r="D566" s="195" t="s">
        <v>432</v>
      </c>
      <c r="E566" s="107"/>
      <c r="F566" s="89">
        <f t="shared" ref="F566:L566" si="44">SUM(F563:F565)</f>
        <v>49114.94</v>
      </c>
      <c r="G566" s="89">
        <f t="shared" si="44"/>
        <v>33237.159999999996</v>
      </c>
      <c r="H566" s="89">
        <f t="shared" si="44"/>
        <v>0</v>
      </c>
      <c r="I566" s="89">
        <f t="shared" si="44"/>
        <v>3150.9999999999995</v>
      </c>
      <c r="J566" s="89">
        <f t="shared" si="44"/>
        <v>740.98</v>
      </c>
      <c r="K566" s="89">
        <f t="shared" si="44"/>
        <v>0</v>
      </c>
      <c r="L566" s="89">
        <f t="shared" si="44"/>
        <v>86244.080000000016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f>1997.64+467.5</f>
        <v>2465.1400000000003</v>
      </c>
      <c r="J568" s="18"/>
      <c r="K568" s="18"/>
      <c r="L568" s="88">
        <f>SUM(F568:K568)</f>
        <v>2465.1400000000003</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f>823.2+3655</f>
        <v>4478.2</v>
      </c>
      <c r="I570" s="18">
        <f>994.38</f>
        <v>994.38</v>
      </c>
      <c r="J570" s="18"/>
      <c r="K570" s="18">
        <f>36.75</f>
        <v>36.75</v>
      </c>
      <c r="L570" s="88">
        <f>SUM(F570:K570)</f>
        <v>5509.33</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4478.2</v>
      </c>
      <c r="I571" s="192">
        <f t="shared" si="45"/>
        <v>3459.5200000000004</v>
      </c>
      <c r="J571" s="192">
        <f t="shared" si="45"/>
        <v>0</v>
      </c>
      <c r="K571" s="192">
        <f t="shared" si="45"/>
        <v>36.75</v>
      </c>
      <c r="L571" s="192">
        <f t="shared" si="45"/>
        <v>7974.47</v>
      </c>
      <c r="M571" s="8"/>
      <c r="N571" s="265"/>
    </row>
    <row r="572" spans="1:14" s="3" customFormat="1" ht="12.2" customHeight="1" thickTop="1" x14ac:dyDescent="0.15">
      <c r="A572" s="98" t="s">
        <v>88</v>
      </c>
      <c r="B572" s="107">
        <v>22</v>
      </c>
      <c r="C572" s="107">
        <v>13</v>
      </c>
      <c r="D572" s="158" t="s">
        <v>432</v>
      </c>
      <c r="E572" s="107"/>
      <c r="F572" s="89">
        <f>F561+F566+F571</f>
        <v>49114.94</v>
      </c>
      <c r="G572" s="89">
        <f t="shared" ref="G572:L572" si="46">G561+G566+G571</f>
        <v>33237.159999999996</v>
      </c>
      <c r="H572" s="89">
        <f t="shared" si="46"/>
        <v>4478.2</v>
      </c>
      <c r="I572" s="89">
        <f t="shared" si="46"/>
        <v>6610.52</v>
      </c>
      <c r="J572" s="89">
        <f t="shared" si="46"/>
        <v>740.98</v>
      </c>
      <c r="K572" s="89">
        <f t="shared" si="46"/>
        <v>36.75</v>
      </c>
      <c r="L572" s="89">
        <f t="shared" si="46"/>
        <v>94218.550000000017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f>23541.76</f>
        <v>23541.759999999998</v>
      </c>
      <c r="I576" s="87">
        <f>SUM(F576:H576)</f>
        <v>23541.759999999998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1994.88</f>
        <v>1994.88</v>
      </c>
      <c r="G580" s="18"/>
      <c r="H580" s="18">
        <f>12708.36</f>
        <v>12708.36</v>
      </c>
      <c r="I580" s="87">
        <f t="shared" si="47"/>
        <v>14703.240000000002</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f>70861.4</f>
        <v>70861.399999999994</v>
      </c>
      <c r="G583" s="18"/>
      <c r="H583" s="18">
        <f>249345.99</f>
        <v>249345.99</v>
      </c>
      <c r="I583" s="87">
        <f t="shared" si="47"/>
        <v>320207.39</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3655</v>
      </c>
      <c r="I584" s="87">
        <f t="shared" si="47"/>
        <v>3655</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14840.81</v>
      </c>
      <c r="I585" s="87">
        <f t="shared" si="47"/>
        <v>14840.81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106798+360+1680</f>
        <v>108838</v>
      </c>
      <c r="I592" s="18">
        <f>31644+498</f>
        <v>32142</v>
      </c>
      <c r="J592" s="18">
        <f>59331.41+933.37</f>
        <v>60264.780000000006</v>
      </c>
      <c r="K592" s="104">
        <f t="shared" ref="K592:K598" si="48">SUM(H592:J592)</f>
        <v>201244.78</v>
      </c>
      <c r="L592" s="24" t="s">
        <v>288</v>
      </c>
      <c r="M592" s="8"/>
      <c r="N592" s="265"/>
    </row>
    <row r="593" spans="1:14" s="3" customFormat="1" ht="12.2" customHeight="1" x14ac:dyDescent="0.15">
      <c r="A593" s="3" t="s">
        <v>638</v>
      </c>
      <c r="B593" s="75">
        <v>23</v>
      </c>
      <c r="C593" s="75">
        <v>2</v>
      </c>
      <c r="D593" s="2" t="s">
        <v>432</v>
      </c>
      <c r="E593" s="75"/>
      <c r="F593" s="102">
        <v>2722</v>
      </c>
      <c r="G593" s="103" t="s">
        <v>97</v>
      </c>
      <c r="H593" s="18">
        <f>53936</f>
        <v>53936</v>
      </c>
      <c r="I593" s="18">
        <f>15981</f>
        <v>15981</v>
      </c>
      <c r="J593" s="18">
        <f>29965.16</f>
        <v>29965.16</v>
      </c>
      <c r="K593" s="104">
        <f t="shared" si="48"/>
        <v>99882.16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f>21222.12</f>
        <v>21222.12</v>
      </c>
      <c r="K594" s="104">
        <f t="shared" si="48"/>
        <v>21222.12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f>14446</f>
        <v>14446</v>
      </c>
      <c r="J595" s="18">
        <f>29331.22</f>
        <v>29331.22</v>
      </c>
      <c r="K595" s="104">
        <f t="shared" si="48"/>
        <v>43777.22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3114.56</f>
        <v>3114.56</v>
      </c>
      <c r="I596" s="18"/>
      <c r="J596" s="18"/>
      <c r="K596" s="104">
        <f t="shared" si="48"/>
        <v>3114.56</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165888.56</v>
      </c>
      <c r="I599" s="108">
        <f>SUM(I592:I598)</f>
        <v>62569</v>
      </c>
      <c r="J599" s="108">
        <f>SUM(J592:J598)</f>
        <v>140783.28</v>
      </c>
      <c r="K599" s="108">
        <f>SUM(K592:K598)</f>
        <v>369240.84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293982.6+56584+285405</f>
        <v>635971.6</v>
      </c>
      <c r="I605" s="18">
        <f>17712.33+16766+84565</f>
        <v>119043.33</v>
      </c>
      <c r="J605" s="18">
        <f>137367.41+31435.43+1479.6+3247+158558.23</f>
        <v>332087.67000000004</v>
      </c>
      <c r="K605" s="104">
        <f>SUM(H605:J605)</f>
        <v>1087102.6000000001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635971.6</v>
      </c>
      <c r="I606" s="108">
        <f>SUM(I603:I605)</f>
        <v>119043.33</v>
      </c>
      <c r="J606" s="108">
        <f>SUM(J603:J605)</f>
        <v>332087.67000000004</v>
      </c>
      <c r="K606" s="108">
        <f>SUM(K603:K605)</f>
        <v>1087102.6000000001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11006.22+15343.73+9219.44+33196.95</f>
        <v>68766.34</v>
      </c>
      <c r="G612" s="18">
        <f>843.47+2317.71+1879.05+1296.25+2594.6+2539.44+6977.98</f>
        <v>18448.5</v>
      </c>
      <c r="H612" s="18">
        <f>3114.56+5000</f>
        <v>8114.5599999999995</v>
      </c>
      <c r="I612" s="18">
        <f>24.89+98</f>
        <v>122.89</v>
      </c>
      <c r="J612" s="18"/>
      <c r="K612" s="18"/>
      <c r="L612" s="88">
        <f>SUM(F612:K612)</f>
        <v>95452.29</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68766.34</v>
      </c>
      <c r="G615" s="108">
        <f t="shared" si="49"/>
        <v>18448.5</v>
      </c>
      <c r="H615" s="108">
        <f t="shared" si="49"/>
        <v>8114.5599999999995</v>
      </c>
      <c r="I615" s="108">
        <f t="shared" si="49"/>
        <v>122.89</v>
      </c>
      <c r="J615" s="108">
        <f t="shared" si="49"/>
        <v>0</v>
      </c>
      <c r="K615" s="108">
        <f t="shared" si="49"/>
        <v>0</v>
      </c>
      <c r="L615" s="89">
        <f t="shared" si="49"/>
        <v>95452.29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1770263.4499999997</v>
      </c>
      <c r="H618" s="109">
        <f>SUM(F52)</f>
        <v>1770263.4499999997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84168.58</v>
      </c>
      <c r="H619" s="109">
        <f>SUM(G52)</f>
        <v>84168.58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100044.34</v>
      </c>
      <c r="H620" s="109">
        <f>SUM(H52)</f>
        <v>100044.34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872053.59</v>
      </c>
      <c r="H622" s="109">
        <f>SUM(J52)</f>
        <v>872053.59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1302946.5699999998</v>
      </c>
      <c r="H623" s="109">
        <f>F477</f>
        <v>1302946.5699999984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63708.77</v>
      </c>
      <c r="H624" s="109">
        <f>G477</f>
        <v>63708.770000000019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872053.59</v>
      </c>
      <c r="H627" s="109">
        <f>J477</f>
        <v>872053.59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16046715.33</v>
      </c>
      <c r="H628" s="104">
        <f>SUM(F469)</f>
        <v>16046715.33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478614.63999999996</v>
      </c>
      <c r="H629" s="104">
        <f>SUM(G469)</f>
        <v>478614.64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2128625.0300000003</v>
      </c>
      <c r="H630" s="104">
        <f>SUM(H469)</f>
        <v>2128625.0299999998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9579.369999999999</v>
      </c>
      <c r="H632" s="104">
        <f>SUM(J469)</f>
        <v>9579.369999999999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15690750.919999998</v>
      </c>
      <c r="H633" s="104">
        <f>SUM(F473)</f>
        <v>15690750.92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2128625.0299999998</v>
      </c>
      <c r="H634" s="104">
        <f>SUM(H473)</f>
        <v>2128625.0299999998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2599.5300000000002</v>
      </c>
      <c r="H635" s="104">
        <f>I370</f>
        <v>2599.5299999999997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414905.87</v>
      </c>
      <c r="H636" s="104">
        <f>SUM(G473)</f>
        <v>414905.87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9579.369999999999</v>
      </c>
      <c r="H638" s="164">
        <f>SUM(J469)</f>
        <v>9579.369999999999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46825.66</v>
      </c>
      <c r="H639" s="164">
        <f>SUM(J473)</f>
        <v>46825.66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872053.59</v>
      </c>
      <c r="H640" s="104">
        <f>SUM(F462)</f>
        <v>872053.59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872053.59</v>
      </c>
      <c r="H643" s="104">
        <f>SUM(I462)</f>
        <v>872053.59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861.29</v>
      </c>
      <c r="H645" s="104">
        <f>H409</f>
        <v>861.29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8718.08</v>
      </c>
      <c r="H646" s="104">
        <f>G409</f>
        <v>8718.08</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9579.369999999999</v>
      </c>
      <c r="H647" s="104">
        <f>L409</f>
        <v>9579.369999999999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369240.84</v>
      </c>
      <c r="H648" s="104">
        <f>L209+L227+L245</f>
        <v>369240.83999999997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1087102.6000000001</v>
      </c>
      <c r="H649" s="104">
        <f>(J258+J339)-(J256+J337)</f>
        <v>1087102.6000000001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165888.56</v>
      </c>
      <c r="H650" s="104">
        <f>H599</f>
        <v>165888.56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62569</v>
      </c>
      <c r="H651" s="104">
        <f>I599</f>
        <v>62569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140783.27999999997</v>
      </c>
      <c r="H652" s="104">
        <f>J599</f>
        <v>140783.28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10000</v>
      </c>
      <c r="H654" s="104">
        <f>K265</f>
        <v>10000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8718.08</v>
      </c>
      <c r="H656" s="104">
        <f>K267+K348</f>
        <v>8718.08</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8866110.8999999985</v>
      </c>
      <c r="G661" s="19">
        <f>(L230+L310+L360)</f>
        <v>2393174.1799999997</v>
      </c>
      <c r="H661" s="19">
        <f>(L248+L329+L361)</f>
        <v>6025654.6199999992</v>
      </c>
      <c r="I661" s="19">
        <f>SUM(F661:H661)</f>
        <v>17284939.699999996</v>
      </c>
      <c r="J661" s="13"/>
      <c r="K661" s="13"/>
      <c r="L661" s="13"/>
      <c r="M661" s="9"/>
    </row>
    <row r="662" spans="1:13" s="3" customFormat="1" ht="12.2" customHeight="1" x14ac:dyDescent="0.2">
      <c r="A662" s="1" t="s">
        <v>127</v>
      </c>
      <c r="F662" s="19">
        <f>(L359/IF(SUM(L359:L361)=0,1,SUM(L359:L361))*(SUM(G97:G110)))</f>
        <v>25190.593968466874</v>
      </c>
      <c r="G662" s="19">
        <f>(L360/IF(SUM(L359:L361)=0,1,SUM(L359:L361))*(SUM(G97:G110)))</f>
        <v>5637.7001975809608</v>
      </c>
      <c r="H662" s="19">
        <f>(L361/IF(SUM(L359:L361)=0,1,SUM(L359:L361))*(SUM(G97:G110)))</f>
        <v>13638.755833952167</v>
      </c>
      <c r="I662" s="19">
        <f>SUM(F662:H662)</f>
        <v>44467.05</v>
      </c>
      <c r="J662"/>
      <c r="K662" s="13"/>
      <c r="L662" s="13"/>
      <c r="M662" s="8"/>
    </row>
    <row r="663" spans="1:13" s="3" customFormat="1" ht="12.2" customHeight="1" x14ac:dyDescent="0.2">
      <c r="A663" s="1" t="s">
        <v>128</v>
      </c>
      <c r="F663" s="19">
        <f>(L209+L288)-(J209+J288)</f>
        <v>190920.06</v>
      </c>
      <c r="G663" s="19">
        <f>(L227+L307)-(J227+J307)</f>
        <v>62569</v>
      </c>
      <c r="H663" s="19">
        <f>(L245+L326)-(J245+J326)</f>
        <v>160583.27999999997</v>
      </c>
      <c r="I663" s="19">
        <f>SUM(F663:H663)</f>
        <v>414072.33999999997</v>
      </c>
      <c r="J663"/>
      <c r="K663" s="13"/>
      <c r="L663" s="13"/>
      <c r="M663" s="9"/>
    </row>
    <row r="664" spans="1:13" s="3" customFormat="1" ht="12.2" customHeight="1" x14ac:dyDescent="0.15">
      <c r="A664" s="197" t="s">
        <v>129</v>
      </c>
      <c r="B664" s="169"/>
      <c r="C664" s="169"/>
      <c r="D664" s="169"/>
      <c r="E664" s="169"/>
      <c r="F664" s="198">
        <f>SUM(F576:F588)+SUM(H603:H605)+SUM(L612)</f>
        <v>804280.17</v>
      </c>
      <c r="G664" s="198">
        <f>SUM(G576:G588)+SUM(I603:I605)+L613</f>
        <v>119043.33</v>
      </c>
      <c r="H664" s="198">
        <f>SUM(H576:H588)+SUM(J603:J605)+L614</f>
        <v>636179.59000000008</v>
      </c>
      <c r="I664" s="19">
        <f>SUM(F664:H664)</f>
        <v>1559503.09</v>
      </c>
      <c r="J664" s="13"/>
      <c r="K664" s="13"/>
      <c r="L664" s="13"/>
      <c r="M664" s="9"/>
    </row>
    <row r="665" spans="1:13" s="3" customFormat="1" ht="12.2" customHeight="1" x14ac:dyDescent="0.15">
      <c r="A665" s="1" t="s">
        <v>130</v>
      </c>
      <c r="F665" s="19">
        <f>F661-SUM(F662:F664)</f>
        <v>7845720.0760315312</v>
      </c>
      <c r="G665" s="19">
        <f>G661-SUM(G662:G664)</f>
        <v>2205924.1498024189</v>
      </c>
      <c r="H665" s="19">
        <f>H661-SUM(H662:H664)</f>
        <v>5215252.9941660473</v>
      </c>
      <c r="I665" s="19">
        <f>I661-SUM(I662:I664)</f>
        <v>15266897.219999995</v>
      </c>
      <c r="J665" s="13"/>
      <c r="K665" s="13"/>
      <c r="L665" s="13"/>
      <c r="M665" s="8"/>
    </row>
    <row r="666" spans="1:13" s="3" customFormat="1" ht="12.2" customHeight="1" x14ac:dyDescent="0.2">
      <c r="A666" s="1" t="s">
        <v>131</v>
      </c>
      <c r="F666" s="245">
        <v>348.78</v>
      </c>
      <c r="G666" s="246">
        <v>106.08</v>
      </c>
      <c r="H666" s="246">
        <v>197.91</v>
      </c>
      <c r="I666" s="19">
        <f>SUM(F666:H666)</f>
        <v>652.77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22494.75</v>
      </c>
      <c r="G668" s="19">
        <f>ROUND(G665/G666,2)</f>
        <v>20794.91</v>
      </c>
      <c r="H668" s="19">
        <f>ROUND(H665/H666,2)</f>
        <v>26351.64</v>
      </c>
      <c r="I668" s="19">
        <f>ROUND(I665/I666,2)</f>
        <v>23387.87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13.61</v>
      </c>
      <c r="I671" s="19">
        <f>SUM(F671:H671)</f>
        <v>13.61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22494.75</v>
      </c>
      <c r="G673" s="19">
        <f>ROUND((G665+G670)/(G666+G671),2)</f>
        <v>20794.91</v>
      </c>
      <c r="H673" s="19">
        <f>ROUND((H665+H670)/(H666+H671),2)</f>
        <v>24656.080000000002</v>
      </c>
      <c r="I673" s="19">
        <f>ROUND((I665+I670)/(I666+I671),2)</f>
        <v>22910.2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150409.84999999998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53105.14+59650.22+9036.34</f>
        <v>121791.7</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1132.63+2900+7946.35</f>
        <v>11978.98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f>3494.52+13144.65</f>
        <v>16639.169999999998</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Littleton</v>
      </c>
      <c r="C5" s="376"/>
      <c r="D5" s="376"/>
      <c r="E5" s="376"/>
      <c r="F5" s="376"/>
    </row>
    <row r="8" spans="1:9" ht="18" x14ac:dyDescent="0.25">
      <c r="A8" s="312" t="s">
        <v>1568</v>
      </c>
      <c r="F8" s="319" t="s">
        <v>1586</v>
      </c>
    </row>
    <row r="9" spans="1:9" ht="15" x14ac:dyDescent="0.2">
      <c r="A9" s="310" t="s">
        <v>1569</v>
      </c>
      <c r="B9" s="313">
        <f>'DOE25'!G97</f>
        <v>30607</v>
      </c>
      <c r="F9" s="310" t="s">
        <v>1582</v>
      </c>
    </row>
    <row r="10" spans="1:9" ht="15" x14ac:dyDescent="0.2">
      <c r="A10" s="310" t="s">
        <v>1570</v>
      </c>
      <c r="B10" s="313">
        <f>'DOE25'!G112-'DOE25'!G97</f>
        <v>13860.050000000003</v>
      </c>
      <c r="F10" s="310" t="s">
        <v>1583</v>
      </c>
    </row>
    <row r="11" spans="1:9" ht="15" x14ac:dyDescent="0.2">
      <c r="A11" s="310" t="s">
        <v>1571</v>
      </c>
      <c r="B11" s="313">
        <f>'DOE25'!G140</f>
        <v>4811.8099999999995</v>
      </c>
      <c r="F11" s="310" t="s">
        <v>1584</v>
      </c>
    </row>
    <row r="12" spans="1:9" ht="15" x14ac:dyDescent="0.2">
      <c r="A12" s="310" t="s">
        <v>1572</v>
      </c>
      <c r="B12" s="313">
        <f>'DOE25'!G170</f>
        <v>429335.77999999997</v>
      </c>
      <c r="F12" s="310" t="s">
        <v>1585</v>
      </c>
    </row>
    <row r="13" spans="1:9" ht="15" x14ac:dyDescent="0.2">
      <c r="A13" s="310" t="s">
        <v>1573</v>
      </c>
      <c r="B13" s="313">
        <f>'DOE25'!G193-'DOE25'!G180</f>
        <v>0</v>
      </c>
      <c r="F13" s="310" t="s">
        <v>1595</v>
      </c>
    </row>
    <row r="14" spans="1:9" ht="18" x14ac:dyDescent="0.25">
      <c r="A14" s="312" t="s">
        <v>732</v>
      </c>
      <c r="B14" s="314">
        <f>SUM(B9:B13)</f>
        <v>478614.63999999996</v>
      </c>
    </row>
    <row r="16" spans="1:9" ht="18" x14ac:dyDescent="0.25">
      <c r="A16" s="312" t="s">
        <v>786</v>
      </c>
      <c r="F16" s="319" t="s">
        <v>1587</v>
      </c>
    </row>
    <row r="17" spans="1:6" ht="15" x14ac:dyDescent="0.2">
      <c r="A17" s="310" t="s">
        <v>1574</v>
      </c>
      <c r="B17" s="313">
        <f>'DOE25'!L363-'DOE25'!L362</f>
        <v>414905.87</v>
      </c>
      <c r="F17" s="310" t="s">
        <v>1588</v>
      </c>
    </row>
    <row r="18" spans="1:6" ht="15" x14ac:dyDescent="0.2">
      <c r="A18" s="310" t="s">
        <v>1575</v>
      </c>
      <c r="B18" s="323">
        <v>0</v>
      </c>
      <c r="F18" s="319" t="s">
        <v>1612</v>
      </c>
    </row>
    <row r="19" spans="1:6" ht="18" x14ac:dyDescent="0.25">
      <c r="A19" s="312" t="s">
        <v>725</v>
      </c>
      <c r="B19" s="314">
        <f>SUM(B17:B18)</f>
        <v>414905.87</v>
      </c>
    </row>
    <row r="21" spans="1:6" ht="18.75" thickBot="1" x14ac:dyDescent="0.3">
      <c r="A21" s="312" t="s">
        <v>1576</v>
      </c>
    </row>
    <row r="22" spans="1:6" ht="18.75" thickTop="1" x14ac:dyDescent="0.25">
      <c r="A22" s="312" t="s">
        <v>1577</v>
      </c>
      <c r="B22" s="318">
        <f>B14-B19</f>
        <v>63708.76999999996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63708.770000000019</v>
      </c>
      <c r="F33" s="310" t="s">
        <v>1593</v>
      </c>
    </row>
    <row r="36" spans="1:6" ht="15" x14ac:dyDescent="0.2">
      <c r="A36" s="310" t="s">
        <v>1579</v>
      </c>
      <c r="B36" s="324">
        <f>8909.84+9652.38</f>
        <v>18562.22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3" sqref="A3:C3"/>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Littleton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3195586.1399999997</v>
      </c>
      <c r="C9" s="228">
        <f>'DOE25'!G198+'DOE25'!G216+'DOE25'!G234+'DOE25'!G277+'DOE25'!G296+'DOE25'!G315</f>
        <v>1859979.8499999999</v>
      </c>
    </row>
    <row r="10" spans="1:3" x14ac:dyDescent="0.2">
      <c r="A10" t="s">
        <v>775</v>
      </c>
      <c r="B10" s="239">
        <v>2751493.09</v>
      </c>
      <c r="C10" s="239">
        <v>1618182.47</v>
      </c>
    </row>
    <row r="11" spans="1:3" x14ac:dyDescent="0.2">
      <c r="A11" t="s">
        <v>776</v>
      </c>
      <c r="B11" s="239">
        <v>444093.05</v>
      </c>
      <c r="C11" s="239">
        <v>241797.38</v>
      </c>
    </row>
    <row r="12" spans="1:3" x14ac:dyDescent="0.2">
      <c r="A12" t="s">
        <v>777</v>
      </c>
      <c r="B12" s="239"/>
      <c r="C12" s="239"/>
    </row>
    <row r="13" spans="1:3" x14ac:dyDescent="0.2">
      <c r="A13" t="str">
        <f>IF(B9=B13,IF(C9=C13,"Check Total OK","Check Total Error"),"Check Total Error")</f>
        <v>Check Total OK</v>
      </c>
      <c r="B13" s="230">
        <f>SUM(B10:B12)</f>
        <v>3195586.1399999997</v>
      </c>
      <c r="C13" s="230">
        <f>SUM(C10:C12)</f>
        <v>1859979.85</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1536971.75</v>
      </c>
      <c r="C18" s="228">
        <f>'DOE25'!G199+'DOE25'!G217+'DOE25'!G235+'DOE25'!G278+'DOE25'!G297+'DOE25'!G316</f>
        <v>928689.02999999991</v>
      </c>
    </row>
    <row r="19" spans="1:3" x14ac:dyDescent="0.2">
      <c r="A19" t="s">
        <v>775</v>
      </c>
      <c r="B19" s="239">
        <v>675126.24</v>
      </c>
      <c r="C19" s="239">
        <v>408623.17</v>
      </c>
    </row>
    <row r="20" spans="1:3" x14ac:dyDescent="0.2">
      <c r="A20" t="s">
        <v>776</v>
      </c>
      <c r="B20" s="239">
        <v>861845.51</v>
      </c>
      <c r="C20" s="239">
        <v>520065.86</v>
      </c>
    </row>
    <row r="21" spans="1:3" x14ac:dyDescent="0.2">
      <c r="A21" t="s">
        <v>777</v>
      </c>
      <c r="B21" s="239"/>
      <c r="C21" s="239"/>
    </row>
    <row r="22" spans="1:3" x14ac:dyDescent="0.2">
      <c r="A22" t="str">
        <f>IF(B18=B22,IF(C18=C22,"Check Total OK","Check Total Error"),"Check Total Error")</f>
        <v>Check Total OK</v>
      </c>
      <c r="B22" s="230">
        <f>SUM(B19:B21)</f>
        <v>1536971.75</v>
      </c>
      <c r="C22" s="230">
        <f>SUM(C19:C21)</f>
        <v>928689.03</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663143.43999999994</v>
      </c>
      <c r="C27" s="233">
        <f>'DOE25'!G200+'DOE25'!G218+'DOE25'!G236+'DOE25'!G279+'DOE25'!G298+'DOE25'!G317</f>
        <v>320793.38</v>
      </c>
    </row>
    <row r="28" spans="1:3" x14ac:dyDescent="0.2">
      <c r="A28" t="s">
        <v>775</v>
      </c>
      <c r="B28" s="239">
        <f>18846.11+573036.1</f>
        <v>591882.21</v>
      </c>
      <c r="C28" s="239">
        <v>288714.03999999998</v>
      </c>
    </row>
    <row r="29" spans="1:3" x14ac:dyDescent="0.2">
      <c r="A29" t="s">
        <v>776</v>
      </c>
      <c r="B29" s="239">
        <v>71261.23</v>
      </c>
      <c r="C29" s="239">
        <v>32079.34</v>
      </c>
    </row>
    <row r="30" spans="1:3" x14ac:dyDescent="0.2">
      <c r="A30" t="s">
        <v>777</v>
      </c>
      <c r="B30" s="239"/>
      <c r="C30" s="239"/>
    </row>
    <row r="31" spans="1:3" x14ac:dyDescent="0.2">
      <c r="A31" t="str">
        <f>IF(B27=B31,IF(C27=C31,"Check Total OK","Check Total Error"),"Check Total Error")</f>
        <v>Check Total OK</v>
      </c>
      <c r="B31" s="230">
        <f>SUM(B28:B30)</f>
        <v>663143.43999999994</v>
      </c>
      <c r="C31" s="230">
        <f>SUM(C28:C30)</f>
        <v>320793.38</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156016.66999999998</v>
      </c>
      <c r="C36" s="234">
        <f>'DOE25'!G201+'DOE25'!G219+'DOE25'!G237+'DOE25'!G280+'DOE25'!G299+'DOE25'!G318</f>
        <v>30961.53</v>
      </c>
    </row>
    <row r="37" spans="1:3" x14ac:dyDescent="0.2">
      <c r="A37" t="s">
        <v>775</v>
      </c>
      <c r="B37" s="239">
        <v>54065.19</v>
      </c>
      <c r="C37" s="239">
        <v>15500.49</v>
      </c>
    </row>
    <row r="38" spans="1:3" x14ac:dyDescent="0.2">
      <c r="A38" t="s">
        <v>776</v>
      </c>
      <c r="B38" s="239">
        <v>13294</v>
      </c>
      <c r="C38" s="239">
        <v>2484.65</v>
      </c>
    </row>
    <row r="39" spans="1:3" x14ac:dyDescent="0.2">
      <c r="A39" t="s">
        <v>777</v>
      </c>
      <c r="B39" s="239">
        <v>88657.48</v>
      </c>
      <c r="C39" s="239">
        <v>12976.39</v>
      </c>
    </row>
    <row r="40" spans="1:3" x14ac:dyDescent="0.2">
      <c r="A40" t="str">
        <f>IF(B36=B40,IF(C36=C40,"Check Total OK","Check Total Error"),"Check Total Error")</f>
        <v>Check Total OK</v>
      </c>
      <c r="B40" s="230">
        <f>SUM(B37:B39)</f>
        <v>156016.66999999998</v>
      </c>
      <c r="C40" s="230">
        <f>SUM(C37:C39)</f>
        <v>30961.53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E33" sqref="E3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Littleton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8682820.0099999979</v>
      </c>
      <c r="D5" s="20">
        <f>SUM('DOE25'!L198:L201)+SUM('DOE25'!L216:L219)+SUM('DOE25'!L234:L237)-F5-G5-H5</f>
        <v>8565952.8299999982</v>
      </c>
      <c r="E5" s="242"/>
      <c r="F5" s="243"/>
      <c r="G5" s="53">
        <f>SUM('DOE25'!J198:J201)+SUM('DOE25'!J216:J219)+SUM('DOE25'!J234:J237)</f>
        <v>102363.89000000001</v>
      </c>
      <c r="H5" s="53">
        <f>SUM('DOE25'!K198:K201)+SUM('DOE25'!K216:K219)+SUM('DOE25'!K234:K237)</f>
        <v>14503.289999999999</v>
      </c>
      <c r="I5" s="255"/>
    </row>
    <row r="6" spans="1:9" x14ac:dyDescent="0.2">
      <c r="A6" s="32">
        <v>2100</v>
      </c>
      <c r="B6" t="s">
        <v>796</v>
      </c>
      <c r="C6" s="274">
        <f t="shared" si="0"/>
        <v>1340343.48</v>
      </c>
      <c r="D6" s="20">
        <f>'DOE25'!L203+'DOE25'!L221+'DOE25'!L239-F6-G6-H6</f>
        <v>1333875.1499999999</v>
      </c>
      <c r="E6" s="242"/>
      <c r="F6" s="243"/>
      <c r="G6" s="53">
        <f>'DOE25'!J203+'DOE25'!J221+'DOE25'!J239</f>
        <v>4591.82</v>
      </c>
      <c r="H6" s="53">
        <f>'DOE25'!K203+'DOE25'!K221+'DOE25'!K239</f>
        <v>1876.51</v>
      </c>
      <c r="I6" s="255"/>
    </row>
    <row r="7" spans="1:9" x14ac:dyDescent="0.2">
      <c r="A7" s="32">
        <v>2200</v>
      </c>
      <c r="B7" t="s">
        <v>821</v>
      </c>
      <c r="C7" s="274">
        <f t="shared" si="0"/>
        <v>322039.31000000006</v>
      </c>
      <c r="D7" s="20">
        <f>'DOE25'!L204+'DOE25'!L222+'DOE25'!L240-F7-G7-H7</f>
        <v>296074.02000000008</v>
      </c>
      <c r="E7" s="242"/>
      <c r="F7" s="243"/>
      <c r="G7" s="53">
        <f>'DOE25'!J204+'DOE25'!J222+'DOE25'!J240</f>
        <v>274.98</v>
      </c>
      <c r="H7" s="53">
        <f>'DOE25'!K204+'DOE25'!K222+'DOE25'!K240</f>
        <v>25690.309999999998</v>
      </c>
      <c r="I7" s="255"/>
    </row>
    <row r="8" spans="1:9" x14ac:dyDescent="0.2">
      <c r="A8" s="32">
        <v>2300</v>
      </c>
      <c r="B8" t="s">
        <v>797</v>
      </c>
      <c r="C8" s="274">
        <f t="shared" si="0"/>
        <v>412535.07000000007</v>
      </c>
      <c r="D8" s="242"/>
      <c r="E8" s="20">
        <f>'DOE25'!L205+'DOE25'!L223+'DOE25'!L241-F8-G8-H8-D9-D11</f>
        <v>381218.71000000008</v>
      </c>
      <c r="F8" s="243"/>
      <c r="G8" s="53">
        <f>'DOE25'!J205+'DOE25'!J223+'DOE25'!J241</f>
        <v>3753.6400000000003</v>
      </c>
      <c r="H8" s="53">
        <f>'DOE25'!K205+'DOE25'!K223+'DOE25'!K241</f>
        <v>27562.720000000001</v>
      </c>
      <c r="I8" s="255"/>
    </row>
    <row r="9" spans="1:9" ht="14.25" x14ac:dyDescent="0.2">
      <c r="A9" s="32">
        <v>2310</v>
      </c>
      <c r="B9" s="184" t="s">
        <v>888</v>
      </c>
      <c r="C9" s="274">
        <f t="shared" si="0"/>
        <v>115829.48</v>
      </c>
      <c r="D9" s="243">
        <v>115829.48</v>
      </c>
      <c r="E9" s="242"/>
      <c r="F9" s="252"/>
      <c r="G9" s="252"/>
      <c r="H9" s="252"/>
      <c r="I9" s="255"/>
    </row>
    <row r="10" spans="1:9" ht="14.25" x14ac:dyDescent="0.2">
      <c r="A10" s="32">
        <v>2317</v>
      </c>
      <c r="B10" s="184" t="s">
        <v>889</v>
      </c>
      <c r="C10" s="274">
        <f t="shared" si="0"/>
        <v>39000</v>
      </c>
      <c r="D10" s="242"/>
      <c r="E10" s="243">
        <v>39000</v>
      </c>
      <c r="F10" s="252"/>
      <c r="G10" s="252"/>
      <c r="H10" s="252"/>
      <c r="I10" s="255"/>
    </row>
    <row r="11" spans="1:9" ht="14.25" x14ac:dyDescent="0.2">
      <c r="A11" s="32">
        <v>2321</v>
      </c>
      <c r="B11" s="184" t="s">
        <v>890</v>
      </c>
      <c r="C11" s="274">
        <f t="shared" si="0"/>
        <v>246782.73</v>
      </c>
      <c r="D11" s="243">
        <v>246782.73</v>
      </c>
      <c r="E11" s="242"/>
      <c r="F11" s="252"/>
      <c r="G11" s="252"/>
      <c r="H11" s="252"/>
      <c r="I11" s="255"/>
    </row>
    <row r="12" spans="1:9" x14ac:dyDescent="0.2">
      <c r="A12" s="32">
        <v>2400</v>
      </c>
      <c r="B12" t="s">
        <v>711</v>
      </c>
      <c r="C12" s="274">
        <f t="shared" si="0"/>
        <v>810389.71</v>
      </c>
      <c r="D12" s="20">
        <f>'DOE25'!L206+'DOE25'!L224+'DOE25'!L242-F12-G12-H12</f>
        <v>792953.02</v>
      </c>
      <c r="E12" s="242"/>
      <c r="F12" s="243"/>
      <c r="G12" s="53">
        <f>'DOE25'!J206+'DOE25'!J224+'DOE25'!J242</f>
        <v>1756.1299999999999</v>
      </c>
      <c r="H12" s="53">
        <f>'DOE25'!K206+'DOE25'!K224+'DOE25'!K242</f>
        <v>15680.559999999998</v>
      </c>
      <c r="I12" s="255"/>
    </row>
    <row r="13" spans="1:9" x14ac:dyDescent="0.2">
      <c r="A13" s="32">
        <v>2500</v>
      </c>
      <c r="B13" t="s">
        <v>798</v>
      </c>
      <c r="C13" s="274">
        <f t="shared" si="0"/>
        <v>227720.95</v>
      </c>
      <c r="D13" s="242"/>
      <c r="E13" s="20">
        <f>'DOE25'!L207+'DOE25'!L225+'DOE25'!L243-F13-G13-H13</f>
        <v>226579.96000000002</v>
      </c>
      <c r="F13" s="243"/>
      <c r="G13" s="53">
        <f>'DOE25'!J207+'DOE25'!J225+'DOE25'!J243</f>
        <v>505.99</v>
      </c>
      <c r="H13" s="53">
        <f>'DOE25'!K207+'DOE25'!K225+'DOE25'!K243</f>
        <v>635</v>
      </c>
      <c r="I13" s="255"/>
    </row>
    <row r="14" spans="1:9" x14ac:dyDescent="0.2">
      <c r="A14" s="32">
        <v>2600</v>
      </c>
      <c r="B14" t="s">
        <v>819</v>
      </c>
      <c r="C14" s="274">
        <f t="shared" si="0"/>
        <v>1877867.69</v>
      </c>
      <c r="D14" s="20">
        <f>'DOE25'!L208+'DOE25'!L226+'DOE25'!L244-F14-G14-H14</f>
        <v>1187000.3299999998</v>
      </c>
      <c r="E14" s="242"/>
      <c r="F14" s="243">
        <v>347669.8</v>
      </c>
      <c r="G14" s="53">
        <f>'DOE25'!J208+'DOE25'!J226+'DOE25'!J244</f>
        <v>340075.52000000002</v>
      </c>
      <c r="H14" s="53">
        <f>'DOE25'!K208+'DOE25'!K226+'DOE25'!K244</f>
        <v>3122.04</v>
      </c>
      <c r="I14" s="255"/>
    </row>
    <row r="15" spans="1:9" x14ac:dyDescent="0.2">
      <c r="A15" s="32">
        <v>2700</v>
      </c>
      <c r="B15" t="s">
        <v>799</v>
      </c>
      <c r="C15" s="274">
        <f t="shared" si="0"/>
        <v>369240.83999999997</v>
      </c>
      <c r="D15" s="20">
        <f>'DOE25'!L209+'DOE25'!L227+'DOE25'!L245-F15-G15-H15</f>
        <v>28471.369999999995</v>
      </c>
      <c r="E15" s="242"/>
      <c r="F15" s="243">
        <v>340769.47</v>
      </c>
      <c r="G15" s="53">
        <f>'DOE25'!J209+'DOE25'!J227+'DOE25'!J245</f>
        <v>0</v>
      </c>
      <c r="H15" s="53">
        <f>'DOE25'!K209+'DOE25'!K227+'DOE25'!K245</f>
        <v>0</v>
      </c>
      <c r="I15" s="255"/>
    </row>
    <row r="16" spans="1:9" x14ac:dyDescent="0.2">
      <c r="A16" s="32">
        <v>2800</v>
      </c>
      <c r="B16" t="s">
        <v>800</v>
      </c>
      <c r="C16" s="274">
        <f t="shared" si="0"/>
        <v>495917</v>
      </c>
      <c r="D16" s="242"/>
      <c r="E16" s="20">
        <f>'DOE25'!L210+'DOE25'!L228+'DOE25'!L246-F16-G16-H16</f>
        <v>393390.2</v>
      </c>
      <c r="F16" s="243"/>
      <c r="G16" s="53">
        <f>'DOE25'!J210+'DOE25'!J228+'DOE25'!J246</f>
        <v>100526.8</v>
      </c>
      <c r="H16" s="53">
        <f>'DOE25'!K210+'DOE25'!K228+'DOE25'!K246</f>
        <v>2000</v>
      </c>
      <c r="I16" s="255"/>
    </row>
    <row r="17" spans="1:9" x14ac:dyDescent="0.2">
      <c r="A17" s="32">
        <v>1600</v>
      </c>
      <c r="B17" t="s">
        <v>801</v>
      </c>
      <c r="C17" s="274">
        <f t="shared" si="0"/>
        <v>116304.59999999999</v>
      </c>
      <c r="D17" s="20">
        <f>'DOE25'!L252-F17-G17-H17</f>
        <v>116304.59999999999</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10039.969999999999</v>
      </c>
      <c r="D22" s="242"/>
      <c r="E22" s="242"/>
      <c r="F22" s="242"/>
      <c r="G22" s="53">
        <f>'DOE25'!L256+'DOE25'!L337</f>
        <v>10039.969999999999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644202</v>
      </c>
      <c r="D25" s="242"/>
      <c r="E25" s="242"/>
      <c r="F25" s="254"/>
      <c r="G25" s="252"/>
      <c r="H25" s="252"/>
      <c r="I25" s="253">
        <f>'DOE25'!L261+'DOE25'!L262+'DOE25'!L342+'DOE25'!L343</f>
        <v>644202</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414905.87</v>
      </c>
      <c r="D29" s="282">
        <f>'DOE25'!L359+'DOE25'!L360+'DOE25'!L361-'DOE25'!I368-F29-G29-H29</f>
        <v>54497.260000000009</v>
      </c>
      <c r="E29" s="242"/>
      <c r="F29" s="243">
        <v>306150.36</v>
      </c>
      <c r="G29" s="53">
        <f>'DOE25'!J359+'DOE25'!J360+'DOE25'!J361</f>
        <v>54258.25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2128625.0299999998</v>
      </c>
      <c r="D31" s="20">
        <f>'DOE25'!L291+'DOE25'!L310+'DOE25'!L329+'DOE25'!L334+'DOE25'!L335+'DOE25'!L336-F31-G31-H31</f>
        <v>1354241.7999999998</v>
      </c>
      <c r="E31" s="242"/>
      <c r="F31" s="243">
        <v>185759.23</v>
      </c>
      <c r="G31" s="53">
        <f>'DOE25'!J291+'DOE25'!J310+'DOE25'!J329+'DOE25'!J334+'DOE25'!J335+'DOE25'!J336</f>
        <v>533253.82999999996</v>
      </c>
      <c r="H31" s="53">
        <f>'DOE25'!K291+'DOE25'!K310+'DOE25'!K329+'DOE25'!K334+'DOE25'!K335+'DOE25'!K336</f>
        <v>55370.170000000006</v>
      </c>
      <c r="I31" s="255"/>
    </row>
    <row r="32" spans="1:9" ht="12" thickBot="1" x14ac:dyDescent="0.25">
      <c r="C32" s="275"/>
      <c r="G32" s="250"/>
      <c r="H32" s="250"/>
      <c r="I32" s="257"/>
    </row>
    <row r="33" spans="1:9" ht="12" thickTop="1" x14ac:dyDescent="0.2">
      <c r="B33" t="s">
        <v>809</v>
      </c>
      <c r="D33" s="244">
        <f t="shared" ref="D33:I33" si="1">SUM(D5:D31)</f>
        <v>14091982.589999996</v>
      </c>
      <c r="E33" s="244">
        <f t="shared" si="1"/>
        <v>1040188.8700000001</v>
      </c>
      <c r="F33" s="244">
        <f t="shared" si="1"/>
        <v>1180348.8600000001</v>
      </c>
      <c r="G33" s="244">
        <f t="shared" si="1"/>
        <v>1151400.8199999998</v>
      </c>
      <c r="H33" s="244">
        <f t="shared" si="1"/>
        <v>146440.6</v>
      </c>
      <c r="I33" s="244">
        <f t="shared" si="1"/>
        <v>644202</v>
      </c>
    </row>
    <row r="35" spans="1:9" ht="12" thickBot="1" x14ac:dyDescent="0.25">
      <c r="B35" s="250" t="s">
        <v>831</v>
      </c>
      <c r="D35" s="251">
        <f>E33</f>
        <v>1040188.8700000001</v>
      </c>
      <c r="E35" s="247"/>
      <c r="F35" s="328" t="s">
        <v>1617</v>
      </c>
      <c r="G35" s="329"/>
      <c r="H35" s="329"/>
      <c r="I35" s="329"/>
    </row>
    <row r="36" spans="1:9" ht="12" thickTop="1" x14ac:dyDescent="0.2">
      <c r="B36" t="s">
        <v>810</v>
      </c>
      <c r="D36" s="20">
        <f>D33</f>
        <v>14091982.589999996</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Littleton</v>
      </c>
      <c r="B2" s="126">
        <f>'DOE25'!B2</f>
        <v>317</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8631066.6300000008</v>
      </c>
      <c r="G4" s="299">
        <f>'DOE25'!L212+'DOE25'!L291</f>
        <v>8631066.629999999</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f t="array" ref="A6">IFERROR(INDEX('School Tables'!$A$4:$G$325,'School Tables'!$J4,3),"")</f>
        <v>Mildred C. Lakeway School</v>
      </c>
      <c r="B6" s="300">
        <f>IFERROR(VLOOKUP(A6,'School Tables'!$C$3:$D$365,2,FALSE),"")</f>
        <v>21450</v>
      </c>
      <c r="C6" s="293" t="str">
        <f>IFERROR(INDEX('School Tables'!$B$3:$B$365,MATCH('School Level Expenditures'!B6,'School Tables'!$D$3:$D$365,0)),"")</f>
        <v>Littleton</v>
      </c>
      <c r="D6" s="290">
        <v>7554579.2300000004</v>
      </c>
      <c r="E6" s="290">
        <v>1076487.3999999999</v>
      </c>
      <c r="F6" s="303">
        <f t="shared" ref="F6:F20" si="0">D6+E6</f>
        <v>8631066.6300000008</v>
      </c>
      <c r="G6" s="293"/>
      <c r="H6" s="293"/>
      <c r="I6" s="385"/>
      <c r="N6"/>
    </row>
    <row r="7" spans="1:18" x14ac:dyDescent="0.2">
      <c r="A7" s="126" t="str">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7554579.2300000004</v>
      </c>
      <c r="E21" s="338">
        <f>SUM(E5:E20)</f>
        <v>1076487.3999999999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2340570.85</v>
      </c>
      <c r="G24" s="299">
        <f>'DOE25'!L230+'DOE25'!L310</f>
        <v>2340570.8499999996</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f t="array" ref="A26">IFERROR(INDEX('School Tables'!$L$4:$R$75,'School Tables'!$U4,3),"")</f>
        <v>Daisy Bronson Junior High School</v>
      </c>
      <c r="B26" s="300">
        <f>IFERROR(VLOOKUP(A26,'School Tables'!$N$4:$O$75,2,FALSE),"")</f>
        <v>21440</v>
      </c>
      <c r="C26" s="293" t="str">
        <f>IFERROR(INDEX('School Tables'!$M$4:$M$75,MATCH('School Level Expenditures'!A26,'School Tables'!$N$4:$N$75,0)),"")</f>
        <v>Littleton</v>
      </c>
      <c r="D26" s="290">
        <v>2023576.78</v>
      </c>
      <c r="E26" s="290">
        <v>316994.07</v>
      </c>
      <c r="F26" s="303">
        <f t="shared" ref="F26:F32" si="1">D26+E26</f>
        <v>2340570.85</v>
      </c>
      <c r="G26" s="293"/>
      <c r="H26" s="293"/>
      <c r="I26" s="385"/>
      <c r="N26"/>
    </row>
    <row r="27" spans="1:14" x14ac:dyDescent="0.2">
      <c r="A27" s="126" t="str">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2023576.78</v>
      </c>
      <c r="E33" s="338">
        <f>SUM(E25:E32)</f>
        <v>316994.07</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5898396.3499999996</v>
      </c>
      <c r="G36" s="299">
        <f>'DOE25'!L248+'DOE25'!L329</f>
        <v>5898396.3499999996</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f t="array" ref="A38">IFERROR(INDEX('School Tables'!$W$4:$AC$100,'School Tables'!$AF4,3),"")</f>
        <v>Littleton High School</v>
      </c>
      <c r="B38" s="300">
        <f>IFERROR(VLOOKUP(A38,'School Tables'!$Y$4:$Z$100,2,FALSE),"")</f>
        <v>21445</v>
      </c>
      <c r="C38" s="293" t="str">
        <f>IFERROR(INDEX('School Tables'!$X$4:$X$100,MATCH('School Level Expenditures'!A38,'School Tables'!$Y$4:$Y$100,0)),"")</f>
        <v>Littleton</v>
      </c>
      <c r="D38" s="290">
        <v>5323330.26</v>
      </c>
      <c r="E38" s="290">
        <v>575066.09</v>
      </c>
      <c r="F38" s="303">
        <f t="shared" si="2"/>
        <v>5898396.3499999996</v>
      </c>
      <c r="G38" s="293"/>
      <c r="H38" s="293"/>
      <c r="I38" s="385"/>
      <c r="N38"/>
    </row>
    <row r="39" spans="1:14" x14ac:dyDescent="0.2">
      <c r="A39" s="126" t="str">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5323330.26</v>
      </c>
      <c r="E43" s="339">
        <f>SUM(E37:E42)</f>
        <v>575066.09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3" zoomScale="80" zoomScaleNormal="80" workbookViewId="0">
      <selection activeCell="C37" sqref="C3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Littleton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1187865.7</v>
      </c>
      <c r="D8" s="95">
        <f>'DOE25'!G9</f>
        <v>0</v>
      </c>
      <c r="E8" s="95">
        <f>'DOE25'!H9</f>
        <v>0</v>
      </c>
      <c r="F8" s="95">
        <f>'DOE25'!I9</f>
        <v>0</v>
      </c>
      <c r="G8" s="95">
        <f>'DOE25'!J9</f>
        <v>872053.59</v>
      </c>
      <c r="H8" s="124">
        <f>SUM(C8:G8)</f>
        <v>2059919.29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547256.35</v>
      </c>
      <c r="D11" s="95">
        <f>'DOE25'!G12</f>
        <v>84168.58</v>
      </c>
      <c r="E11" s="95">
        <f>'DOE25'!H12</f>
        <v>100044.34</v>
      </c>
      <c r="F11" s="95">
        <f>'DOE25'!I12</f>
        <v>0</v>
      </c>
      <c r="G11" s="95">
        <f>'DOE25'!J12</f>
        <v>0</v>
      </c>
      <c r="H11" s="124">
        <f t="shared" si="0"/>
        <v>731469.2699999999</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35141.4</v>
      </c>
      <c r="D13" s="95">
        <f>'DOE25'!G14</f>
        <v>0</v>
      </c>
      <c r="E13" s="95">
        <f>'DOE25'!H14</f>
        <v>0</v>
      </c>
      <c r="F13" s="95">
        <f>'DOE25'!I14</f>
        <v>0</v>
      </c>
      <c r="G13" s="95">
        <f>'DOE25'!J14</f>
        <v>0</v>
      </c>
      <c r="H13" s="124">
        <f t="shared" si="0"/>
        <v>35141.4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1770263.4499999997</v>
      </c>
      <c r="D18" s="41">
        <f>SUM(D8:D17)</f>
        <v>84168.58</v>
      </c>
      <c r="E18" s="41">
        <f>SUM(E8:E17)</f>
        <v>100044.34</v>
      </c>
      <c r="F18" s="41">
        <f>SUM(F8:F17)</f>
        <v>0</v>
      </c>
      <c r="G18" s="41">
        <f>SUM(G8:G17)</f>
        <v>872053.59</v>
      </c>
      <c r="H18" s="41">
        <f t="shared" si="0"/>
        <v>2826529.96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467316.88</v>
      </c>
      <c r="D23" s="95">
        <f>'DOE25'!G24</f>
        <v>0</v>
      </c>
      <c r="E23" s="95">
        <f>'DOE25'!H24</f>
        <v>10119.530000000001</v>
      </c>
      <c r="F23" s="95">
        <f>'DOE25'!I24</f>
        <v>0</v>
      </c>
      <c r="G23" s="95">
        <f>'DOE25'!J24</f>
        <v>0</v>
      </c>
      <c r="H23" s="124">
        <f t="shared" si="1"/>
        <v>477436.41000000003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20459.810000000001</v>
      </c>
      <c r="E29" s="95">
        <f>'DOE25'!H30</f>
        <v>89924.81</v>
      </c>
      <c r="F29" s="95">
        <f>'DOE25'!I30</f>
        <v>0</v>
      </c>
      <c r="G29" s="24" t="s">
        <v>288</v>
      </c>
      <c r="H29" s="124">
        <f t="shared" si="1"/>
        <v>110384.62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467316.88</v>
      </c>
      <c r="D31" s="41">
        <f>SUM(D21:D30)</f>
        <v>20459.810000000001</v>
      </c>
      <c r="E31" s="41">
        <f>SUM(E21:E30)</f>
        <v>100044.34</v>
      </c>
      <c r="F31" s="41">
        <f>SUM(F21:F30)</f>
        <v>0</v>
      </c>
      <c r="G31" s="41">
        <f>SUM(G21:G30)</f>
        <v>0</v>
      </c>
      <c r="H31" s="41">
        <f t="shared" si="1"/>
        <v>587821.03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63708.77</v>
      </c>
      <c r="E39" s="24" t="s">
        <v>288</v>
      </c>
      <c r="F39" s="24" t="s">
        <v>288</v>
      </c>
      <c r="G39" s="24" t="s">
        <v>288</v>
      </c>
      <c r="H39" s="124">
        <f t="shared" si="2"/>
        <v>63708.77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872053.59</v>
      </c>
      <c r="H42" s="124">
        <f t="shared" si="2"/>
        <v>872053.59</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561430.35</v>
      </c>
      <c r="D45" s="24" t="s">
        <v>288</v>
      </c>
      <c r="E45" s="24" t="s">
        <v>288</v>
      </c>
      <c r="F45" s="24" t="s">
        <v>288</v>
      </c>
      <c r="G45" s="24" t="s">
        <v>288</v>
      </c>
      <c r="H45" s="124">
        <f t="shared" si="2"/>
        <v>561430.35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691516.22</v>
      </c>
      <c r="D49" s="24" t="s">
        <v>288</v>
      </c>
      <c r="E49" s="24" t="s">
        <v>288</v>
      </c>
      <c r="F49" s="24" t="s">
        <v>288</v>
      </c>
      <c r="G49" s="24" t="s">
        <v>288</v>
      </c>
      <c r="H49" s="124">
        <f t="shared" si="2"/>
        <v>691516.22</v>
      </c>
      <c r="I49" s="124"/>
    </row>
    <row r="50" spans="1:9" ht="12.75" thickTop="1" thickBot="1" x14ac:dyDescent="0.25">
      <c r="A50" s="38" t="s">
        <v>884</v>
      </c>
      <c r="B50" s="48"/>
      <c r="C50" s="41">
        <f>SUM(C34:C49)</f>
        <v>1302946.5699999998</v>
      </c>
      <c r="D50" s="41">
        <f>SUM(D34:D49)</f>
        <v>63708.77</v>
      </c>
      <c r="E50" s="41">
        <f>SUM(E34:E49)</f>
        <v>0</v>
      </c>
      <c r="F50" s="41">
        <f>SUM(F34:F49)</f>
        <v>0</v>
      </c>
      <c r="G50" s="41">
        <f>SUM(G34:G49)</f>
        <v>872053.59</v>
      </c>
      <c r="H50" s="41">
        <f t="shared" si="2"/>
        <v>2238708.9299999997</v>
      </c>
      <c r="I50" s="124"/>
    </row>
    <row r="51" spans="1:9" ht="12" thickTop="1" x14ac:dyDescent="0.2">
      <c r="A51" s="38" t="s">
        <v>885</v>
      </c>
      <c r="B51" s="2"/>
      <c r="C51" s="41">
        <f>C50+C31</f>
        <v>1770263.4499999997</v>
      </c>
      <c r="D51" s="41">
        <f>D50+D31</f>
        <v>84168.58</v>
      </c>
      <c r="E51" s="41">
        <f>E50+E31</f>
        <v>100044.34</v>
      </c>
      <c r="F51" s="41">
        <f>F50+F31</f>
        <v>0</v>
      </c>
      <c r="G51" s="41">
        <f>G50+G31</f>
        <v>872053.59</v>
      </c>
      <c r="H51" s="41">
        <f t="shared" si="2"/>
        <v>2826529.96</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9685227</v>
      </c>
      <c r="D56" s="95">
        <f>'DOE25'!G60</f>
        <v>0</v>
      </c>
      <c r="E56" s="95">
        <f>'DOE25'!H60</f>
        <v>0</v>
      </c>
      <c r="F56" s="95">
        <f>'DOE25'!I60</f>
        <v>0</v>
      </c>
      <c r="G56" s="95">
        <f>'DOE25'!J60</f>
        <v>0</v>
      </c>
      <c r="H56" s="124">
        <f t="shared" ref="H56:H63" si="3">SUM(C56:G56)</f>
        <v>9685227</v>
      </c>
      <c r="I56"/>
    </row>
    <row r="57" spans="1:9" x14ac:dyDescent="0.2">
      <c r="A57" s="1" t="s">
        <v>164</v>
      </c>
      <c r="B57" s="6" t="s">
        <v>165</v>
      </c>
      <c r="C57" s="95">
        <f>'DOE25'!F79</f>
        <v>85786.880000000005</v>
      </c>
      <c r="D57" s="24" t="s">
        <v>288</v>
      </c>
      <c r="E57" s="95">
        <f>'DOE25'!H79</f>
        <v>0</v>
      </c>
      <c r="F57" s="24" t="s">
        <v>288</v>
      </c>
      <c r="G57" s="24" t="s">
        <v>288</v>
      </c>
      <c r="H57" s="124">
        <f t="shared" si="3"/>
        <v>85786.880000000005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4719.13</v>
      </c>
      <c r="D59" s="95">
        <f>'DOE25'!G96</f>
        <v>0</v>
      </c>
      <c r="E59" s="95">
        <f>'DOE25'!H96</f>
        <v>0</v>
      </c>
      <c r="F59" s="95">
        <f>'DOE25'!I96</f>
        <v>0</v>
      </c>
      <c r="G59" s="95">
        <f>'DOE25'!J96</f>
        <v>861.29</v>
      </c>
      <c r="H59" s="124">
        <f t="shared" si="3"/>
        <v>5580.42</v>
      </c>
      <c r="I59"/>
    </row>
    <row r="60" spans="1:9" x14ac:dyDescent="0.2">
      <c r="A60" s="1" t="s">
        <v>170</v>
      </c>
      <c r="B60" s="118" t="s">
        <v>171</v>
      </c>
      <c r="C60" s="24" t="s">
        <v>288</v>
      </c>
      <c r="D60" s="95">
        <f>'DOE25'!G97</f>
        <v>30607</v>
      </c>
      <c r="E60" s="24" t="s">
        <v>288</v>
      </c>
      <c r="F60" s="24" t="s">
        <v>288</v>
      </c>
      <c r="G60" s="24" t="s">
        <v>288</v>
      </c>
      <c r="H60" s="124">
        <f t="shared" si="3"/>
        <v>30607</v>
      </c>
      <c r="I60"/>
    </row>
    <row r="61" spans="1:9" ht="12" thickBot="1" x14ac:dyDescent="0.25">
      <c r="A61" s="1" t="s">
        <v>172</v>
      </c>
      <c r="B61" s="118" t="s">
        <v>173</v>
      </c>
      <c r="C61" s="95">
        <f>SUM('DOE25'!F98:F110)</f>
        <v>234144.99</v>
      </c>
      <c r="D61" s="95">
        <f>SUM('DOE25'!G98:G110)</f>
        <v>13860.05</v>
      </c>
      <c r="E61" s="95">
        <f>SUM('DOE25'!H98:H110)</f>
        <v>6351.48</v>
      </c>
      <c r="F61" s="95">
        <f>SUM('DOE25'!I98:I110)</f>
        <v>0</v>
      </c>
      <c r="G61" s="95">
        <f>SUM('DOE25'!J98:J110)</f>
        <v>0</v>
      </c>
      <c r="H61" s="124">
        <f t="shared" si="3"/>
        <v>254356.52</v>
      </c>
      <c r="I61"/>
    </row>
    <row r="62" spans="1:9" ht="12.75" thickTop="1" thickBot="1" x14ac:dyDescent="0.25">
      <c r="A62" s="29" t="s">
        <v>174</v>
      </c>
      <c r="B62" s="6"/>
      <c r="C62" s="130">
        <f>SUM(C57:C61)</f>
        <v>324651</v>
      </c>
      <c r="D62" s="130">
        <f>SUM(D57:D61)</f>
        <v>44467.05</v>
      </c>
      <c r="E62" s="130">
        <f>SUM(E57:E61)</f>
        <v>6351.48</v>
      </c>
      <c r="F62" s="130">
        <f>SUM(F57:F61)</f>
        <v>0</v>
      </c>
      <c r="G62" s="130">
        <f>SUM(G57:G61)</f>
        <v>861.29</v>
      </c>
      <c r="H62" s="124">
        <f t="shared" si="3"/>
        <v>376330.81999999995</v>
      </c>
      <c r="I62"/>
    </row>
    <row r="63" spans="1:9" ht="12" thickTop="1" x14ac:dyDescent="0.2">
      <c r="A63" s="29" t="s">
        <v>175</v>
      </c>
      <c r="B63" s="6"/>
      <c r="C63" s="22">
        <f>C56+C62</f>
        <v>10009878</v>
      </c>
      <c r="D63" s="22">
        <f>D56+D62</f>
        <v>44467.05</v>
      </c>
      <c r="E63" s="22">
        <f>E56+E62</f>
        <v>6351.48</v>
      </c>
      <c r="F63" s="22">
        <f>F56+F62</f>
        <v>0</v>
      </c>
      <c r="G63" s="22">
        <f>G56+G62</f>
        <v>861.29</v>
      </c>
      <c r="H63" s="124">
        <f t="shared" si="3"/>
        <v>10061557.82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3659196.18</v>
      </c>
      <c r="D66" s="24" t="s">
        <v>288</v>
      </c>
      <c r="E66" s="24" t="s">
        <v>288</v>
      </c>
      <c r="F66" s="24" t="s">
        <v>288</v>
      </c>
      <c r="G66" s="24" t="s">
        <v>288</v>
      </c>
      <c r="H66" s="124">
        <f t="shared" ref="H66:H81" si="4">SUM(C66:G66)</f>
        <v>3659196.18</v>
      </c>
      <c r="I66"/>
    </row>
    <row r="67" spans="1:9" x14ac:dyDescent="0.2">
      <c r="A67" s="1" t="s">
        <v>770</v>
      </c>
      <c r="B67" s="6">
        <v>3112</v>
      </c>
      <c r="C67" s="95">
        <f>'DOE25'!F118</f>
        <v>1543380</v>
      </c>
      <c r="D67" s="24"/>
      <c r="E67" s="24"/>
      <c r="F67" s="24"/>
      <c r="G67" s="24"/>
      <c r="H67" s="124">
        <f t="shared" si="4"/>
        <v>1543380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5202576.18</v>
      </c>
      <c r="D70" s="139">
        <f>D69</f>
        <v>0</v>
      </c>
      <c r="E70" s="139">
        <f>E69</f>
        <v>0</v>
      </c>
      <c r="F70" s="139">
        <f>F69</f>
        <v>0</v>
      </c>
      <c r="G70" s="139">
        <f>G69</f>
        <v>0</v>
      </c>
      <c r="H70" s="124">
        <f t="shared" si="4"/>
        <v>5202576.18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208806.95</v>
      </c>
      <c r="D72" s="24" t="s">
        <v>288</v>
      </c>
      <c r="E72" s="24" t="s">
        <v>288</v>
      </c>
      <c r="F72" s="95">
        <f>'DOE25'!I123</f>
        <v>0</v>
      </c>
      <c r="G72" s="24" t="s">
        <v>288</v>
      </c>
      <c r="H72" s="124">
        <f t="shared" si="4"/>
        <v>208806.95</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183768.56</v>
      </c>
      <c r="D75" s="24" t="s">
        <v>288</v>
      </c>
      <c r="E75" s="24" t="s">
        <v>288</v>
      </c>
      <c r="F75" s="24" t="s">
        <v>288</v>
      </c>
      <c r="G75" s="24" t="s">
        <v>288</v>
      </c>
      <c r="H75" s="124">
        <f t="shared" si="4"/>
        <v>183768.56</v>
      </c>
      <c r="I75"/>
    </row>
    <row r="76" spans="1:9" x14ac:dyDescent="0.2">
      <c r="A76" s="1" t="s">
        <v>257</v>
      </c>
      <c r="B76" s="6" t="s">
        <v>179</v>
      </c>
      <c r="C76" s="95">
        <f>SUM('DOE25'!F127:F130)</f>
        <v>319471.64</v>
      </c>
      <c r="D76" s="24" t="s">
        <v>288</v>
      </c>
      <c r="E76" s="95">
        <f>SUM('DOE25'!H127:H130)</f>
        <v>0</v>
      </c>
      <c r="F76" s="95">
        <f>SUM('DOE25'!I127:I130)</f>
        <v>0</v>
      </c>
      <c r="G76" s="24" t="s">
        <v>288</v>
      </c>
      <c r="H76" s="124">
        <f t="shared" si="4"/>
        <v>319471.64</v>
      </c>
      <c r="I76"/>
    </row>
    <row r="77" spans="1:9" ht="12" thickBot="1" x14ac:dyDescent="0.25">
      <c r="A77" s="1" t="s">
        <v>258</v>
      </c>
      <c r="B77" s="6" t="s">
        <v>180</v>
      </c>
      <c r="C77" s="95">
        <f>SUM('DOE25'!F131:F135)</f>
        <v>0</v>
      </c>
      <c r="D77" s="95">
        <f>SUM('DOE25'!G131:G135)</f>
        <v>4811.8099999999995</v>
      </c>
      <c r="E77" s="95">
        <f>SUM('DOE25'!H131:H135)</f>
        <v>0</v>
      </c>
      <c r="F77" s="95">
        <f>SUM('DOE25'!I131:I135)</f>
        <v>0</v>
      </c>
      <c r="G77" s="95">
        <f>SUM('DOE25'!J131:J135)</f>
        <v>0</v>
      </c>
      <c r="H77" s="124">
        <f t="shared" si="4"/>
        <v>4811.8099999999995</v>
      </c>
      <c r="I77"/>
    </row>
    <row r="78" spans="1:9" ht="12.75" thickTop="1" thickBot="1" x14ac:dyDescent="0.25">
      <c r="A78" s="29" t="s">
        <v>259</v>
      </c>
      <c r="B78" s="6"/>
      <c r="C78" s="130">
        <f>SUM(C72:C77)</f>
        <v>712047.15</v>
      </c>
      <c r="D78" s="130">
        <f>SUM(D72:D77)</f>
        <v>4811.8099999999995</v>
      </c>
      <c r="E78" s="130">
        <f>SUM(E72:E77)</f>
        <v>0</v>
      </c>
      <c r="F78" s="130">
        <f>SUM(F72:F77)</f>
        <v>0</v>
      </c>
      <c r="G78" s="130">
        <f>SUM(G72:G77)</f>
        <v>0</v>
      </c>
      <c r="H78" s="124">
        <f t="shared" si="4"/>
        <v>716858.96000000008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5914623.3300000001</v>
      </c>
      <c r="D81" s="130">
        <f>SUM(D79:D80)+D78+D70</f>
        <v>4811.8099999999995</v>
      </c>
      <c r="E81" s="130">
        <f>SUM(E79:E80)+E78+E70</f>
        <v>0</v>
      </c>
      <c r="F81" s="130">
        <f>SUM(F79:F80)+F78+F70</f>
        <v>0</v>
      </c>
      <c r="G81" s="130">
        <f>SUM(G79:G80)+G78+G70</f>
        <v>0</v>
      </c>
      <c r="H81" s="130">
        <f t="shared" si="4"/>
        <v>5919435.1399999997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72683.61</v>
      </c>
      <c r="D85" s="95">
        <f>'DOE25'!G147</f>
        <v>0</v>
      </c>
      <c r="E85" s="95">
        <f>'DOE25'!H147</f>
        <v>0</v>
      </c>
      <c r="F85" s="95">
        <f>'DOE25'!I147</f>
        <v>0</v>
      </c>
      <c r="G85" s="24" t="s">
        <v>288</v>
      </c>
      <c r="H85" s="124">
        <f t="shared" ref="H85:H104" si="5">SUM(C85:G85)</f>
        <v>72683.61</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429335.77999999997</v>
      </c>
      <c r="E88" s="326">
        <f>SUM('DOE25'!H153:H162)</f>
        <v>2112273.5500000003</v>
      </c>
      <c r="F88" s="326">
        <f>SUM('DOE25'!I153:I162)</f>
        <v>0</v>
      </c>
      <c r="G88" s="24" t="s">
        <v>288</v>
      </c>
      <c r="H88" s="124">
        <f t="shared" si="5"/>
        <v>2541609.33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1419.35</v>
      </c>
      <c r="D90" s="24" t="s">
        <v>288</v>
      </c>
      <c r="E90" s="24" t="s">
        <v>288</v>
      </c>
      <c r="F90" s="24" t="s">
        <v>288</v>
      </c>
      <c r="G90" s="24" t="s">
        <v>288</v>
      </c>
      <c r="H90" s="124">
        <f t="shared" si="5"/>
        <v>1419.35</v>
      </c>
    </row>
    <row r="91" spans="1:9" ht="12.75" thickTop="1" thickBot="1" x14ac:dyDescent="0.25">
      <c r="A91" s="33" t="s">
        <v>750</v>
      </c>
      <c r="C91" s="131">
        <f>SUM(C85:C90)</f>
        <v>74102.960000000006</v>
      </c>
      <c r="D91" s="131">
        <f>SUM(D85:D90)</f>
        <v>429335.77999999997</v>
      </c>
      <c r="E91" s="131">
        <f>SUM(E85:E90)</f>
        <v>2112273.5500000003</v>
      </c>
      <c r="F91" s="131">
        <f>SUM(F85:F90)</f>
        <v>0</v>
      </c>
      <c r="G91" s="24" t="s">
        <v>288</v>
      </c>
      <c r="H91" s="124">
        <f t="shared" si="5"/>
        <v>2615712.29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1285.3800000000001</v>
      </c>
      <c r="D93" s="24" t="s">
        <v>288</v>
      </c>
      <c r="E93" s="24" t="s">
        <v>288</v>
      </c>
      <c r="F93" s="95">
        <f>SUM('DOE25'!I174:I176)</f>
        <v>0</v>
      </c>
      <c r="G93" s="24" t="s">
        <v>288</v>
      </c>
      <c r="H93" s="124">
        <f t="shared" si="5"/>
        <v>1285.3800000000001</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10000</v>
      </c>
      <c r="F96" s="95">
        <f>'DOE25'!I180</f>
        <v>0</v>
      </c>
      <c r="G96" s="95">
        <f>'DOE25'!J180</f>
        <v>8718.08</v>
      </c>
      <c r="H96" s="124">
        <f t="shared" si="5"/>
        <v>18718.080000000002</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46825.66</v>
      </c>
      <c r="D99" s="95">
        <f>'DOE25'!G186</f>
        <v>0</v>
      </c>
      <c r="E99" s="95">
        <f>'DOE25'!H186</f>
        <v>0</v>
      </c>
      <c r="F99" s="95">
        <f>'DOE25'!I186</f>
        <v>0</v>
      </c>
      <c r="G99" s="24" t="s">
        <v>288</v>
      </c>
      <c r="H99" s="124">
        <f t="shared" si="5"/>
        <v>46825.66</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48111.040000000001</v>
      </c>
      <c r="D103" s="86">
        <f>SUM(D93:D102)</f>
        <v>0</v>
      </c>
      <c r="E103" s="86">
        <f>SUM(E93:E102)</f>
        <v>10000</v>
      </c>
      <c r="F103" s="86">
        <f>SUM(F93:F102)</f>
        <v>0</v>
      </c>
      <c r="G103" s="86">
        <f>SUM(G93:G102)</f>
        <v>8718.08</v>
      </c>
      <c r="H103" s="86">
        <f t="shared" si="5"/>
        <v>66829.119999999995</v>
      </c>
    </row>
    <row r="104" spans="1:8" ht="12.75" thickTop="1" thickBot="1" x14ac:dyDescent="0.25">
      <c r="A104" s="33" t="s">
        <v>761</v>
      </c>
      <c r="C104" s="86">
        <f>C63+C81+C91+C103</f>
        <v>16046715.33</v>
      </c>
      <c r="D104" s="86">
        <f>D63+D81+D91+D103</f>
        <v>478614.63999999996</v>
      </c>
      <c r="E104" s="86">
        <f>E63+E81+E91+E103</f>
        <v>2128625.0300000003</v>
      </c>
      <c r="F104" s="86">
        <f>F63+F81+F91+F103</f>
        <v>0</v>
      </c>
      <c r="G104" s="86">
        <f>G63+G81+G103</f>
        <v>9579.369999999999</v>
      </c>
      <c r="H104" s="86">
        <f t="shared" si="5"/>
        <v>18663534.370000001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4743953.6899999995</v>
      </c>
      <c r="D109" s="24" t="s">
        <v>288</v>
      </c>
      <c r="E109" s="95">
        <f>('DOE25'!L277)+('DOE25'!L296)+('DOE25'!L315)</f>
        <v>756453.06</v>
      </c>
      <c r="F109" s="24" t="s">
        <v>288</v>
      </c>
      <c r="G109" s="24" t="s">
        <v>288</v>
      </c>
      <c r="H109" s="124">
        <f t="shared" ref="H109:H115" si="6">SUM(C109:G109)</f>
        <v>5500406.75</v>
      </c>
    </row>
    <row r="110" spans="1:8" x14ac:dyDescent="0.2">
      <c r="A110" t="s">
        <v>198</v>
      </c>
      <c r="B110" s="32" t="s">
        <v>199</v>
      </c>
      <c r="C110" s="95">
        <f>('DOE25'!L199)+('DOE25'!L217)+('DOE25'!L235)</f>
        <v>2660120.75</v>
      </c>
      <c r="D110" s="24" t="s">
        <v>288</v>
      </c>
      <c r="E110" s="95">
        <f>('DOE25'!L278)+('DOE25'!L297)+('DOE25'!L316)</f>
        <v>204167.36</v>
      </c>
      <c r="F110" s="24" t="s">
        <v>288</v>
      </c>
      <c r="G110" s="24" t="s">
        <v>288</v>
      </c>
      <c r="H110" s="124">
        <f t="shared" si="6"/>
        <v>2864288.11</v>
      </c>
    </row>
    <row r="111" spans="1:8" x14ac:dyDescent="0.2">
      <c r="A111" t="s">
        <v>200</v>
      </c>
      <c r="B111" s="32" t="s">
        <v>165</v>
      </c>
      <c r="C111" s="95">
        <f>('DOE25'!L200)+('DOE25'!L218)+('DOE25'!L236)</f>
        <v>1074733.3199999998</v>
      </c>
      <c r="D111" s="24" t="s">
        <v>288</v>
      </c>
      <c r="E111" s="95">
        <f>('DOE25'!L279)+('DOE25'!L298)+('DOE25'!L317)</f>
        <v>59924.24</v>
      </c>
      <c r="F111" s="24" t="s">
        <v>288</v>
      </c>
      <c r="G111" s="24" t="s">
        <v>288</v>
      </c>
      <c r="H111" s="124">
        <f t="shared" si="6"/>
        <v>1134657.5599999998</v>
      </c>
    </row>
    <row r="112" spans="1:8" x14ac:dyDescent="0.2">
      <c r="A112" t="s">
        <v>201</v>
      </c>
      <c r="B112" s="32" t="s">
        <v>167</v>
      </c>
      <c r="C112" s="95">
        <f>('DOE25'!L201)+('DOE25'!L219)+('DOE25'!L237)</f>
        <v>204012.25</v>
      </c>
      <c r="D112" s="24" t="s">
        <v>288</v>
      </c>
      <c r="E112" s="95">
        <f>+('DOE25'!L280)+('DOE25'!L299)+('DOE25'!L318)</f>
        <v>42734.369999999995</v>
      </c>
      <c r="F112" s="24" t="s">
        <v>288</v>
      </c>
      <c r="G112" s="24" t="s">
        <v>288</v>
      </c>
      <c r="H112" s="124">
        <f t="shared" si="6"/>
        <v>246746.62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116304.59999999999</v>
      </c>
      <c r="D114" s="24" t="s">
        <v>288</v>
      </c>
      <c r="E114" s="95">
        <f>+ SUM('DOE25'!L334:L336)</f>
        <v>160077.47</v>
      </c>
      <c r="F114" s="24" t="s">
        <v>288</v>
      </c>
      <c r="G114" s="24" t="s">
        <v>288</v>
      </c>
      <c r="H114" s="124">
        <f t="shared" si="6"/>
        <v>276382.07</v>
      </c>
    </row>
    <row r="115" spans="1:8" ht="12.75" thickTop="1" thickBot="1" x14ac:dyDescent="0.25">
      <c r="A115" s="33" t="s">
        <v>205</v>
      </c>
      <c r="C115" s="86">
        <f>SUM(C109:C114)</f>
        <v>8799124.6099999994</v>
      </c>
      <c r="D115" s="86">
        <f>SUM(D109:D114)</f>
        <v>0</v>
      </c>
      <c r="E115" s="86">
        <f>SUM(E109:E114)</f>
        <v>1223356.5</v>
      </c>
      <c r="F115" s="86">
        <f>SUM(F109:F114)</f>
        <v>0</v>
      </c>
      <c r="G115" s="86">
        <f>SUM(G109:G114)</f>
        <v>0</v>
      </c>
      <c r="H115" s="86">
        <f t="shared" si="6"/>
        <v>10022481.109999999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1340343.48</v>
      </c>
      <c r="D118" s="24" t="s">
        <v>288</v>
      </c>
      <c r="E118" s="95">
        <f>+('DOE25'!L282)+('DOE25'!L301)+('DOE25'!L320)</f>
        <v>153348.07999999999</v>
      </c>
      <c r="F118" s="24" t="s">
        <v>288</v>
      </c>
      <c r="G118" s="24" t="s">
        <v>288</v>
      </c>
      <c r="H118" s="124">
        <f t="shared" ref="H118:H145" si="7">SUM(C118:G118)</f>
        <v>1493691.56</v>
      </c>
    </row>
    <row r="119" spans="1:8" x14ac:dyDescent="0.2">
      <c r="A119" t="s">
        <v>208</v>
      </c>
      <c r="B119" s="32" t="s">
        <v>209</v>
      </c>
      <c r="C119" s="95">
        <f>('DOE25'!L204)+('DOE25'!L222)+('DOE25'!L240)</f>
        <v>322039.31000000006</v>
      </c>
      <c r="D119" s="24" t="s">
        <v>288</v>
      </c>
      <c r="E119" s="95">
        <f>+('DOE25'!L283)+('DOE25'!L302)+('DOE25'!L321)</f>
        <v>471940.07</v>
      </c>
      <c r="F119" s="24" t="s">
        <v>288</v>
      </c>
      <c r="G119" s="24" t="s">
        <v>288</v>
      </c>
      <c r="H119" s="124">
        <f t="shared" si="7"/>
        <v>793979.38000000012</v>
      </c>
    </row>
    <row r="120" spans="1:8" x14ac:dyDescent="0.2">
      <c r="A120" t="s">
        <v>210</v>
      </c>
      <c r="B120" s="32" t="s">
        <v>211</v>
      </c>
      <c r="C120" s="95">
        <f>('DOE25'!L205)+('DOE25'!L223)+('DOE25'!L241)</f>
        <v>775147.28</v>
      </c>
      <c r="D120" s="24" t="s">
        <v>288</v>
      </c>
      <c r="E120" s="95">
        <f>+('DOE25'!L284)+('DOE25'!L303)+('DOE25'!L322)</f>
        <v>26586.130000000005</v>
      </c>
      <c r="F120" s="24" t="s">
        <v>288</v>
      </c>
      <c r="G120" s="24" t="s">
        <v>288</v>
      </c>
      <c r="H120" s="124">
        <f t="shared" si="7"/>
        <v>801733.41</v>
      </c>
    </row>
    <row r="121" spans="1:8" x14ac:dyDescent="0.2">
      <c r="A121" t="s">
        <v>212</v>
      </c>
      <c r="B121" s="32" t="s">
        <v>213</v>
      </c>
      <c r="C121" s="95">
        <f>('DOE25'!L206)+('DOE25'!L224)+('DOE25'!L242)</f>
        <v>810389.71</v>
      </c>
      <c r="D121" s="24" t="s">
        <v>288</v>
      </c>
      <c r="E121" s="95">
        <f>+('DOE25'!L285)+('DOE25'!L304)+('DOE25'!L323)</f>
        <v>0</v>
      </c>
      <c r="F121" s="24" t="s">
        <v>288</v>
      </c>
      <c r="G121" s="24" t="s">
        <v>288</v>
      </c>
      <c r="H121" s="124">
        <f t="shared" si="7"/>
        <v>810389.71</v>
      </c>
    </row>
    <row r="122" spans="1:8" x14ac:dyDescent="0.2">
      <c r="A122" t="s">
        <v>214</v>
      </c>
      <c r="B122" s="32" t="s">
        <v>215</v>
      </c>
      <c r="C122" s="95">
        <f>('DOE25'!L207)+('DOE25'!L225)+('DOE25'!L243)</f>
        <v>227720.95</v>
      </c>
      <c r="D122" s="24" t="s">
        <v>288</v>
      </c>
      <c r="E122" s="95">
        <f>+('DOE25'!L286)+('DOE25'!L305)+('DOE25'!L324)</f>
        <v>16874.28</v>
      </c>
      <c r="F122" s="24" t="s">
        <v>288</v>
      </c>
      <c r="G122" s="24" t="s">
        <v>288</v>
      </c>
      <c r="H122" s="124">
        <f t="shared" si="7"/>
        <v>244595.23</v>
      </c>
    </row>
    <row r="123" spans="1:8" x14ac:dyDescent="0.2">
      <c r="A123" t="s">
        <v>216</v>
      </c>
      <c r="B123" s="32" t="s">
        <v>217</v>
      </c>
      <c r="C123" s="95">
        <f>('DOE25'!L208)+('DOE25'!L226)+('DOE25'!L244)</f>
        <v>1877867.69</v>
      </c>
      <c r="D123" s="24" t="s">
        <v>288</v>
      </c>
      <c r="E123" s="95">
        <f>+('DOE25'!L287)+('DOE25'!L306)+('DOE25'!L325)</f>
        <v>134218.32</v>
      </c>
      <c r="F123" s="24" t="s">
        <v>288</v>
      </c>
      <c r="G123" s="24" t="s">
        <v>288</v>
      </c>
      <c r="H123" s="124">
        <f t="shared" si="7"/>
        <v>2012086.01</v>
      </c>
    </row>
    <row r="124" spans="1:8" x14ac:dyDescent="0.2">
      <c r="A124" t="s">
        <v>218</v>
      </c>
      <c r="B124" s="32" t="s">
        <v>219</v>
      </c>
      <c r="C124" s="95">
        <f>('DOE25'!L209)+('DOE25'!L227)+('DOE25'!L245+'DOE25'!L255)</f>
        <v>369240.83999999997</v>
      </c>
      <c r="D124" s="24" t="s">
        <v>288</v>
      </c>
      <c r="E124" s="95">
        <f>+('DOE25'!L288)+('DOE25'!L307)+('DOE25'!L326)</f>
        <v>44831.5</v>
      </c>
      <c r="F124" s="24" t="s">
        <v>288</v>
      </c>
      <c r="G124" s="24" t="s">
        <v>288</v>
      </c>
      <c r="H124" s="124">
        <f t="shared" si="7"/>
        <v>414072.33999999997</v>
      </c>
    </row>
    <row r="125" spans="1:8" x14ac:dyDescent="0.2">
      <c r="A125" t="s">
        <v>220</v>
      </c>
      <c r="B125" s="32" t="s">
        <v>221</v>
      </c>
      <c r="C125" s="95">
        <f>('DOE25'!L210)+('DOE25'!L228)+('DOE25'!L246)</f>
        <v>495917</v>
      </c>
      <c r="D125" s="24" t="s">
        <v>288</v>
      </c>
      <c r="E125" s="95">
        <f>+('DOE25'!L289)+('DOE25'!L308)+('DOE25'!L327)</f>
        <v>57470.149999999994</v>
      </c>
      <c r="F125" s="24" t="s">
        <v>288</v>
      </c>
      <c r="G125" s="24" t="s">
        <v>288</v>
      </c>
      <c r="H125" s="124">
        <f t="shared" si="7"/>
        <v>553387.15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414905.87</v>
      </c>
      <c r="E127" s="24" t="s">
        <v>288</v>
      </c>
      <c r="F127" s="24" t="s">
        <v>288</v>
      </c>
      <c r="G127" s="24" t="s">
        <v>288</v>
      </c>
      <c r="H127" s="124">
        <f t="shared" si="7"/>
        <v>414905.87</v>
      </c>
    </row>
    <row r="128" spans="1:8" ht="12.75" thickTop="1" thickBot="1" x14ac:dyDescent="0.25">
      <c r="A128" s="33" t="s">
        <v>226</v>
      </c>
      <c r="C128" s="86">
        <f>SUM(C118:C127)</f>
        <v>6218666.2599999998</v>
      </c>
      <c r="D128" s="86">
        <f>SUM(D118:D127)</f>
        <v>414905.87</v>
      </c>
      <c r="E128" s="86">
        <f>SUM(E118:E127)</f>
        <v>905268.53000000014</v>
      </c>
      <c r="F128" s="86">
        <f>SUM(F118:F127)</f>
        <v>0</v>
      </c>
      <c r="G128" s="86">
        <f>SUM(G118:G127)</f>
        <v>0</v>
      </c>
      <c r="H128" s="86">
        <f t="shared" si="7"/>
        <v>7538840.6600000001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10039.969999999999</v>
      </c>
      <c r="D130" s="24" t="s">
        <v>288</v>
      </c>
      <c r="E130" s="129">
        <f>'DOE25'!L337</f>
        <v>0</v>
      </c>
      <c r="F130" s="129">
        <f>SUM('DOE25'!L375:'DOE25'!L381)</f>
        <v>0</v>
      </c>
      <c r="G130" s="24" t="s">
        <v>288</v>
      </c>
      <c r="H130" s="124">
        <f t="shared" si="7"/>
        <v>10039.969999999999</v>
      </c>
    </row>
    <row r="131" spans="1:8" x14ac:dyDescent="0.2">
      <c r="A131" t="s">
        <v>229</v>
      </c>
      <c r="B131" s="32">
        <v>5110</v>
      </c>
      <c r="C131" s="95">
        <f>'DOE25'!L261</f>
        <v>560000</v>
      </c>
      <c r="D131" s="24" t="s">
        <v>288</v>
      </c>
      <c r="E131" s="129">
        <f>'DOE25'!L342</f>
        <v>0</v>
      </c>
      <c r="F131" s="24" t="s">
        <v>288</v>
      </c>
      <c r="G131" s="24" t="s">
        <v>288</v>
      </c>
      <c r="H131" s="124">
        <f t="shared" si="7"/>
        <v>560000</v>
      </c>
    </row>
    <row r="132" spans="1:8" x14ac:dyDescent="0.2">
      <c r="A132" t="s">
        <v>230</v>
      </c>
      <c r="B132" s="32">
        <v>5120</v>
      </c>
      <c r="C132" s="95">
        <f>'DOE25'!L262</f>
        <v>84202</v>
      </c>
      <c r="D132" s="24" t="s">
        <v>288</v>
      </c>
      <c r="E132" s="129">
        <f>'DOE25'!L343</f>
        <v>0</v>
      </c>
      <c r="F132" s="24" t="s">
        <v>288</v>
      </c>
      <c r="G132" s="24" t="s">
        <v>288</v>
      </c>
      <c r="H132" s="124">
        <f t="shared" si="7"/>
        <v>84202</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46825.66</v>
      </c>
      <c r="H134" s="124">
        <f t="shared" si="7"/>
        <v>46825.66</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10000</v>
      </c>
      <c r="D136" s="24" t="s">
        <v>288</v>
      </c>
      <c r="E136" s="24" t="s">
        <v>288</v>
      </c>
      <c r="F136" s="24" t="s">
        <v>288</v>
      </c>
      <c r="G136" s="24" t="s">
        <v>288</v>
      </c>
      <c r="H136" s="124">
        <f t="shared" si="7"/>
        <v>10000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9579.369999999999</v>
      </c>
      <c r="D138" s="24" t="s">
        <v>288</v>
      </c>
      <c r="E138" s="24" t="s">
        <v>288</v>
      </c>
      <c r="F138" s="24" t="s">
        <v>288</v>
      </c>
      <c r="G138" s="24" t="s">
        <v>288</v>
      </c>
      <c r="H138" s="124">
        <f t="shared" si="7"/>
        <v>9579.369999999999</v>
      </c>
    </row>
    <row r="139" spans="1:8" x14ac:dyDescent="0.2">
      <c r="A139" t="s">
        <v>239</v>
      </c>
      <c r="B139" s="32">
        <v>5252</v>
      </c>
      <c r="C139" s="95">
        <f>'DOE25'!L402</f>
        <v>0</v>
      </c>
      <c r="D139" s="24" t="s">
        <v>288</v>
      </c>
      <c r="E139" s="24" t="s">
        <v>288</v>
      </c>
      <c r="F139" s="24" t="s">
        <v>288</v>
      </c>
      <c r="G139" s="24" t="s">
        <v>288</v>
      </c>
      <c r="H139" s="124">
        <f t="shared" si="7"/>
        <v>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-861.28999999999905</v>
      </c>
      <c r="D141" s="24" t="s">
        <v>288</v>
      </c>
      <c r="E141" s="24" t="s">
        <v>288</v>
      </c>
      <c r="F141" s="24" t="s">
        <v>288</v>
      </c>
      <c r="G141" s="24" t="s">
        <v>288</v>
      </c>
      <c r="H141" s="124">
        <f t="shared" si="7"/>
        <v>-861.28999999999905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672960.04999999993</v>
      </c>
      <c r="D144" s="141">
        <f>SUM(D130:D143)</f>
        <v>0</v>
      </c>
      <c r="E144" s="141">
        <f>SUM(E130:E143)</f>
        <v>0</v>
      </c>
      <c r="F144" s="141">
        <f>SUM(F130:F143)</f>
        <v>0</v>
      </c>
      <c r="G144" s="141">
        <f>SUM(G130:G143)</f>
        <v>46825.66</v>
      </c>
      <c r="H144" s="141">
        <f t="shared" si="7"/>
        <v>719785.71</v>
      </c>
    </row>
    <row r="145" spans="1:9" ht="12.75" thickTop="1" thickBot="1" x14ac:dyDescent="0.25">
      <c r="A145" s="33" t="s">
        <v>244</v>
      </c>
      <c r="C145" s="86">
        <f>(C115+C128+C144)</f>
        <v>15690750.92</v>
      </c>
      <c r="D145" s="86">
        <f>(D115+D128+D144)</f>
        <v>414905.87</v>
      </c>
      <c r="E145" s="86">
        <f>(E115+E128+E144)</f>
        <v>2128625.0300000003</v>
      </c>
      <c r="F145" s="86">
        <f>(F115+F128+F144)</f>
        <v>0</v>
      </c>
      <c r="G145" s="86">
        <f>(G115+G128+G144)</f>
        <v>46825.66</v>
      </c>
      <c r="H145" s="86">
        <f t="shared" si="7"/>
        <v>18281107.48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Littleton</v>
      </c>
    </row>
    <row r="3" spans="1:4" x14ac:dyDescent="0.2">
      <c r="B3" s="187" t="s">
        <v>1799</v>
      </c>
    </row>
    <row r="4" spans="1:4" x14ac:dyDescent="0.2">
      <c r="B4" t="s">
        <v>61</v>
      </c>
      <c r="C4" s="178">
        <f>IF('DOE25'!F666+'DOE25'!F671=0,0,ROUND('DOE25'!F673,0))</f>
        <v>22495</v>
      </c>
    </row>
    <row r="5" spans="1:4" x14ac:dyDescent="0.2">
      <c r="B5" t="s">
        <v>700</v>
      </c>
      <c r="C5" s="178">
        <f>IF('DOE25'!G666+'DOE25'!G671=0,0,ROUND('DOE25'!G673,0))</f>
        <v>20795</v>
      </c>
    </row>
    <row r="6" spans="1:4" x14ac:dyDescent="0.2">
      <c r="B6" t="s">
        <v>62</v>
      </c>
      <c r="C6" s="178">
        <f>IF('DOE25'!H666+'DOE25'!H671=0,0,ROUND('DOE25'!H673,0))</f>
        <v>24656</v>
      </c>
    </row>
    <row r="7" spans="1:4" x14ac:dyDescent="0.2">
      <c r="B7" t="s">
        <v>701</v>
      </c>
      <c r="C7" s="178">
        <f>IF('DOE25'!I666+'DOE25'!I671=0,0,ROUND('DOE25'!I673,0))</f>
        <v>22910</v>
      </c>
    </row>
    <row r="9" spans="1:4" x14ac:dyDescent="0.2">
      <c r="A9" s="186" t="s">
        <v>94</v>
      </c>
      <c r="B9" s="187" t="s">
        <v>1800</v>
      </c>
      <c r="C9" s="180" t="s">
        <v>720</v>
      </c>
      <c r="D9" s="180" t="s">
        <v>721</v>
      </c>
    </row>
    <row r="10" spans="1:4" x14ac:dyDescent="0.2">
      <c r="A10">
        <v>1100</v>
      </c>
      <c r="B10" t="s">
        <v>702</v>
      </c>
      <c r="C10" s="178">
        <f>ROUND('DOE25'!L198+'DOE25'!L216+'DOE25'!L234+'DOE25'!L277+'DOE25'!L296+'DOE25'!L315,0)</f>
        <v>5500407</v>
      </c>
      <c r="D10" s="181">
        <f>ROUND((C10/$C$28)*100,1)</f>
        <v>31.3</v>
      </c>
    </row>
    <row r="11" spans="1:4" x14ac:dyDescent="0.2">
      <c r="A11">
        <v>1200</v>
      </c>
      <c r="B11" t="s">
        <v>703</v>
      </c>
      <c r="C11" s="178">
        <f>ROUND('DOE25'!L199+'DOE25'!L217+'DOE25'!L235+'DOE25'!L278+'DOE25'!L297+'DOE25'!L316,0)</f>
        <v>2864288</v>
      </c>
      <c r="D11" s="181">
        <f>ROUND((C11/$C$28)*100,1)</f>
        <v>16.3</v>
      </c>
    </row>
    <row r="12" spans="1:4" x14ac:dyDescent="0.2">
      <c r="A12">
        <v>1300</v>
      </c>
      <c r="B12" t="s">
        <v>704</v>
      </c>
      <c r="C12" s="178">
        <f>ROUND('DOE25'!L200+'DOE25'!L218+'DOE25'!L236+'DOE25'!L279+'DOE25'!L298+'DOE25'!L317,0)</f>
        <v>1134658</v>
      </c>
      <c r="D12" s="181">
        <f>ROUND((C12/$C$28)*100,1)</f>
        <v>6.4</v>
      </c>
    </row>
    <row r="13" spans="1:4" x14ac:dyDescent="0.2">
      <c r="A13">
        <v>1400</v>
      </c>
      <c r="B13" t="s">
        <v>705</v>
      </c>
      <c r="C13" s="178">
        <f>ROUND('DOE25'!L201+'DOE25'!L219+'DOE25'!L237+'DOE25'!L280+'DOE25'!L299+'DOE25'!L318,0)</f>
        <v>246747</v>
      </c>
      <c r="D13" s="181">
        <f>ROUND((C13/$C$28)*100,1)</f>
        <v>1.4</v>
      </c>
    </row>
    <row r="14" spans="1:4" x14ac:dyDescent="0.2">
      <c r="D14" s="181"/>
    </row>
    <row r="15" spans="1:4" x14ac:dyDescent="0.2">
      <c r="A15">
        <v>2100</v>
      </c>
      <c r="B15" t="s">
        <v>706</v>
      </c>
      <c r="C15" s="178">
        <f>ROUND('DOE25'!L203+'DOE25'!L221+'DOE25'!L239+'DOE25'!L282+'DOE25'!L301+'DOE25'!L320,0)</f>
        <v>1493692</v>
      </c>
      <c r="D15" s="181">
        <f t="shared" ref="D15:D27" si="0">ROUND((C15/$C$28)*100,1)</f>
        <v>8.5</v>
      </c>
    </row>
    <row r="16" spans="1:4" x14ac:dyDescent="0.2">
      <c r="A16">
        <v>2200</v>
      </c>
      <c r="B16" t="s">
        <v>707</v>
      </c>
      <c r="C16" s="178">
        <f>ROUND('DOE25'!L204+'DOE25'!L222+'DOE25'!L240+'DOE25'!L283+'DOE25'!L302+'DOE25'!L321,0)</f>
        <v>793979</v>
      </c>
      <c r="D16" s="181">
        <f t="shared" si="0"/>
        <v>4.5</v>
      </c>
    </row>
    <row r="17" spans="1:4" x14ac:dyDescent="0.2">
      <c r="A17" s="182" t="s">
        <v>723</v>
      </c>
      <c r="B17" t="s">
        <v>738</v>
      </c>
      <c r="C17" s="178">
        <f>ROUND('DOE25'!L205+'DOE25'!L210+'DOE25'!L223+'DOE25'!L228+'DOE25'!L241+'DOE25'!L246+'DOE25'!L284+'DOE25'!L289+'DOE25'!L303+'DOE25'!L308+'DOE25'!L322+'DOE25'!L327,0)</f>
        <v>1355121</v>
      </c>
      <c r="D17" s="181">
        <f t="shared" si="0"/>
        <v>7.7</v>
      </c>
    </row>
    <row r="18" spans="1:4" x14ac:dyDescent="0.2">
      <c r="A18">
        <v>2400</v>
      </c>
      <c r="B18" t="s">
        <v>711</v>
      </c>
      <c r="C18" s="178">
        <f>ROUND('DOE25'!L206+'DOE25'!L224+'DOE25'!L242+'DOE25'!L285+'DOE25'!L304+'DOE25'!L323,0)</f>
        <v>810390</v>
      </c>
      <c r="D18" s="181">
        <f t="shared" si="0"/>
        <v>4.5999999999999996</v>
      </c>
    </row>
    <row r="19" spans="1:4" x14ac:dyDescent="0.2">
      <c r="A19">
        <v>2500</v>
      </c>
      <c r="B19" t="s">
        <v>708</v>
      </c>
      <c r="C19" s="178">
        <f>ROUND('DOE25'!L207+'DOE25'!L225+'DOE25'!L243+'DOE25'!L286+'DOE25'!L305+'DOE25'!L324,0)</f>
        <v>244595</v>
      </c>
      <c r="D19" s="181">
        <f t="shared" si="0"/>
        <v>1.4</v>
      </c>
    </row>
    <row r="20" spans="1:4" x14ac:dyDescent="0.2">
      <c r="A20">
        <v>2600</v>
      </c>
      <c r="B20" t="s">
        <v>709</v>
      </c>
      <c r="C20" s="178">
        <f>ROUND('DOE25'!L208+'DOE25'!L226+'DOE25'!L244+'DOE25'!L287+'DOE25'!L306+'DOE25'!L325,0)</f>
        <v>2012086</v>
      </c>
      <c r="D20" s="181">
        <f t="shared" si="0"/>
        <v>11.4</v>
      </c>
    </row>
    <row r="21" spans="1:4" x14ac:dyDescent="0.2">
      <c r="A21">
        <v>2700</v>
      </c>
      <c r="B21" t="s">
        <v>710</v>
      </c>
      <c r="C21" s="178">
        <f>ROUND('DOE25'!L209+'DOE25'!L227+'DOE25'!L245+'DOE25'!L288+'DOE25'!L307+'DOE25'!L326,0)</f>
        <v>414072</v>
      </c>
      <c r="D21" s="181">
        <f t="shared" si="0"/>
        <v>2.4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276382</v>
      </c>
      <c r="D24" s="181">
        <f t="shared" si="0"/>
        <v>1.6</v>
      </c>
    </row>
    <row r="25" spans="1:4" x14ac:dyDescent="0.2">
      <c r="A25">
        <v>5120</v>
      </c>
      <c r="B25" t="s">
        <v>716</v>
      </c>
      <c r="C25" s="178">
        <f>ROUND('DOE25'!L262+'DOE25'!L343,0)</f>
        <v>84202</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370438.95</v>
      </c>
      <c r="D27" s="181">
        <f t="shared" si="0"/>
        <v>2.1</v>
      </c>
    </row>
    <row r="28" spans="1:4" x14ac:dyDescent="0.2">
      <c r="B28" s="186" t="s">
        <v>719</v>
      </c>
      <c r="C28" s="179">
        <f>SUM(C10:C27)</f>
        <v>17601057.949999999</v>
      </c>
      <c r="D28" s="183">
        <f>ROUND(SUM(D10:D27),0)</f>
        <v>100</v>
      </c>
    </row>
    <row r="29" spans="1:4" x14ac:dyDescent="0.2">
      <c r="A29">
        <v>4000</v>
      </c>
      <c r="B29" t="s">
        <v>724</v>
      </c>
      <c r="C29" s="178">
        <f>ROUND('DOE25'!L256+'DOE25'!L337+'DOE25'!L375+'DOE25'!L376+'DOE25'!L377+'DOE25'!L378+'DOE25'!L379+'DOE25'!L380+'DOE25'!L381,0)</f>
        <v>10040</v>
      </c>
    </row>
    <row r="30" spans="1:4" x14ac:dyDescent="0.2">
      <c r="B30" s="186" t="s">
        <v>725</v>
      </c>
      <c r="C30" s="179">
        <f>SUM(C28:C29)</f>
        <v>17611097.949999999</v>
      </c>
    </row>
    <row r="31" spans="1:4" x14ac:dyDescent="0.2">
      <c r="B31" s="33"/>
      <c r="C31" s="179"/>
    </row>
    <row r="32" spans="1:4" x14ac:dyDescent="0.2">
      <c r="A32">
        <v>5100</v>
      </c>
      <c r="B32" s="33" t="s">
        <v>726</v>
      </c>
      <c r="C32" s="179">
        <f>ROUND('DOE25'!L261+'DOE25'!L342,0)</f>
        <v>560000</v>
      </c>
    </row>
    <row r="34" spans="1:4" x14ac:dyDescent="0.2">
      <c r="A34" s="186" t="s">
        <v>94</v>
      </c>
      <c r="B34" s="187" t="s">
        <v>1801</v>
      </c>
      <c r="C34" s="180" t="s">
        <v>720</v>
      </c>
      <c r="D34" s="180" t="s">
        <v>721</v>
      </c>
    </row>
    <row r="35" spans="1:4" x14ac:dyDescent="0.2">
      <c r="A35">
        <v>1100</v>
      </c>
      <c r="B35" s="184" t="s">
        <v>727</v>
      </c>
      <c r="C35" s="178">
        <f>ROUND('DOE25'!F60+'DOE25'!G60+'DOE25'!H60+'DOE25'!I60+'DOE25'!J60,0)</f>
        <v>9685227</v>
      </c>
      <c r="D35" s="181">
        <f t="shared" ref="D35:D40" si="1">ROUND((C35/$C$41)*100,1)</f>
        <v>52.2</v>
      </c>
    </row>
    <row r="36" spans="1:4" x14ac:dyDescent="0.2">
      <c r="B36" s="184" t="s">
        <v>739</v>
      </c>
      <c r="C36" s="178">
        <f>SUM('DOE25'!F112:J112)-SUM('DOE25'!G97:G110)+('DOE25'!F175+'DOE25'!F176+'DOE25'!I175+'DOE25'!I176)-C35</f>
        <v>331863.76999999955</v>
      </c>
      <c r="D36" s="181">
        <f t="shared" si="1"/>
        <v>1.8</v>
      </c>
    </row>
    <row r="37" spans="1:4" x14ac:dyDescent="0.2">
      <c r="A37" s="182" t="s">
        <v>835</v>
      </c>
      <c r="B37" s="184" t="s">
        <v>728</v>
      </c>
      <c r="C37" s="178">
        <f>ROUND('DOE25'!F117+'DOE25'!F118,0)</f>
        <v>5202576</v>
      </c>
      <c r="D37" s="181">
        <f t="shared" si="1"/>
        <v>28</v>
      </c>
    </row>
    <row r="38" spans="1:4" x14ac:dyDescent="0.2">
      <c r="A38" s="182" t="s">
        <v>734</v>
      </c>
      <c r="B38" s="184" t="s">
        <v>729</v>
      </c>
      <c r="C38" s="178">
        <f>ROUND(SUM('DOE25'!F140:J140)-SUM('DOE25'!F117:F119),0)</f>
        <v>716859</v>
      </c>
      <c r="D38" s="181">
        <f t="shared" si="1"/>
        <v>3.9</v>
      </c>
    </row>
    <row r="39" spans="1:4" x14ac:dyDescent="0.2">
      <c r="A39">
        <v>4000</v>
      </c>
      <c r="B39" s="184" t="s">
        <v>730</v>
      </c>
      <c r="C39" s="178">
        <f>ROUND('DOE25'!F170+'DOE25'!G170+'DOE25'!H170+'DOE25'!I170,0)</f>
        <v>2615712</v>
      </c>
      <c r="D39" s="181">
        <f t="shared" si="1"/>
        <v>14.1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18552237.77</v>
      </c>
      <c r="D41" s="183">
        <f>SUM(D35:D40)</f>
        <v>100</v>
      </c>
    </row>
    <row r="42" spans="1:4" x14ac:dyDescent="0.2">
      <c r="A42" s="182" t="s">
        <v>737</v>
      </c>
      <c r="B42" s="184" t="s">
        <v>733</v>
      </c>
      <c r="C42" s="178">
        <f>ROUND('DOE25'!F174+'DOE25'!I174+'DOE25'!F177+'DOE25'!I177,0)</f>
        <v>1285</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Littleton</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190</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11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47</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f>IF('School Level Expenditures'!$B$2='School Tables'!L14,'School Tables'!S14,"")</f>
        <v>11</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f>IF('School Level Expenditures'!$B$2='School Tables'!W50,'School Tables'!AD50,"")</f>
        <v>47</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f>IF('School Level Expenditures'!$B$2=A193,'School Tables'!H193,"")</f>
        <v>190</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2022-09-02T18:06:48Z</cp:lastPrinted>
  <dcterms:created xsi:type="dcterms:W3CDTF">1997-12-04T19:04:30Z</dcterms:created>
  <dcterms:modified xsi:type="dcterms:W3CDTF">2022-12-19T16:32:50Z</dcterms:modified>
</cp:coreProperties>
</file>