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B03D2B38-2F34-468B-A53A-1B96791BAE0E}"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9" i="14" l="1"/>
  <c r="D8" i="14"/>
  <c r="D6" i="14"/>
  <c r="D7" i="14"/>
  <c r="E9" i="14" l="1"/>
  <c r="E8" i="14"/>
  <c r="E7" i="14"/>
  <c r="E6" i="14"/>
  <c r="D37" i="14" l="1"/>
  <c r="B21" i="12"/>
  <c r="E13" i="17" l="1"/>
  <c r="E9" i="17"/>
  <c r="F369" i="1"/>
  <c r="I359" i="1"/>
  <c r="J359" i="1"/>
  <c r="J360" i="1"/>
  <c r="J361" i="1"/>
  <c r="I234" i="1"/>
  <c r="H245" i="1"/>
  <c r="J592" i="1"/>
  <c r="J594" i="1"/>
  <c r="J596" i="1"/>
  <c r="I612" i="1"/>
  <c r="I614" i="1"/>
  <c r="I613" i="1"/>
  <c r="F612" i="1"/>
  <c r="G612" i="1" s="1"/>
  <c r="F614" i="1"/>
  <c r="G614" i="1" s="1"/>
  <c r="F613" i="1"/>
  <c r="G613" i="1" s="1"/>
  <c r="H583" i="1"/>
  <c r="G583" i="1"/>
  <c r="F583" i="1"/>
  <c r="K569" i="1"/>
  <c r="K568" i="1"/>
  <c r="F569" i="1"/>
  <c r="G569" i="1" s="1"/>
  <c r="F568" i="1"/>
  <c r="G568" i="1" s="1"/>
  <c r="G564" i="1"/>
  <c r="G565" i="1"/>
  <c r="I563" i="1"/>
  <c r="I565" i="1"/>
  <c r="I564" i="1"/>
  <c r="F565" i="1"/>
  <c r="F564" i="1"/>
  <c r="F563" i="1"/>
  <c r="G563" i="1" s="1"/>
  <c r="G522" i="1"/>
  <c r="H524" i="1"/>
  <c r="H523" i="1"/>
  <c r="H522" i="1"/>
  <c r="H539" i="1"/>
  <c r="H538" i="1"/>
  <c r="H537" i="1"/>
  <c r="H544" i="1"/>
  <c r="H543" i="1"/>
  <c r="H542" i="1"/>
  <c r="J529" i="1"/>
  <c r="J527" i="1"/>
  <c r="I529" i="1"/>
  <c r="I528" i="1"/>
  <c r="I527" i="1"/>
  <c r="H529" i="1"/>
  <c r="H528" i="1"/>
  <c r="H527" i="1"/>
  <c r="F529" i="1"/>
  <c r="G529" i="1" s="1"/>
  <c r="F528" i="1"/>
  <c r="G528" i="1" s="1"/>
  <c r="F527" i="1"/>
  <c r="G527" i="1" s="1"/>
  <c r="I524" i="1"/>
  <c r="I523" i="1"/>
  <c r="I522" i="1"/>
  <c r="F524" i="1"/>
  <c r="G524" i="1" s="1"/>
  <c r="F523" i="1"/>
  <c r="G523" i="1" s="1"/>
  <c r="F522" i="1"/>
  <c r="F532" i="1" l="1"/>
  <c r="G532" i="1" s="1"/>
  <c r="F534" i="1"/>
  <c r="G534" i="1" s="1"/>
  <c r="F533" i="1"/>
  <c r="G533" i="1" s="1"/>
  <c r="J524" i="1"/>
  <c r="J523" i="1"/>
  <c r="K522" i="1"/>
  <c r="J522" i="1"/>
  <c r="I499" i="1" l="1"/>
  <c r="H499" i="1"/>
  <c r="K359" i="1" l="1"/>
  <c r="K361" i="1"/>
  <c r="K360" i="1"/>
  <c r="I361" i="1"/>
  <c r="I360" i="1"/>
  <c r="H361" i="1"/>
  <c r="H360" i="1"/>
  <c r="H359" i="1"/>
  <c r="G361" i="1"/>
  <c r="G360" i="1"/>
  <c r="G359" i="1"/>
  <c r="F361" i="1"/>
  <c r="F360" i="1"/>
  <c r="F359" i="1"/>
  <c r="I315" i="1" l="1"/>
  <c r="H326" i="1" l="1"/>
  <c r="J325" i="1"/>
  <c r="I325" i="1"/>
  <c r="H325" i="1"/>
  <c r="J321" i="1"/>
  <c r="I321" i="1"/>
  <c r="H321" i="1"/>
  <c r="I320" i="1"/>
  <c r="H320" i="1"/>
  <c r="I318" i="1"/>
  <c r="H315" i="1"/>
  <c r="H307" i="1"/>
  <c r="J306" i="1"/>
  <c r="I306" i="1"/>
  <c r="H306" i="1"/>
  <c r="J302" i="1"/>
  <c r="I302" i="1"/>
  <c r="H302" i="1"/>
  <c r="I301" i="1"/>
  <c r="I299" i="1"/>
  <c r="H296" i="1"/>
  <c r="H287" i="1" l="1"/>
  <c r="H288" i="1"/>
  <c r="J287" i="1"/>
  <c r="I287" i="1"/>
  <c r="J283" i="1"/>
  <c r="I283" i="1"/>
  <c r="H283" i="1"/>
  <c r="I282" i="1"/>
  <c r="H282" i="1"/>
  <c r="I280" i="1"/>
  <c r="H277" i="1"/>
  <c r="J327" i="1"/>
  <c r="J334" i="1"/>
  <c r="I334" i="1"/>
  <c r="H334" i="1"/>
  <c r="H316" i="1"/>
  <c r="J296" i="1"/>
  <c r="I296" i="1"/>
  <c r="I289" i="1"/>
  <c r="I277" i="1"/>
  <c r="H278" i="1"/>
  <c r="I244" i="1" l="1"/>
  <c r="J246" i="1"/>
  <c r="I246" i="1"/>
  <c r="H246" i="1"/>
  <c r="K244" i="1"/>
  <c r="J244" i="1"/>
  <c r="H244" i="1"/>
  <c r="H243" i="1"/>
  <c r="H242" i="1"/>
  <c r="K241" i="1"/>
  <c r="J241" i="1"/>
  <c r="I241" i="1"/>
  <c r="H241" i="1"/>
  <c r="I240" i="1"/>
  <c r="H240" i="1"/>
  <c r="G240" i="1"/>
  <c r="I239" i="1"/>
  <c r="H239" i="1"/>
  <c r="I252" i="1"/>
  <c r="J237" i="1"/>
  <c r="I237" i="1"/>
  <c r="I235" i="1"/>
  <c r="H235" i="1"/>
  <c r="J234" i="1"/>
  <c r="H234" i="1"/>
  <c r="J228" i="1"/>
  <c r="I228" i="1"/>
  <c r="H228" i="1"/>
  <c r="H227" i="1"/>
  <c r="K226" i="1"/>
  <c r="J226" i="1"/>
  <c r="I226" i="1"/>
  <c r="H226" i="1"/>
  <c r="H225" i="1"/>
  <c r="H224" i="1"/>
  <c r="K223" i="1"/>
  <c r="J223" i="1"/>
  <c r="I223" i="1"/>
  <c r="H223" i="1"/>
  <c r="I222" i="1"/>
  <c r="H222" i="1"/>
  <c r="G222" i="1"/>
  <c r="I221" i="1"/>
  <c r="H221" i="1"/>
  <c r="J219" i="1"/>
  <c r="I219" i="1"/>
  <c r="K217" i="1"/>
  <c r="I217" i="1"/>
  <c r="H217" i="1"/>
  <c r="J216" i="1"/>
  <c r="I216" i="1"/>
  <c r="H216" i="1"/>
  <c r="J210" i="1"/>
  <c r="I210" i="1"/>
  <c r="H210" i="1"/>
  <c r="H209" i="1"/>
  <c r="K208" i="1"/>
  <c r="J208" i="1"/>
  <c r="I208" i="1"/>
  <c r="H208" i="1"/>
  <c r="H207" i="1"/>
  <c r="H206" i="1"/>
  <c r="K205" i="1"/>
  <c r="J205" i="1"/>
  <c r="I205" i="1"/>
  <c r="H205" i="1"/>
  <c r="I204" i="1"/>
  <c r="H203" i="1"/>
  <c r="G204" i="1"/>
  <c r="I203" i="1"/>
  <c r="I201" i="1"/>
  <c r="K199" i="1"/>
  <c r="I199" i="1"/>
  <c r="H199" i="1"/>
  <c r="I198" i="1"/>
  <c r="H236" i="1"/>
  <c r="I242" i="1"/>
  <c r="K242" i="1"/>
  <c r="K240" i="1"/>
  <c r="K239" i="1"/>
  <c r="H252" i="1"/>
  <c r="K237" i="1"/>
  <c r="H237" i="1"/>
  <c r="J235" i="1"/>
  <c r="K234" i="1"/>
  <c r="K224" i="1" l="1"/>
  <c r="I224" i="1"/>
  <c r="K221" i="1"/>
  <c r="K219" i="1"/>
  <c r="H219" i="1"/>
  <c r="J217" i="1"/>
  <c r="K206" i="1" l="1"/>
  <c r="I206" i="1"/>
  <c r="K204" i="1"/>
  <c r="H204" i="1"/>
  <c r="J199" i="1"/>
  <c r="J198" i="1"/>
  <c r="H198" i="1"/>
  <c r="G234" i="1" l="1"/>
  <c r="G239" i="1"/>
  <c r="F320" i="1" l="1"/>
  <c r="F282" i="1"/>
  <c r="F301" i="1"/>
  <c r="F321" i="1"/>
  <c r="F318" i="1"/>
  <c r="F316" i="1"/>
  <c r="F315" i="1"/>
  <c r="F299" i="1"/>
  <c r="F297" i="1"/>
  <c r="F296" i="1"/>
  <c r="F280" i="1"/>
  <c r="F278" i="1"/>
  <c r="F277" i="1"/>
  <c r="F198" i="1" l="1"/>
  <c r="F246" i="1"/>
  <c r="F244" i="1"/>
  <c r="F243" i="1"/>
  <c r="F242" i="1"/>
  <c r="F241" i="1"/>
  <c r="F240" i="1"/>
  <c r="F239" i="1"/>
  <c r="F237" i="1"/>
  <c r="F235" i="1"/>
  <c r="F234" i="1"/>
  <c r="F228" i="1"/>
  <c r="F226" i="1"/>
  <c r="F225" i="1"/>
  <c r="F224" i="1"/>
  <c r="F223" i="1"/>
  <c r="F222" i="1"/>
  <c r="F221" i="1"/>
  <c r="F219" i="1"/>
  <c r="F217" i="1"/>
  <c r="F216" i="1"/>
  <c r="F210" i="1"/>
  <c r="F208" i="1"/>
  <c r="F207" i="1"/>
  <c r="F206" i="1"/>
  <c r="F205" i="1"/>
  <c r="F204" i="1"/>
  <c r="F203" i="1"/>
  <c r="F201" i="1"/>
  <c r="F199" i="1"/>
  <c r="G158" i="1" l="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C110" i="2" s="1"/>
  <c r="L236" i="1"/>
  <c r="L237" i="1"/>
  <c r="C112" i="2" s="1"/>
  <c r="G6" i="13"/>
  <c r="H6" i="13"/>
  <c r="L203" i="1"/>
  <c r="L221" i="1"/>
  <c r="L239" i="1"/>
  <c r="G7" i="13"/>
  <c r="H7" i="13"/>
  <c r="L204" i="1"/>
  <c r="L222" i="1"/>
  <c r="L240" i="1"/>
  <c r="G12" i="13"/>
  <c r="H12" i="13"/>
  <c r="L206" i="1"/>
  <c r="L224" i="1"/>
  <c r="L242" i="1"/>
  <c r="C121" i="2" s="1"/>
  <c r="G14" i="13"/>
  <c r="H14" i="13"/>
  <c r="L208" i="1"/>
  <c r="L226" i="1"/>
  <c r="L244" i="1"/>
  <c r="G15" i="13"/>
  <c r="H15" i="13"/>
  <c r="L209" i="1"/>
  <c r="L227" i="1"/>
  <c r="G651" i="1" s="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F85" i="2"/>
  <c r="C87" i="2"/>
  <c r="H87" i="2" s="1"/>
  <c r="E87" i="2"/>
  <c r="F87" i="2"/>
  <c r="C89" i="2"/>
  <c r="H89" i="2" s="1"/>
  <c r="D89" i="2"/>
  <c r="E89" i="2"/>
  <c r="F89" i="2"/>
  <c r="C90" i="2"/>
  <c r="H90" i="2" s="1"/>
  <c r="C93" i="2"/>
  <c r="H93" i="2" s="1"/>
  <c r="F93" i="2"/>
  <c r="C94" i="2"/>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4" i="2"/>
  <c r="E125"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H653" i="1"/>
  <c r="G654" i="1"/>
  <c r="H654" i="1"/>
  <c r="H655" i="1"/>
  <c r="H656" i="1"/>
  <c r="I170" i="1"/>
  <c r="A40" i="12" l="1"/>
  <c r="D18" i="13"/>
  <c r="C18" i="13" s="1"/>
  <c r="H47" i="2"/>
  <c r="H43" i="2"/>
  <c r="H102" i="2"/>
  <c r="H26" i="2"/>
  <c r="H9" i="2"/>
  <c r="H94" i="2"/>
  <c r="H69" i="2"/>
  <c r="H30" i="2"/>
  <c r="H29" i="2"/>
  <c r="H28" i="2"/>
  <c r="H25" i="2"/>
  <c r="H24" i="2"/>
  <c r="H17" i="2"/>
  <c r="H15" i="2"/>
  <c r="H132" i="2"/>
  <c r="H36" i="2"/>
  <c r="H38" i="2"/>
  <c r="H44" i="2"/>
  <c r="H48" i="2"/>
  <c r="I409" i="1"/>
  <c r="H101" i="2"/>
  <c r="H100" i="2"/>
  <c r="H99" i="2"/>
  <c r="H98" i="2"/>
  <c r="H79" i="2"/>
  <c r="H76" i="2"/>
  <c r="H73" i="2"/>
  <c r="H58" i="2"/>
  <c r="H23" i="2"/>
  <c r="H11" i="2"/>
  <c r="H143" i="2"/>
  <c r="E121" i="2"/>
  <c r="H121" i="2" s="1"/>
  <c r="J652" i="1"/>
  <c r="H97" i="2"/>
  <c r="H80" i="2"/>
  <c r="H34" i="2"/>
  <c r="H22" i="2"/>
  <c r="G477" i="1"/>
  <c r="B33" i="16" s="1"/>
  <c r="G409" i="1"/>
  <c r="H646" i="1" s="1"/>
  <c r="G662" i="1"/>
  <c r="E13" i="13"/>
  <c r="C13" i="13" s="1"/>
  <c r="C13" i="10"/>
  <c r="G663" i="1"/>
  <c r="D15" i="13"/>
  <c r="C15" i="13" s="1"/>
  <c r="C12" i="10"/>
  <c r="C120" i="2"/>
  <c r="H120" i="2" s="1"/>
  <c r="C125" i="2"/>
  <c r="H125" i="2" s="1"/>
  <c r="H112" i="2"/>
  <c r="C119" i="2"/>
  <c r="D6" i="13"/>
  <c r="C6" i="13" s="1"/>
  <c r="H27" i="2"/>
  <c r="H13" i="2"/>
  <c r="H12" i="2"/>
  <c r="H8" i="2"/>
  <c r="D78" i="2"/>
  <c r="H77" i="2"/>
  <c r="H61" i="2"/>
  <c r="H59" i="2"/>
  <c r="E119" i="2"/>
  <c r="H409" i="1"/>
  <c r="H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D51" i="2"/>
  <c r="H57" i="2"/>
  <c r="H78" i="2"/>
  <c r="H42" i="2"/>
  <c r="H16" i="2"/>
  <c r="H85" i="2"/>
  <c r="G144" i="2"/>
  <c r="G145" i="2" s="1"/>
  <c r="H134" i="2"/>
  <c r="D128" i="2"/>
  <c r="D145" i="2" s="1"/>
  <c r="H127" i="2"/>
  <c r="H122" i="2"/>
  <c r="H123" i="2"/>
  <c r="H118" i="2"/>
  <c r="H109" i="2"/>
  <c r="H119" i="2"/>
  <c r="E128" i="2"/>
  <c r="H114" i="2"/>
  <c r="E115" i="2"/>
  <c r="G24" i="14"/>
  <c r="H24" i="14" s="1"/>
  <c r="I24" i="14" s="1"/>
  <c r="F661" i="1"/>
  <c r="F665" i="1" s="1"/>
  <c r="F668" i="1" s="1"/>
  <c r="H31" i="2"/>
  <c r="H21" i="2"/>
  <c r="H50" i="2"/>
  <c r="H18" i="2"/>
  <c r="H103" i="2"/>
  <c r="H91" i="2"/>
  <c r="H62" i="2"/>
  <c r="C81" i="2"/>
  <c r="H81" i="2" s="1"/>
  <c r="F194" i="1"/>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128" i="2" l="1"/>
  <c r="E145" i="2"/>
  <c r="H115" i="2"/>
  <c r="C144" i="2"/>
  <c r="H144" i="2" s="1"/>
  <c r="H141" i="2"/>
  <c r="H51" i="2"/>
  <c r="H673" i="1"/>
  <c r="C6" i="10" s="1"/>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<sst xmlns="http://schemas.openxmlformats.org/spreadsheetml/2006/main" count="6539" uniqueCount="1811">
  <si>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</si>
  <si>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</si>
  <si>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</si>
  <si>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</si>
  <si>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</si>
  <si>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</si>
  <si>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</si>
  <si>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</si>
  <si>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</si>
  <si>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</si>
  <si>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</si>
  <si>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</si>
  <si>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</si>
  <si>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</si>
  <si>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</si>
  <si>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</si>
  <si>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</si>
  <si>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</si>
  <si>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</si>
  <si>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</si>
  <si>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</si>
  <si>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</si>
  <si>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</si>
  <si>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</si>
  <si>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</si>
  <si>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</si>
  <si>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</si>
  <si>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</si>
  <si>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</si>
  <si>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</si>
  <si>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</si>
  <si>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</si>
  <si>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</si>
  <si>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</si>
  <si>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</si>
  <si>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</si>
  <si>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</si>
  <si>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</si>
  <si>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</si>
  <si>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</si>
  <si>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</si>
  <si>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</si>
  <si>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</si>
  <si>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</si>
  <si>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</si>
  <si>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</si>
  <si>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</si>
  <si>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</si>
  <si>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</si>
  <si>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</si>
  <si>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</si>
  <si>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</si>
  <si>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</si>
  <si>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</si>
  <si>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</si>
  <si>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</si>
  <si>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</si>
  <si>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</si>
  <si>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</si>
  <si>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</si>
  <si>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</si>
  <si>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</si>
  <si>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</si>
  <si>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</si>
  <si>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</si>
  <si>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</si>
  <si>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</si>
  <si>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</si>
  <si>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</si>
  <si>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</si>
  <si>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</si>
  <si>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</si>
  <si>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</si>
  <si>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</si>
  <si>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</si>
  <si>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</si>
  <si>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</si>
  <si>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</si>
  <si>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</si>
  <si>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</si>
  <si>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</si>
  <si>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</si>
  <si>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</si>
  <si>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</si>
  <si>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</si>
  <si>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</si>
  <si>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</si>
  <si>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</si>
  <si>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</si>
  <si>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</si>
  <si>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</si>
  <si>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</si>
  <si>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</si>
  <si>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</si>
  <si>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</si>
  <si>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</si>
  <si>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</si>
  <si>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</si>
  <si>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</si>
  <si>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</si>
  <si>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</si>
  <si>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</si>
  <si>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</si>
  <si>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</si>
  <si>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</si>
  <si>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</si>
  <si>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</si>
  <si>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</si>
  <si>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</si>
  <si>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</si>
  <si>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</si>
  <si>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</si>
  <si>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</si>
  <si>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</si>
  <si>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</si>
  <si>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</si>
  <si>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</si>
  <si>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</si>
  <si>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</si>
  <si>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</si>
  <si>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</si>
  <si>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</si>
  <si>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</si>
  <si>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</si>
  <si>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</si>
  <si>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</si>
  <si>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</si>
  <si>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</si>
  <si>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</si>
  <si>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</si>
  <si>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</si>
  <si>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</si>
  <si>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</si>
  <si>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</si>
  <si>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</si>
  <si>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</si>
  <si>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</si>
  <si>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</si>
  <si>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</si>
  <si>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</si>
  <si>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</si>
  <si>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</si>
  <si>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</si>
  <si>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</si>
  <si>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</si>
  <si>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</si>
  <si>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</si>
  <si>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</si>
  <si>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</si>
  <si>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</si>
  <si>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</si>
  <si>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</si>
  <si>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</si>
  <si>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</si>
  <si>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</si>
  <si>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</si>
  <si>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</si>
  <si>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</si>
  <si>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</si>
  <si>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</si>
  <si>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</si>
  <si>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</si>
  <si>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</si>
  <si>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</si>
  <si>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</si>
  <si>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</si>
  <si>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</si>
  <si>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</si>
  <si>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</si>
  <si>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</si>
  <si>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</si>
  <si>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</si>
  <si>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</si>
  <si>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</si>
  <si>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</si>
  <si>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</si>
  <si>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</si>
  <si>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</si>
  <si>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</si>
  <si>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</si>
  <si>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</si>
  <si>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</si>
  <si>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</si>
  <si>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</si>
  <si>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</si>
  <si>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</si>
  <si>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</si>
  <si>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</si>
  <si>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</si>
  <si>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</si>
  <si>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</si>
  <si>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</si>
  <si>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</si>
  <si>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</si>
  <si>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</si>
  <si>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</si>
  <si>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</si>
  <si>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</si>
  <si>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</si>
  <si>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</si>
  <si>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</si>
  <si>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</si>
  <si>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</si>
  <si>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</si>
  <si>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</si>
  <si>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</si>
  <si>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</si>
  <si>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</si>
  <si>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</si>
  <si>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</si>
  <si>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</si>
  <si>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</si>
  <si>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</si>
  <si>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</si>
  <si>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</si>
  <si>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</si>
  <si>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</si>
  <si>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</si>
  <si>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</si>
  <si>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</si>
  <si>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</si>
  <si>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</si>
  <si>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</si>
  <si>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</si>
  <si>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</si>
  <si>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</si>
  <si>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</si>
  <si>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</si>
  <si>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</si>
  <si>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</si>
  <si>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</si>
  <si>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</si>
  <si>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</si>
  <si>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</si>
  <si>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</si>
  <si>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</si>
  <si>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</si>
  <si>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</si>
  <si>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</si>
  <si>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</si>
  <si>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</si>
  <si>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</si>
  <si>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</si>
  <si>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</si>
  <si>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</si>
  <si>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</si>
  <si>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</si>
  <si>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</si>
  <si>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</si>
  <si>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</si>
  <si>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</si>
  <si>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</si>
  <si>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</si>
  <si>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</si>
  <si>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</si>
  <si>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</si>
  <si>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</si>
  <si>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</si>
  <si>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</si>
  <si>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</si>
  <si>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</si>
  <si>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</si>
  <si>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</si>
  <si>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</si>
  <si>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</si>
  <si>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</si>
  <si>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</si>
  <si>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</si>
  <si>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</si>
  <si>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</si>
  <si>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</si>
  <si>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</si>
  <si>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</si>
  <si>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</si>
  <si>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</si>
  <si>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</si>
  <si>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</si>
  <si>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</si>
  <si>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</si>
  <si>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</si>
  <si>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</si>
  <si>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</si>
  <si>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</si>
  <si>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</si>
  <si>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</si>
  <si>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</si>
  <si>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</si>
  <si>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</si>
  <si>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</si>
  <si>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</si>
  <si>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</si>
  <si>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</si>
  <si>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</si>
  <si>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</si>
  <si>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</si>
  <si>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</si>
  <si>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</si>
  <si>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</si>
  <si>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</si>
  <si>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</si>
  <si>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</si>
  <si>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</si>
  <si>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</si>
  <si>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</si>
  <si>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</si>
  <si>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</si>
  <si>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</si>
  <si>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</si>
  <si>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</si>
  <si>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</si>
  <si>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</si>
  <si>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</si>
  <si>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</si>
  <si>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</si>
  <si>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</si>
  <si>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</si>
  <si>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</si>
  <si>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</si>
  <si>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</si>
  <si>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</si>
  <si>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</si>
  <si>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</si>
  <si>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</si>
  <si>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</si>
  <si>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</si>
  <si>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</si>
  <si>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</si>
  <si>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</si>
  <si>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</si>
  <si>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</si>
  <si>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</si>
  <si>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</si>
  <si>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</si>
  <si>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</si>
  <si>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</si>
  <si>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</si>
  <si>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</si>
  <si>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</si>
  <si>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</si>
  <si>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</si>
  <si>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</si>
  <si>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</si>
  <si>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</si>
  <si>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</si>
  <si>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</si>
  <si>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</si>
  <si>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</si>
  <si>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</si>
  <si>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</si>
  <si>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</si>
  <si>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</si>
  <si>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</si>
  <si>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</si>
  <si>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</si>
  <si>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</si>
  <si>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</si>
  <si>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</si>
  <si>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</si>
  <si>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</si>
  <si>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</si>
  <si>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</si>
  <si>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</si>
  <si>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</si>
  <si>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</si>
  <si>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</si>
  <si>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</si>
  <si>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</si>
  <si>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</si>
  <si>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</si>
  <si>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</si>
  <si>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</si>
  <si>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</si>
  <si>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</si>
  <si>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</si>
  <si>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</si>
  <si>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</si>
  <si>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</si>
  <si>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</si>
  <si>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</si>
  <si>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</si>
  <si>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</si>
  <si>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</si>
  <si>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</si>
  <si>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</si>
  <si>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</si>
  <si>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</si>
  <si>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</si>
  <si>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</si>
  <si>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</si>
  <si>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</si>
  <si>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</si>
  <si>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</si>
  <si>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</si>
  <si>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</si>
  <si>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</si>
  <si>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</si>
  <si>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</si>
  <si>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</si>
  <si>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</si>
  <si>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</si>
  <si>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</si>
  <si>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</si>
  <si>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</si>
  <si>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</si>
  <si>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</si>
  <si>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</si>
  <si>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</si>
  <si>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</si>
  <si>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</si>
  <si>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</si>
  <si>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</si>
  <si>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</si>
  <si>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</si>
  <si>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</si>
  <si>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</si>
  <si>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</si>
  <si>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</si>
  <si>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</si>
  <si>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</si>
  <si>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</si>
  <si>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</si>
  <si>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</si>
  <si>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</si>
  <si>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</si>
  <si>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</si>
  <si>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</si>
  <si>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</si>
  <si>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</si>
  <si>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</si>
  <si>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</si>
  <si>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</si>
  <si>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</si>
  <si>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</si>
  <si>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</si>
  <si>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</si>
  <si>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</si>
  <si>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</si>
  <si>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</si>
  <si>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</si>
  <si>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</si>
  <si>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</si>
  <si>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</si>
  <si>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</si>
  <si>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</si>
  <si>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</si>
  <si>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</si>
  <si>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</si>
  <si>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</si>
  <si>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</si>
  <si>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</si>
  <si>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</si>
  <si>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</si>
  <si>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</si>
  <si>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</si>
  <si>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</si>
  <si>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</si>
  <si>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</si>
  <si>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</si>
  <si>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</si>
  <si>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</si>
  <si>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</si>
  <si>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</si>
  <si>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</si>
  <si>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</si>
  <si>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</si>
  <si>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</si>
  <si>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</si>
  <si>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</si>
  <si>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</si>
  <si>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</si>
  <si>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</si>
  <si>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</si>
  <si>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</si>
  <si>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</si>
  <si>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</si>
  <si>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</si>
  <si>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</si>
  <si>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</si>
  <si>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</si>
  <si>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</si>
  <si>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</si>
  <si>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</si>
  <si>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</si>
  <si>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</si>
  <si>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</si>
  <si>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</si>
  <si>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</si>
  <si>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</si>
  <si>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</si>
  <si>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</si>
  <si>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</si>
  <si>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</si>
  <si>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</si>
  <si>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</si>
  <si>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</si>
  <si>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</si>
  <si>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</si>
  <si>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</si>
  <si>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</si>
  <si>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</si>
  <si>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</si>
  <si>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</si>
  <si>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</si>
  <si>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</si>
  <si>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</si>
  <si>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</si>
  <si>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</si>
  <si>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</si>
  <si>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</si>
  <si>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</si>
  <si>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</si>
  <si>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</si>
  <si>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</si>
  <si>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</si>
  <si>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</si>
  <si>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</si>
  <si>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</si>
  <si>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</si>
  <si>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</si>
  <si>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</si>
  <si>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</si>
  <si>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</si>
  <si>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</si>
  <si>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</si>
  <si>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</si>
  <si>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</si>
  <si>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</si>
  <si>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</si>
  <si>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</si>
  <si>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</si>
  <si>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</si>
  <si>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</si>
  <si>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</si>
  <si>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</si>
  <si>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</si>
  <si>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</si>
  <si>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</si>
  <si>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</si>
  <si>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</si>
  <si>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</si>
  <si>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</si>
  <si>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</si>
  <si>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</si>
  <si>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</si>
  <si>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</si>
  <si>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</si>
  <si>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</si>
  <si>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</si>
  <si>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</si>
  <si>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</si>
  <si>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</si>
  <si>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</si>
  <si>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</si>
  <si>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</si>
  <si>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</si>
  <si>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</si>
  <si>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</si>
  <si>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</si>
  <si>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</si>
  <si>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</si>
  <si>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</si>
  <si>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</si>
  <si>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</si>
  <si>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</si>
  <si>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</si>
  <si>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</si>
  <si>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</si>
  <si>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</si>
  <si>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</si>
  <si>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</si>
  <si>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</si>
  <si>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</si>
  <si>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</si>
  <si>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</si>
  <si>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</si>
  <si>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</si>
  <si>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</si>
  <si>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</si>
  <si>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</si>
  <si>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</si>
  <si>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</si>
  <si>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</si>
  <si>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</si>
  <si>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</si>
  <si>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</si>
  <si>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</si>
  <si>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</si>
  <si>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</si>
  <si>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</si>
  <si>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</si>
  <si>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</si>
  <si>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</si>
  <si>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</si>
  <si>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</si>
  <si>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</si>
  <si>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</si>
  <si>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</si>
  <si>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</si>
  <si>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</si>
  <si>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</si>
  <si>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</si>
  <si>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</si>
  <si>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</si>
  <si>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</si>
  <si>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</si>
  <si>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</si>
  <si>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</si>
  <si>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</si>
  <si>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</si>
  <si>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</si>
  <si>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</si>
  <si>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</si>
  <si>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</si>
  <si>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</si>
  <si>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</si>
  <si>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</si>
  <si>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</si>
  <si>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</si>
  <si>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</si>
  <si>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</si>
  <si>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</si>
  <si>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</si>
  <si>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</si>
  <si>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</si>
  <si>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</si>
  <si>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</si>
  <si>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</si>
  <si>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</si>
  <si>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</si>
  <si>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</si>
  <si>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</si>
  <si>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</si>
  <si>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</si>
  <si>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</si>
  <si>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</si>
  <si>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</si>
  <si>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</si>
  <si>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</si>
  <si>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</si>
  <si>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</si>
  <si>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</si>
  <si>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</si>
  <si>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</si>
  <si>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</si>
  <si>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</si>
  <si>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</si>
  <si>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</si>
  <si>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</si>
  <si>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</si>
  <si>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</si>
  <si>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</si>
  <si>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</si>
  <si>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</si>
  <si>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</si>
  <si>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</si>
  <si>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</si>
  <si>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</si>
  <si>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</si>
  <si>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</si>
  <si>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</si>
  <si>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</si>
  <si>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</si>
  <si>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</si>
  <si>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</si>
  <si>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</si>
  <si>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</si>
  <si>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</si>
  <si>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</si>
  <si>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</si>
  <si>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</si>
  <si>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</si>
  <si>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</si>
  <si>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</si>
  <si>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</si>
  <si>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</si>
  <si>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</si>
  <si>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</si>
  <si>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</si>
  <si>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</si>
  <si>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</si>
  <si>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</si>
  <si>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</si>
  <si>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</si>
  <si>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</si>
  <si>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</si>
  <si>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</si>
  <si>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</si>
  <si>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</si>
  <si>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</si>
  <si>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</si>
  <si>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</si>
  <si>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</si>
  <si>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</si>
  <si>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</si>
  <si>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</si>
  <si>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</si>
  <si>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</si>
  <si>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</si>
  <si>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</si>
  <si>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</si>
  <si>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</si>
  <si>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</si>
  <si>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</si>
  <si>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</si>
  <si>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</si>
  <si>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</si>
  <si>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</si>
  <si>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</si>
  <si>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</si>
  <si>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</si>
  <si>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</si>
  <si>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</si>
  <si>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</si>
  <si>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</si>
  <si>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</si>
  <si>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</si>
  <si>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</si>
  <si>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</si>
  <si>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</si>
  <si>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</si>
  <si>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</si>
  <si>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</si>
  <si>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</si>
  <si>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</si>
  <si>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</si>
  <si>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</si>
  <si>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</si>
  <si>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</si>
  <si>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</si>
  <si>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</si>
  <si>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</si>
  <si>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</si>
  <si>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</si>
  <si>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</si>
  <si>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</si>
  <si>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</si>
  <si>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</si>
  <si>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</si>
  <si>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</si>
  <si>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</si>
  <si>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</si>
  <si>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</si>
  <si>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</si>
  <si>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</si>
  <si>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</si>
  <si>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</si>
  <si>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</si>
  <si>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</si>
  <si>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</si>
  <si>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</si>
  <si>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</si>
  <si>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</si>
  <si>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</si>
  <si>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</si>
  <si>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</si>
  <si>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</si>
  <si>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</si>
  <si>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</si>
  <si>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</si>
  <si>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</si>
  <si>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</si>
  <si>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</si>
  <si>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</si>
  <si>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</si>
  <si>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</si>
  <si>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</si>
  <si>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</si>
  <si>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</si>
  <si>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</si>
  <si>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</si>
  <si>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</si>
  <si>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</si>
  <si>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</si>
  <si>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</si>
  <si>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</si>
  <si>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</si>
  <si>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</si>
  <si>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</si>
  <si>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</si>
  <si>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</si>
  <si>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</si>
  <si>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</si>
  <si>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</si>
  <si>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</si>
  <si>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</si>
  <si>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</si>
  <si>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</si>
  <si>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</si>
  <si>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</si>
  <si>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</si>
  <si>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</si>
  <si>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</si>
  <si>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</si>
  <si>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</si>
  <si>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</si>
  <si>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</si>
  <si>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</si>
  <si>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</si>
  <si>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</si>
  <si>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</si>
  <si>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</si>
  <si>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</si>
  <si>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</si>
  <si>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</si>
  <si>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</si>
  <si>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</si>
  <si>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</si>
  <si>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</si>
  <si>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</si>
  <si>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</si>
  <si>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</si>
  <si>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</si>
  <si>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</si>
  <si>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</si>
  <si>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</si>
  <si>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</si>
  <si>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</si>
  <si>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</si>
  <si>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</si>
  <si>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</si>
  <si>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</si>
  <si>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</si>
  <si>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</si>
  <si>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</si>
  <si>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</si>
  <si>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</si>
  <si>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</si>
  <si>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</si>
  <si>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</si>
  <si>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</si>
  <si>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</si>
  <si>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</si>
  <si>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</si>
  <si>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</si>
  <si>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</si>
  <si>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</si>
  <si>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</si>
  <si>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</si>
  <si>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</si>
  <si>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</si>
  <si>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</si>
  <si>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</si>
  <si>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</si>
  <si>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</si>
  <si>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</si>
  <si>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</si>
  <si>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</si>
  <si>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</si>
  <si>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</si>
  <si>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</si>
  <si>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</si>
  <si>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</si>
  <si>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</si>
  <si>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</si>
  <si>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</si>
  <si>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</si>
  <si>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</si>
  <si>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</si>
  <si>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</si>
  <si>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</si>
  <si>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</si>
  <si>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</si>
  <si>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</si>
  <si>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</si>
  <si>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</si>
  <si>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</si>
  <si>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</si>
  <si>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</si>
  <si>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</si>
  <si>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</si>
  <si>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</si>
  <si>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</si>
  <si>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</si>
  <si>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</si>
  <si>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</si>
  <si>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</si>
  <si>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</si>
  <si>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</si>
  <si>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</si>
  <si>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</si>
  <si>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</si>
  <si>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</si>
  <si>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</si>
  <si>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</si>
  <si>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</si>
  <si>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</si>
  <si>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</si>
  <si>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</si>
  <si>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</si>
  <si>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</si>
  <si>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</si>
  <si>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</si>
  <si>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</si>
  <si>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</si>
  <si>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</si>
  <si>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</si>
  <si>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</si>
  <si>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</si>
  <si>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</si>
  <si>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</si>
  <si>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</si>
  <si>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</si>
  <si>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</si>
  <si>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</si>
  <si>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</si>
  <si>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</si>
  <si>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</si>
  <si>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</si>
  <si>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</si>
  <si>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</si>
  <si>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</si>
  <si>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</si>
  <si>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</si>
  <si>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</si>
  <si>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</si>
  <si>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</si>
  <si>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</si>
  <si>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</si>
  <si>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</si>
  <si>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</si>
  <si>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</si>
  <si>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</si>
  <si>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</si>
  <si>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</si>
  <si>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</si>
  <si>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</si>
  <si>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</si>
  <si>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</si>
  <si>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</si>
  <si>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</si>
  <si>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</si>
  <si>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</si>
  <si>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</si>
  <si>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</si>
  <si>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</si>
  <si>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</si>
  <si>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</si>
  <si>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</si>
  <si>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</si>
  <si>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</si>
  <si>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</si>
  <si>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</si>
  <si>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</si>
  <si>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</si>
  <si>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</si>
  <si>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</si>
  <si>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</si>
  <si>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</si>
  <si>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</si>
  <si>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</si>
  <si>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</si>
  <si>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</si>
  <si>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</si>
  <si>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</si>
  <si>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</si>
  <si>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</si>
  <si>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</si>
  <si>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</si>
  <si>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</si>
  <si>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</si>
  <si>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</si>
  <si>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</si>
  <si>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</si>
  <si>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</si>
  <si>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</si>
  <si>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</si>
  <si>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</si>
  <si>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</si>
  <si>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</si>
  <si>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</si>
  <si>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</si>
  <si>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</si>
  <si>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</si>
  <si>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</si>
  <si>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</si>
  <si>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</si>
  <si>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</si>
  <si>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</si>
  <si>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</si>
  <si>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</si>
  <si>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</si>
  <si>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</si>
  <si>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</si>
  <si>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</si>
  <si>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</si>
  <si>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</si>
  <si>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</si>
  <si>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</si>
  <si>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</si>
  <si>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</si>
  <si>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</si>
  <si>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</si>
  <si>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</si>
  <si>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</si>
  <si>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</si>
  <si>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</si>
  <si>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</si>
  <si>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</si>
  <si>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</si>
  <si>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</si>
  <si>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</si>
  <si>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</si>
  <si>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</si>
  <si>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</si>
  <si>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</si>
  <si>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</si>
  <si>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</si>
  <si>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</si>
  <si>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</si>
  <si>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</si>
  <si>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</si>
  <si>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</si>
  <si>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</si>
  <si>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</si>
  <si>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</si>
  <si>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</si>
  <si>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</si>
  <si>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</si>
  <si>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</si>
  <si>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</si>
  <si>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</si>
  <si>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</si>
  <si>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</si>
  <si>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</si>
  <si>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</si>
  <si>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</si>
  <si>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</si>
  <si>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</si>
  <si>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</si>
  <si>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</si>
  <si>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</si>
  <si>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</si>
  <si>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</si>
  <si>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</si>
  <si>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</si>
  <si>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</si>
  <si>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</si>
  <si>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</si>
  <si>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</si>
  <si>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</si>
  <si>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</si>
  <si>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</si>
  <si>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</si>
  <si>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</si>
  <si>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</si>
  <si>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</si>
  <si>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</si>
  <si>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</si>
  <si>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</si>
  <si>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</si>
  <si>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</si>
  <si>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</si>
  <si>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</si>
  <si>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</si>
  <si>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</si>
  <si>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</si>
  <si>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</si>
  <si>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</si>
  <si>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</si>
  <si>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</si>
  <si>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</si>
  <si>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</si>
  <si>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</si>
  <si>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</si>
  <si>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</si>
  <si>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</si>
  <si>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</si>
  <si>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</si>
  <si>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</si>
  <si>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</si>
  <si>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</si>
  <si>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</si>
  <si>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</si>
  <si>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</si>
  <si>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</si>
  <si>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</si>
  <si>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</si>
  <si>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</si>
  <si>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</si>
  <si>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</si>
  <si>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</si>
  <si>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</si>
  <si>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</si>
  <si>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</si>
  <si>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</si>
  <si>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</si>
  <si>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</si>
  <si>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</si>
  <si>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</si>
  <si>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</si>
  <si>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</si>
  <si>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</si>
  <si>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</si>
  <si>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</si>
  <si>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</si>
  <si>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</si>
  <si>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</si>
  <si>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</si>
  <si>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</si>
  <si>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</si>
  <si>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</si>
  <si>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</si>
  <si>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</si>
  <si>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</si>
  <si>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</si>
  <si>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</si>
  <si>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</si>
  <si>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</si>
  <si>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</si>
  <si>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</si>
  <si>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</si>
  <si>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</si>
  <si>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</si>
  <si>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</si>
  <si>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</si>
  <si>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</si>
  <si>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</si>
  <si>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</si>
  <si>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</si>
  <si>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</si>
  <si>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</si>
  <si>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</si>
  <si>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</si>
  <si>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</si>
  <si>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</si>
  <si>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</si>
  <si>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</si>
  <si>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</si>
  <si>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</si>
  <si>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</si>
  <si>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</si>
  <si>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</si>
  <si>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</si>
  <si>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</si>
  <si>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</si>
  <si>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</si>
  <si>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</si>
  <si>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</si>
  <si>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</si>
  <si>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</si>
  <si>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</si>
  <si>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</si>
  <si>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</si>
  <si>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</si>
  <si>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</si>
  <si>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</si>
  <si>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</si>
  <si>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</si>
  <si>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</si>
  <si>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</si>
  <si>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</si>
  <si>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</si>
  <si>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</si>
  <si>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</si>
  <si>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</si>
  <si>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</si>
  <si>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</si>
  <si>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</si>
  <si>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</si>
  <si>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</si>
  <si>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</si>
  <si>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</si>
  <si>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</si>
  <si>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</si>
  <si>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</si>
  <si>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</si>
  <si>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</si>
  <si>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</si>
  <si>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</si>
  <si>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</si>
  <si>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</si>
  <si>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</si>
  <si>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</si>
  <si>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</si>
  <si>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</si>
  <si>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</si>
  <si>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</si>
  <si>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</si>
  <si>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</si>
  <si>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</si>
  <si>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</si>
  <si>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</si>
  <si>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</si>
  <si>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</si>
  <si>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</si>
  <si>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</si>
  <si>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</si>
  <si>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</si>
  <si>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</si>
  <si>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</si>
  <si>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</si>
  <si>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</si>
  <si>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</si>
  <si>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</si>
  <si>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</si>
  <si>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</si>
  <si>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</si>
  <si>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</si>
  <si>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</si>
  <si>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</si>
  <si>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</si>
  <si>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</si>
  <si>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</si>
  <si>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</si>
  <si>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</si>
  <si>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</si>
  <si>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</si>
  <si>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</si>
  <si>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</si>
  <si>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</si>
  <si>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</si>
  <si>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</si>
  <si>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</si>
  <si>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</si>
  <si>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</si>
  <si>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</si>
  <si>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</si>
  <si>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</si>
  <si>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</si>
  <si>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</si>
  <si>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</si>
  <si>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</si>
  <si>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</si>
  <si>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</si>
  <si>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</si>
  <si>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</si>
  <si>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</si>
  <si>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</si>
  <si>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</si>
  <si>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</si>
  <si>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</si>
  <si>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</si>
  <si>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</si>
  <si>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</si>
  <si>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</si>
  <si>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</si>
  <si>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</si>
  <si>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</si>
  <si>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</si>
  <si>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</si>
  <si>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</si>
  <si>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</si>
  <si>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</si>
  <si>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</si>
  <si>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</si>
  <si>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</si>
  <si>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</si>
  <si>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</si>
  <si>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</si>
  <si>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</si>
  <si>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</si>
  <si>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</si>
  <si>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</si>
  <si>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</si>
  <si>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</si>
  <si>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</si>
  <si>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</si>
  <si>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</si>
  <si>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</si>
  <si>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</si>
  <si>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</si>
  <si>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</si>
  <si>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</si>
  <si>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</si>
  <si>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</si>
  <si>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</si>
  <si>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</si>
  <si>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</si>
  <si>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</si>
  <si>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</si>
  <si>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</si>
  <si>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</si>
  <si>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</si>
  <si>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</si>
  <si>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</si>
  <si>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</si>
  <si>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</si>
  <si>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</si>
  <si>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</si>
  <si>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</si>
  <si>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</si>
  <si>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</si>
  <si>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</si>
  <si>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</si>
  <si>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</si>
  <si>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</si>
  <si>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</si>
  <si>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</si>
  <si>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</si>
  <si>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</si>
  <si>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</si>
  <si>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</si>
  <si>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</si>
  <si>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</si>
  <si>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</si>
  <si>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</si>
  <si>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</si>
  <si>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</si>
  <si>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</si>
  <si>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</si>
  <si>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</si>
  <si>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</si>
  <si>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</si>
  <si>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</si>
  <si>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</si>
  <si>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</si>
  <si>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</si>
  <si>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</si>
  <si>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</si>
  <si>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</si>
  <si>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</si>
  <si>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</si>
  <si>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</si>
  <si>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</si>
  <si>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</si>
  <si>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</si>
  <si>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</si>
  <si>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</si>
  <si>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</si>
  <si>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</si>
  <si>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</si>
  <si>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</si>
  <si>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</si>
  <si>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</si>
  <si>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</si>
  <si>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</si>
  <si>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</si>
  <si>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</si>
  <si>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</si>
  <si>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</si>
  <si>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</si>
  <si>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</si>
  <si>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</si>
  <si>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</si>
  <si>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</si>
  <si>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</si>
  <si>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</si>
  <si>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</si>
  <si>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</si>
  <si>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</si>
  <si>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</si>
  <si>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</si>
  <si>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</si>
  <si>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</si>
  <si>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</si>
  <si>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</si>
  <si>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</si>
  <si>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</si>
  <si>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</si>
  <si>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</si>
  <si>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</si>
  <si>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</si>
  <si>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</si>
  <si>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</si>
  <si>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</si>
  <si>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</si>
  <si>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</si>
  <si>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</si>
  <si>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</si>
  <si>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</si>
  <si>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</si>
  <si>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</si>
  <si>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</si>
  <si>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</si>
  <si>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</si>
  <si>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</si>
  <si>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</si>
  <si>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</si>
  <si>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</si>
  <si>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</si>
  <si>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</si>
  <si>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</si>
  <si>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</si>
  <si>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</si>
  <si>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</si>
  <si>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</si>
  <si>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</si>
  <si>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</si>
  <si>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</si>
  <si>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</si>
  <si>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</si>
  <si>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</si>
  <si>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</si>
  <si>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</si>
  <si>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</si>
  <si>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</si>
  <si>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</si>
  <si>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</si>
  <si>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</si>
  <si>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</si>
  <si>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</si>
  <si>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</si>
  <si>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</si>
  <si>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</si>
  <si>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</si>
  <si>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</si>
  <si>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</si>
  <si>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</si>
  <si>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</si>
  <si>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</si>
  <si>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</si>
  <si>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</si>
  <si>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</si>
  <si>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</si>
  <si>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</si>
  <si>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</si>
  <si>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</si>
  <si>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</si>
  <si>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</si>
  <si>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</si>
  <si>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</si>
  <si>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</si>
  <si>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</si>
  <si>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</si>
  <si>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</si>
  <si>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</si>
  <si>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</si>
  <si>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</si>
  <si>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</si>
  <si>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</si>
  <si>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</si>
  <si>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</si>
  <si>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</si>
  <si>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</si>
  <si>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</si>
  <si>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</si>
  <si>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</si>
  <si>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</si>
  <si>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</si>
  <si>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</si>
  <si>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</si>
  <si>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</si>
  <si>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</si>
  <si>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</si>
  <si>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</si>
  <si>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</si>
  <si>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</si>
  <si>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</si>
  <si>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</si>
  <si>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</si>
  <si>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</si>
  <si>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</si>
  <si>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</si>
  <si>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</si>
  <si>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</si>
  <si>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</si>
  <si>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</si>
  <si>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</si>
  <si>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</si>
  <si>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</si>
  <si>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</si>
  <si>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</si>
  <si>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</si>
  <si>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</si>
  <si>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</si>
  <si>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</si>
  <si>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</si>
  <si>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</si>
  <si>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</si>
  <si>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</si>
  <si>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</si>
  <si>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</si>
  <si>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</si>
  <si>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</si>
  <si>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</si>
  <si>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</si>
  <si>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</si>
  <si>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</si>
  <si>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</si>
  <si>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</si>
  <si>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</si>
  <si>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</si>
  <si>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</si>
  <si>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</si>
  <si>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</si>
  <si>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</si>
  <si>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</si>
  <si>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</si>
  <si>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</si>
  <si>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</si>
  <si>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</si>
  <si>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</si>
  <si>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</si>
  <si>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</si>
  <si>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</si>
  <si>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</si>
  <si>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</si>
  <si>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</si>
  <si>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</si>
  <si>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</si>
  <si>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</si>
  <si>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</si>
  <si>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</si>
  <si>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</si>
  <si>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</si>
  <si>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</si>
  <si>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</si>
  <si>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</si>
  <si>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</si>
  <si>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</si>
  <si>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</si>
  <si>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</si>
  <si>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</si>
  <si>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</si>
  <si>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</si>
  <si>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</si>
  <si>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</si>
  <si>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</si>
  <si>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</si>
  <si>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</si>
  <si>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</si>
  <si>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</si>
  <si>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</si>
  <si>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</si>
  <si>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</si>
  <si>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</si>
  <si>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</si>
  <si>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</si>
  <si>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</si>
  <si>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</si>
  <si>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</si>
  <si>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</si>
  <si>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</si>
  <si>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</si>
  <si>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</si>
  <si>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</si>
  <si>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</si>
  <si>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</si>
  <si>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</si>
  <si>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</si>
  <si>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</si>
  <si>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</si>
  <si>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</si>
  <si>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</si>
  <si>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</si>
  <si>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</si>
  <si>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</si>
  <si>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</si>
  <si>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</si>
  <si>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</si>
  <si>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</si>
  <si>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</si>
  <si>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</si>
  <si>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</si>
  <si>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</si>
  <si>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</si>
  <si>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</si>
  <si>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</si>
  <si>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</si>
  <si>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</si>
  <si>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</si>
  <si>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</si>
  <si>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</si>
  <si>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</si>
  <si>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</si>
  <si>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</si>
  <si>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</si>
  <si>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</si>
  <si>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</si>
  <si>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</si>
  <si>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</si>
  <si>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</si>
  <si>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</si>
  <si>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</si>
  <si>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</si>
  <si>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</si>
  <si>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</si>
  <si>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</si>
  <si>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</si>
  <si>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</si>
  <si>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</si>
  <si>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</si>
  <si>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</si>
  <si>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</si>
  <si>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</si>
  <si>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</si>
  <si>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</si>
  <si>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</si>
  <si>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</si>
  <si>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</si>
  <si>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</si>
  <si>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</si>
  <si>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</si>
  <si>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</si>
  <si>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</si>
  <si>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</si>
  <si>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</si>
  <si>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</si>
  <si>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</si>
  <si>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</si>
  <si>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</si>
  <si>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</si>
  <si>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</si>
  <si>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</si>
  <si>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</si>
  <si>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</si>
  <si>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</si>
  <si>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</si>
  <si>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</si>
  <si>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</si>
  <si>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</si>
  <si>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</si>
  <si>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</si>
  <si>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</si>
  <si>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</si>
  <si>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</si>
  <si>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</si>
  <si>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</si>
  <si>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</si>
  <si>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</si>
  <si>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</si>
  <si>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</si>
  <si>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</si>
  <si>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</si>
  <si>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</si>
  <si>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</si>
  <si>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</si>
  <si>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</si>
  <si>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</si>
  <si>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</si>
  <si>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</si>
  <si>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</si>
  <si>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</si>
  <si>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</si>
  <si>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</si>
  <si>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</si>
  <si>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</si>
  <si>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</si>
  <si>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</si>
  <si>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</si>
  <si>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</si>
  <si>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</si>
  <si>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</si>
  <si>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</si>
  <si>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</si>
  <si>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</si>
  <si>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</si>
  <si>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</si>
  <si>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</si>
  <si>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</si>
  <si>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</si>
  <si>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</si>
  <si>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</si>
  <si>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</si>
  <si>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</si>
  <si>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</si>
  <si>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</si>
  <si>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</si>
  <si>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</si>
  <si>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</si>
  <si>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</si>
  <si>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</si>
  <si>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</si>
  <si>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</si>
  <si>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</si>
  <si>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</si>
  <si>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</si>
  <si>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</si>
  <si>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</si>
  <si>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</si>
  <si>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</si>
  <si>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</si>
  <si>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</si>
  <si>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</si>
  <si>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</si>
  <si>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</si>
  <si>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</si>
  <si>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</si>
  <si>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</si>
  <si>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</si>
  <si>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</si>
  <si>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</si>
  <si>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</si>
  <si>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</si>
  <si>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</si>
  <si>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</si>
  <si>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</si>
  <si>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</si>
  <si>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</si>
  <si>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</si>
  <si>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</si>
  <si>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</si>
  <si>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</si>
  <si>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</si>
  <si>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</si>
  <si>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</si>
  <si>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</si>
  <si>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</si>
  <si>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</si>
  <si>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</si>
  <si>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</si>
  <si>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</si>
  <si>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</si>
  <si>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</si>
  <si>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</si>
  <si>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</si>
  <si>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</si>
  <si>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</si>
  <si>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</si>
  <si>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</si>
  <si>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</si>
  <si>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</si>
  <si>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</si>
  <si>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</si>
  <si>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</si>
  <si>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</si>
  <si>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</si>
  <si>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</si>
  <si>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</si>
  <si>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</si>
  <si>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</si>
  <si>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</si>
  <si>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</si>
  <si>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</si>
  <si>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</si>
  <si>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</si>
  <si>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</si>
  <si>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</si>
  <si>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</si>
  <si>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</si>
  <si>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</si>
  <si>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</si>
  <si>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</si>
  <si>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</si>
  <si>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</si>
  <si>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</si>
  <si>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</si>
  <si>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</si>
  <si>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</si>
  <si>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</si>
  <si>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</si>
  <si>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</si>
  <si>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</si>
  <si>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</si>
  <si>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</si>
  <si>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</si>
  <si>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</si>
  <si>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</si>
  <si>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</si>
  <si>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</si>
  <si>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</si>
  <si>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</si>
  <si>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</si>
  <si>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</si>
  <si>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</si>
  <si>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</si>
  <si>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</si>
  <si>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</si>
  <si>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</si>
  <si>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</si>
  <si>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</si>
  <si>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</si>
  <si>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</si>
  <si>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</si>
  <si>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</si>
  <si>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</si>
  <si>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</si>
  <si>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</si>
  <si>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</si>
  <si>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</si>
  <si>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</si>
  <si>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</si>
  <si>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</si>
  <si>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</si>
  <si>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</si>
  <si>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</si>
  <si>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</si>
  <si>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</si>
  <si>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</si>
  <si>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</si>
  <si>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</si>
  <si>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</si>
  <si>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</si>
  <si>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</si>
  <si>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</si>
  <si>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</si>
  <si>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</si>
  <si>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</si>
  <si>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</si>
  <si>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</si>
  <si>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</si>
  <si>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</si>
  <si>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</si>
  <si>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</si>
  <si>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</si>
  <si>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</si>
  <si>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</si>
  <si>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</si>
  <si>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</si>
  <si>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</si>
  <si>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</si>
  <si>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</si>
  <si>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</si>
  <si>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</si>
  <si>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</si>
  <si>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</si>
  <si>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</si>
  <si>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</si>
  <si>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</si>
  <si>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</si>
  <si>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</si>
  <si>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</si>
  <si>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04/02</t>
  </si>
  <si>
    <t>07/22</t>
  </si>
  <si>
    <t>05/2017</t>
  </si>
  <si>
    <t>07/2028</t>
  </si>
  <si>
    <t>05/14</t>
  </si>
  <si>
    <t>08/25</t>
  </si>
  <si>
    <t>07/14</t>
  </si>
  <si>
    <t>07/24</t>
  </si>
  <si>
    <t>36663..43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</si>
</sst>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67" sqref="H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1199</v>
      </c>
      <c r="B2" s="126">
        <f>INDEX('School Tables'!$AH$3:$AH$208,MATCH('DOE25'!A2,'School Tables'!$AJ$3:$AJ$208,0))</f>
        <v>319</v>
      </c>
      <c r="C2" s="126">
        <f>INDEX('School Tables'!$AI$3:$AI$208,MATCH('DOE25'!A2,'School Tables'!$AJ$3:$AJ$208,0))</f>
        <v>319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2815904.64</v>
      </c>
      <c r="G9" s="18">
        <v>5900</v>
      </c>
      <c r="H9" s="18"/>
      <c r="I9" s="18"/>
      <c r="J9" s="67">
        <f>SUM(I440)</f>
        <v>508475.99</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218237.24</v>
      </c>
      <c r="G12" s="18">
        <v>204255.21</v>
      </c>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99.42</v>
      </c>
      <c r="G13" s="18">
        <v>676467.64</v>
      </c>
      <c r="H13" s="18">
        <v>473904.6</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759</v>
      </c>
      <c r="G14" s="18">
        <v>12435.88</v>
      </c>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38999.57</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24571.98</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3059572.28</v>
      </c>
      <c r="G19" s="41">
        <f>SUM(G9:G18)</f>
        <v>938058.29999999993</v>
      </c>
      <c r="H19" s="41">
        <f>SUM(H9:H18)</f>
        <v>473904.6</v>
      </c>
      <c r="I19" s="41">
        <f>SUM(I9:I18)</f>
        <v>0</v>
      </c>
      <c r="J19" s="41">
        <f>SUM(J9:J18)</f>
        <v>508475.99</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v>396142.45</v>
      </c>
      <c r="I22" s="18"/>
      <c r="J22" s="67">
        <f>SUM(I449)</f>
        <v>26350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311105.65999999997</v>
      </c>
      <c r="G24" s="18">
        <v>96761.57</v>
      </c>
      <c r="H24" s="18">
        <v>6398.18</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627435.04</v>
      </c>
      <c r="G28" s="18">
        <v>12207.7</v>
      </c>
      <c r="H28" s="18">
        <v>50101.17</v>
      </c>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180944.44</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13910</v>
      </c>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1133395.1399999999</v>
      </c>
      <c r="G32" s="41">
        <f>SUM(G22:G31)</f>
        <v>108969.27</v>
      </c>
      <c r="H32" s="41">
        <f>SUM(H22:H31)</f>
        <v>452641.8</v>
      </c>
      <c r="I32" s="41">
        <f>SUM(I22:I31)</f>
        <v>0</v>
      </c>
      <c r="J32" s="41">
        <f>SUM(J22:J31)</f>
        <v>26350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v>38999.57</v>
      </c>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v>24571.98</v>
      </c>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790089.46</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v>21262.799999999999</v>
      </c>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600000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1125000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482125.99</v>
      </c>
      <c r="K48" s="24" t="s">
        <v>288</v>
      </c>
      <c r="L48" s="24" t="s">
        <v>288</v>
      </c>
      <c r="M48" s="8"/>
      <c r="N48" s="265"/>
    </row>
    <row r="49" spans="1:14" s="3" customFormat="1" ht="12.2" customHeight="1" x14ac:dyDescent="0.15">
      <c r="A49" s="1" t="s">
        <v>859</v>
      </c>
      <c r="B49" s="2" t="s">
        <v>289</v>
      </c>
      <c r="C49" s="6">
        <v>34</v>
      </c>
      <c r="D49" s="2"/>
      <c r="E49" s="6">
        <v>753</v>
      </c>
      <c r="F49" s="18">
        <v>43000</v>
      </c>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133605.16</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1926177.14</v>
      </c>
      <c r="G51" s="41">
        <f>SUM(G35:G50)</f>
        <v>829089.02999999991</v>
      </c>
      <c r="H51" s="41">
        <f>SUM(H35:H50)</f>
        <v>21262.799999999999</v>
      </c>
      <c r="I51" s="41">
        <f>SUM(I35:I50)</f>
        <v>0</v>
      </c>
      <c r="J51" s="41">
        <f>SUM(J35:J50)</f>
        <v>482125.99</v>
      </c>
      <c r="K51" s="45" t="s">
        <v>288</v>
      </c>
      <c r="L51" s="45" t="s">
        <v>288</v>
      </c>
      <c r="N51" s="263"/>
    </row>
    <row r="52" spans="1:14" s="3" customFormat="1" ht="12.2" customHeight="1" thickTop="1" x14ac:dyDescent="0.15">
      <c r="A52" s="38" t="s">
        <v>455</v>
      </c>
      <c r="B52" s="39" t="s">
        <v>289</v>
      </c>
      <c r="C52" s="6">
        <v>37</v>
      </c>
      <c r="D52" s="39" t="s">
        <v>653</v>
      </c>
      <c r="E52" s="39"/>
      <c r="F52" s="41">
        <f>F51+F32</f>
        <v>3059572.28</v>
      </c>
      <c r="G52" s="41">
        <f>G51+G32</f>
        <v>938058.29999999993</v>
      </c>
      <c r="H52" s="41">
        <f>H51+H32</f>
        <v>473904.6</v>
      </c>
      <c r="I52" s="41">
        <f>I51+I32</f>
        <v>0</v>
      </c>
      <c r="J52" s="41">
        <f>J51+J32</f>
        <v>508475.99</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59959869</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59959869</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99631.18</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5397</v>
      </c>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17600</v>
      </c>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1431413.58</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1554041.76</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2765.84</v>
      </c>
      <c r="G96" s="18">
        <v>2.64</v>
      </c>
      <c r="H96" s="18"/>
      <c r="I96" s="18"/>
      <c r="J96" s="18">
        <v>1376.73</v>
      </c>
      <c r="K96" s="24" t="s">
        <v>288</v>
      </c>
      <c r="L96" s="24" t="s">
        <v>288</v>
      </c>
      <c r="M96" s="8"/>
      <c r="N96" s="265"/>
    </row>
    <row r="97" spans="1:14" s="3" customFormat="1" ht="12.2" customHeight="1" x14ac:dyDescent="0.15">
      <c r="A97" s="1" t="s">
        <v>503</v>
      </c>
      <c r="B97" s="2" t="s">
        <v>315</v>
      </c>
      <c r="C97" s="6">
        <v>12</v>
      </c>
      <c r="D97" s="2" t="s">
        <v>430</v>
      </c>
      <c r="E97" s="6">
        <v>1600</v>
      </c>
      <c r="F97" s="24" t="s">
        <v>288</v>
      </c>
      <c r="G97" s="18">
        <v>323484.2</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v>35050.07</v>
      </c>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v>28725.5</v>
      </c>
      <c r="G99" s="18">
        <v>28310.57</v>
      </c>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11734.43</v>
      </c>
      <c r="G110" s="18"/>
      <c r="H110" s="18">
        <v>10230</v>
      </c>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78275.839999999997</v>
      </c>
      <c r="G111" s="41">
        <f>SUM(G96:G110)</f>
        <v>351797.41000000003</v>
      </c>
      <c r="H111" s="41">
        <f>SUM(H96:H110)</f>
        <v>10230</v>
      </c>
      <c r="I111" s="41">
        <f>SUM(I96:I110)</f>
        <v>0</v>
      </c>
      <c r="J111" s="41">
        <f>SUM(J96:J110)</f>
        <v>1376.73</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61592186.600000001</v>
      </c>
      <c r="G112" s="41">
        <f>G60+G111</f>
        <v>351797.41000000003</v>
      </c>
      <c r="H112" s="41">
        <f>H60+H79+H94+H111</f>
        <v>10230</v>
      </c>
      <c r="I112" s="41">
        <f>I60+I111</f>
        <v>0</v>
      </c>
      <c r="J112" s="41">
        <f>J60+J111</f>
        <v>1376.73</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11100823.949999999</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7319077</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6651.63</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18426552.579999998</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473694.51</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445562.63</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6937.5</v>
      </c>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21552.6</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v>3000</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57678.2</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947747.24</v>
      </c>
      <c r="G136" s="41">
        <f>SUM(G123:G135)</f>
        <v>57678.2</v>
      </c>
      <c r="H136" s="41">
        <f>SUM(H123:H135)</f>
        <v>3000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19374299.819999997</v>
      </c>
      <c r="G140" s="41">
        <f>G121+SUM(G136:G137)</f>
        <v>57678.2</v>
      </c>
      <c r="H140" s="41">
        <f>H121+SUM(H136:H139)</f>
        <v>3000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181614.63</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158265.79</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v>50255.98</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2425031.65+69301.65+5053.83</f>
        <v>2499387.13</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1111439.8899999999</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158572.06</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v>36907.03</v>
      </c>
      <c r="H161" s="18">
        <v>4998.8599999999997</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1196959.83</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158572.06</v>
      </c>
      <c r="G163" s="41">
        <f>SUM(G150:G162)</f>
        <v>2536294.1599999997</v>
      </c>
      <c r="H163" s="41">
        <f>SUM(H150:H162)</f>
        <v>2703534.9800000004</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158572.06</v>
      </c>
      <c r="G170" s="41">
        <f>G147+G163+SUM(G164:G169)</f>
        <v>2536294.1599999997</v>
      </c>
      <c r="H170" s="41">
        <f>H147+H163+SUM(H164:H169)</f>
        <v>2703534.9800000004</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1486.7</v>
      </c>
      <c r="H180" s="18"/>
      <c r="I180" s="18"/>
      <c r="J180" s="18">
        <v>825000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v>1580</v>
      </c>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3066.7</v>
      </c>
      <c r="H184" s="41">
        <f>SUM(H180:H183)</f>
        <v>0</v>
      </c>
      <c r="I184" s="41">
        <f>SUM(I180:I183)</f>
        <v>0</v>
      </c>
      <c r="J184" s="41">
        <f>SUM(J180:J183)</f>
        <v>825000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v>211738.61</v>
      </c>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v>689495.7</v>
      </c>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901234.30999999994</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901234.30999999994</v>
      </c>
      <c r="G193" s="41">
        <f>G184+SUM(G189:G192)</f>
        <v>3066.7</v>
      </c>
      <c r="H193" s="41">
        <f>+H184+SUM(H189:H192)</f>
        <v>0</v>
      </c>
      <c r="I193" s="41">
        <f>I178+I184+SUM(I189:I192)</f>
        <v>0</v>
      </c>
      <c r="J193" s="41">
        <f>J184</f>
        <v>825000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82026292.790000007</v>
      </c>
      <c r="G194" s="47">
        <f>G112+G140+G170+G193</f>
        <v>2948836.4699999997</v>
      </c>
      <c r="H194" s="47">
        <f>H112+H140+H170+H193</f>
        <v>2716764.9800000004</v>
      </c>
      <c r="I194" s="47">
        <f>I112+I140+I170+I193</f>
        <v>0</v>
      </c>
      <c r="J194" s="47">
        <f>J112+J140+J193</f>
        <v>826376.73</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f>7304125.48+335059.61-0.03</f>
        <v>7639185.0600000005</v>
      </c>
      <c r="G198" s="18">
        <v>4491461.17</v>
      </c>
      <c r="H198" s="18">
        <f>40+462+2209.62+694+193.93</f>
        <v>3599.5499999999997</v>
      </c>
      <c r="I198" s="18">
        <f>13841.22+28558.32+27969.68+21827.02+7228.16+3463.16+26457.59+1194.08+2423.57+22883.12+2779.18+23867.43+1222.66+2477.85+22819.99+2697.42+24414+1198.5+2416.06+23053.15+85017.86+567.18</f>
        <v>348377.2</v>
      </c>
      <c r="J198" s="18">
        <f>1759.58+3295.91+4657.99+3743.42+1900</f>
        <v>15356.9</v>
      </c>
      <c r="K198" s="18"/>
      <c r="L198" s="19">
        <f>SUM(F198:K198)</f>
        <v>12497979.880000001</v>
      </c>
      <c r="M198" s="8"/>
      <c r="N198" s="265"/>
    </row>
    <row r="199" spans="1:14" s="3" customFormat="1" ht="12.2" customHeight="1" x14ac:dyDescent="0.15">
      <c r="A199" s="1" t="s">
        <v>439</v>
      </c>
      <c r="B199" s="2" t="s">
        <v>341</v>
      </c>
      <c r="C199" s="2" t="s">
        <v>291</v>
      </c>
      <c r="D199" s="2" t="s">
        <v>431</v>
      </c>
      <c r="E199" s="6">
        <v>1200</v>
      </c>
      <c r="F199" s="18">
        <f>382920+3923292.17+313292.51+180721.7</f>
        <v>4800226.38</v>
      </c>
      <c r="G199" s="18">
        <v>2914999.96</v>
      </c>
      <c r="H199" s="18">
        <f>234957.09+248294.87</f>
        <v>483251.95999999996</v>
      </c>
      <c r="I199" s="18">
        <f>11709.26+7965.24+1881.77+3943.41+1721.26+2292.4+11139.91</f>
        <v>40653.25</v>
      </c>
      <c r="J199" s="18">
        <f>3284.16+581.94+749.85</f>
        <v>4615.95</v>
      </c>
      <c r="K199" s="18">
        <f>210+87.5</f>
        <v>297.5</v>
      </c>
      <c r="L199" s="19">
        <f>SUM(F199:K199)</f>
        <v>8244045</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f>42846+14055+52498.59+117074.44</f>
        <v>226474.03</v>
      </c>
      <c r="G201" s="18">
        <v>172458.23</v>
      </c>
      <c r="H201" s="18"/>
      <c r="I201" s="18">
        <f>133.85</f>
        <v>133.85</v>
      </c>
      <c r="J201" s="18"/>
      <c r="K201" s="18"/>
      <c r="L201" s="19">
        <f>SUM(F201:K201)</f>
        <v>399066.11</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f>440455.04+356778.2+670372+1801.75+838680.48</f>
        <v>2308087.4699999997</v>
      </c>
      <c r="G203" s="18">
        <v>1277347.6299999999</v>
      </c>
      <c r="H203" s="18">
        <f>205591.07+6076.52</f>
        <v>211667.59</v>
      </c>
      <c r="I203" s="18">
        <f>715.66+1103.74+1428.4+1415.54+945.42+2732.52+15309.13</f>
        <v>23650.41</v>
      </c>
      <c r="J203" s="18"/>
      <c r="K203" s="18"/>
      <c r="L203" s="19">
        <f t="shared" ref="L203:L209" si="0">SUM(F203:K203)</f>
        <v>3820753.0999999996</v>
      </c>
      <c r="M203" s="8"/>
      <c r="N203" s="265"/>
    </row>
    <row r="204" spans="1:14" s="3" customFormat="1" ht="12.2" customHeight="1" x14ac:dyDescent="0.15">
      <c r="A204" s="1" t="s">
        <v>443</v>
      </c>
      <c r="B204" s="2" t="s">
        <v>341</v>
      </c>
      <c r="C204" s="2" t="s">
        <v>295</v>
      </c>
      <c r="D204" s="2" t="s">
        <v>431</v>
      </c>
      <c r="E204" s="6">
        <v>2200</v>
      </c>
      <c r="F204" s="18">
        <f>34162.5+297850.8+54302.26</f>
        <v>386315.56</v>
      </c>
      <c r="G204" s="18">
        <f>210911.75+84374.16+5121.45</f>
        <v>300407.36000000004</v>
      </c>
      <c r="H204" s="18">
        <f>28924.4</f>
        <v>28924.400000000001</v>
      </c>
      <c r="I204" s="18">
        <f>2281.98+1995.04+1472.67+1596.92+13226.61+13332.78+10823.69+1270+18052.43</f>
        <v>64052.12</v>
      </c>
      <c r="J204" s="18"/>
      <c r="K204" s="18">
        <f>212</f>
        <v>212</v>
      </c>
      <c r="L204" s="19">
        <f t="shared" si="0"/>
        <v>779911.44000000006</v>
      </c>
      <c r="M204" s="8"/>
      <c r="N204" s="265"/>
    </row>
    <row r="205" spans="1:14" s="3" customFormat="1" ht="12.2" customHeight="1" x14ac:dyDescent="0.15">
      <c r="A205" s="1" t="s">
        <v>444</v>
      </c>
      <c r="B205" s="2" t="s">
        <v>341</v>
      </c>
      <c r="C205" s="2" t="s">
        <v>296</v>
      </c>
      <c r="D205" s="2" t="s">
        <v>431</v>
      </c>
      <c r="E205" s="6">
        <v>2300</v>
      </c>
      <c r="F205" s="18">
        <f>195924.84</f>
        <v>195924.84</v>
      </c>
      <c r="G205" s="18">
        <v>122648.16</v>
      </c>
      <c r="H205" s="18">
        <f>336504.94</f>
        <v>336504.94</v>
      </c>
      <c r="I205" s="18">
        <f>28635.26</f>
        <v>28635.26</v>
      </c>
      <c r="J205" s="18">
        <f>1603.17</f>
        <v>1603.17</v>
      </c>
      <c r="K205" s="18">
        <f>9247.68</f>
        <v>9247.68</v>
      </c>
      <c r="L205" s="19">
        <f t="shared" si="0"/>
        <v>694564.05</v>
      </c>
      <c r="M205" s="8"/>
      <c r="N205" s="265"/>
    </row>
    <row r="206" spans="1:14" s="3" customFormat="1" ht="12.2" customHeight="1" x14ac:dyDescent="0.15">
      <c r="A206" s="1" t="s">
        <v>445</v>
      </c>
      <c r="B206" s="2" t="s">
        <v>341</v>
      </c>
      <c r="C206" s="2" t="s">
        <v>297</v>
      </c>
      <c r="D206" s="2" t="s">
        <v>431</v>
      </c>
      <c r="E206" s="6">
        <v>2400</v>
      </c>
      <c r="F206" s="18">
        <f>1019281.13+1294.51</f>
        <v>1020575.64</v>
      </c>
      <c r="G206" s="18">
        <v>643930.26</v>
      </c>
      <c r="H206" s="18">
        <f>1716.07+2916.07+2366.07+1666.07+155.4+382.95+671.5+555+173.17+1151+1604.96+1033.13</f>
        <v>14391.390000000003</v>
      </c>
      <c r="I206" s="18">
        <f>797.89+1334.54+2450.68+802.51</f>
        <v>5385.62</v>
      </c>
      <c r="J206" s="18"/>
      <c r="K206" s="18">
        <f>854+397+2408+1829</f>
        <v>5488</v>
      </c>
      <c r="L206" s="19">
        <f t="shared" si="0"/>
        <v>1689770.91</v>
      </c>
      <c r="M206" s="8"/>
      <c r="N206" s="265"/>
    </row>
    <row r="207" spans="1:14" s="3" customFormat="1" ht="12.2" customHeight="1" x14ac:dyDescent="0.15">
      <c r="A207" s="1" t="s">
        <v>446</v>
      </c>
      <c r="B207" s="2" t="s">
        <v>341</v>
      </c>
      <c r="C207" s="2" t="s">
        <v>298</v>
      </c>
      <c r="D207" s="2" t="s">
        <v>431</v>
      </c>
      <c r="E207" s="6">
        <v>2500</v>
      </c>
      <c r="F207" s="18">
        <f>305943.38</f>
        <v>305943.38</v>
      </c>
      <c r="G207" s="18">
        <v>184690.36</v>
      </c>
      <c r="H207" s="18">
        <f>88481.7</f>
        <v>88481.7</v>
      </c>
      <c r="I207" s="18"/>
      <c r="J207" s="18"/>
      <c r="K207" s="18"/>
      <c r="L207" s="19">
        <f t="shared" si="0"/>
        <v>579115.43999999994</v>
      </c>
      <c r="M207" s="8"/>
      <c r="N207" s="265"/>
    </row>
    <row r="208" spans="1:14" s="3" customFormat="1" ht="12.2" customHeight="1" x14ac:dyDescent="0.15">
      <c r="A208" s="1" t="s">
        <v>447</v>
      </c>
      <c r="B208" s="2" t="s">
        <v>341</v>
      </c>
      <c r="C208" s="2" t="s">
        <v>299</v>
      </c>
      <c r="D208" s="2" t="s">
        <v>431</v>
      </c>
      <c r="E208" s="6">
        <v>2600</v>
      </c>
      <c r="F208" s="18">
        <f>786285.23+311208.21</f>
        <v>1097493.44</v>
      </c>
      <c r="G208" s="18">
        <v>607993.76</v>
      </c>
      <c r="H208" s="18">
        <f>2161.28+1550.26+37200+994.18+581.38+754.85+5170+6742.57+801.65+840+7618.1+12512.38+5038.61+14918.87+781.2+2435.98+1864.8+2100+14249+26614.02+16785.95+29624.35+7216+9692.5+8750.92+9712+583949.55</f>
        <v>810660.4</v>
      </c>
      <c r="I208" s="18">
        <f>18142.38+31254.89+22563.29+26746.21+470.72+1365.08+389.72+524.72+15561.62+26802.86+24469.86+34394.53+72700.49+56051.39+62311.66+89528.16+26161.53</f>
        <v>509439.1100000001</v>
      </c>
      <c r="J208" s="18">
        <f>854+499.99+995+2086+975+69121.13</f>
        <v>74531.12000000001</v>
      </c>
      <c r="K208" s="18">
        <f>67.5</f>
        <v>67.5</v>
      </c>
      <c r="L208" s="19">
        <f t="shared" si="0"/>
        <v>3100185.33</v>
      </c>
      <c r="M208" s="8"/>
      <c r="N208" s="265"/>
    </row>
    <row r="209" spans="1:14" s="3" customFormat="1" ht="12.2" customHeight="1" x14ac:dyDescent="0.15">
      <c r="A209" s="1" t="s">
        <v>448</v>
      </c>
      <c r="B209" s="2" t="s">
        <v>341</v>
      </c>
      <c r="C209" s="2" t="s">
        <v>300</v>
      </c>
      <c r="D209" s="2" t="s">
        <v>431</v>
      </c>
      <c r="E209" s="6">
        <v>2700</v>
      </c>
      <c r="F209" s="18"/>
      <c r="G209" s="18"/>
      <c r="H209" s="18">
        <f>2445993.7</f>
        <v>2445993.7000000002</v>
      </c>
      <c r="I209" s="18"/>
      <c r="J209" s="18"/>
      <c r="K209" s="18"/>
      <c r="L209" s="19">
        <f t="shared" si="0"/>
        <v>2445993.7000000002</v>
      </c>
      <c r="M209" s="8"/>
      <c r="N209" s="265"/>
    </row>
    <row r="210" spans="1:14" s="3" customFormat="1" ht="12.2" customHeight="1" x14ac:dyDescent="0.15">
      <c r="A210" s="1" t="s">
        <v>449</v>
      </c>
      <c r="B210" s="2" t="s">
        <v>341</v>
      </c>
      <c r="C210" s="2" t="s">
        <v>343</v>
      </c>
      <c r="D210" s="2" t="s">
        <v>431</v>
      </c>
      <c r="E210" s="6">
        <v>2800</v>
      </c>
      <c r="F210" s="18">
        <f>252232.61</f>
        <v>252232.61</v>
      </c>
      <c r="G210" s="18">
        <v>139251.76999999999</v>
      </c>
      <c r="H210" s="18">
        <f>116999.39</f>
        <v>116999.39</v>
      </c>
      <c r="I210" s="18">
        <f>123404.08</f>
        <v>123404.08</v>
      </c>
      <c r="J210" s="18">
        <f>90046.29</f>
        <v>90046.29</v>
      </c>
      <c r="K210" s="18"/>
      <c r="L210" s="19">
        <f>SUM(F210:K210)</f>
        <v>721934.14</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18232458.410000004</v>
      </c>
      <c r="G212" s="41">
        <f t="shared" si="1"/>
        <v>10855188.659999998</v>
      </c>
      <c r="H212" s="41">
        <f t="shared" si="1"/>
        <v>4540475.0199999996</v>
      </c>
      <c r="I212" s="41">
        <f t="shared" si="1"/>
        <v>1143730.9000000001</v>
      </c>
      <c r="J212" s="41">
        <f t="shared" si="1"/>
        <v>186153.43</v>
      </c>
      <c r="K212" s="41">
        <f t="shared" si="1"/>
        <v>15312.68</v>
      </c>
      <c r="L212" s="41">
        <f t="shared" si="1"/>
        <v>34973319.100000009</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f>4565211.32+165074.48</f>
        <v>4730285.8000000007</v>
      </c>
      <c r="G216" s="18">
        <v>2640625.9900000002</v>
      </c>
      <c r="H216" s="18">
        <f>4394.03+1432.44+2416.2+1021.56</f>
        <v>9264.2299999999977</v>
      </c>
      <c r="I216" s="18">
        <f>9267.22+4191.05+46.9+880.77+4235.84+1810.39+4157.41+1410.61+14122.97+5246.48+1616.43+488.54+16881.78+12800.78+300.14+29710.98+454.78+56.36+950+23058.89</f>
        <v>131688.32000000001</v>
      </c>
      <c r="J216" s="18">
        <f>484.06+1798.81</f>
        <v>2282.87</v>
      </c>
      <c r="K216" s="18"/>
      <c r="L216" s="19">
        <f>SUM(F216:K216)</f>
        <v>7514147.2100000018</v>
      </c>
      <c r="M216" s="8"/>
      <c r="N216" s="265"/>
    </row>
    <row r="217" spans="1:14" s="3" customFormat="1" ht="12.2" customHeight="1" x14ac:dyDescent="0.15">
      <c r="A217" s="1" t="s">
        <v>439</v>
      </c>
      <c r="B217" s="2" t="s">
        <v>346</v>
      </c>
      <c r="C217" s="2" t="s">
        <v>291</v>
      </c>
      <c r="D217" s="2" t="s">
        <v>431</v>
      </c>
      <c r="E217" s="6">
        <v>1200</v>
      </c>
      <c r="F217" s="18">
        <f>142764.24+1387386.12+43425.98+77615.63</f>
        <v>1651191.9700000002</v>
      </c>
      <c r="G217" s="18">
        <v>990969.05</v>
      </c>
      <c r="H217" s="18">
        <f>731019.45+121388.6</f>
        <v>852408.04999999993</v>
      </c>
      <c r="I217" s="18">
        <f>2580.63+5160.2</f>
        <v>7740.83</v>
      </c>
      <c r="J217" s="18">
        <f>6268.74</f>
        <v>6268.74</v>
      </c>
      <c r="K217" s="18">
        <f>87.5</f>
        <v>87.5</v>
      </c>
      <c r="L217" s="19">
        <f>SUM(F217:K217)</f>
        <v>3508666.1400000006</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f>47111+1591+106859.23+5635.16+41381.04</f>
        <v>202577.43</v>
      </c>
      <c r="G219" s="18">
        <v>129110.62</v>
      </c>
      <c r="H219" s="18">
        <f>159.31+13514</f>
        <v>13673.31</v>
      </c>
      <c r="I219" s="18">
        <f>3324+2870.6+53.54</f>
        <v>6248.14</v>
      </c>
      <c r="J219" s="18">
        <f>3021.38</f>
        <v>3021.38</v>
      </c>
      <c r="K219" s="18">
        <f>2230</f>
        <v>2230</v>
      </c>
      <c r="L219" s="19">
        <f>SUM(F219:K219)</f>
        <v>356860.88</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f>47585.57+280181.72+119384.68+140447.26+224531.55</f>
        <v>812130.78</v>
      </c>
      <c r="G221" s="18">
        <v>473781.72</v>
      </c>
      <c r="H221" s="18">
        <f>398.4+121479.2</f>
        <v>121877.59999999999</v>
      </c>
      <c r="I221" s="18">
        <f>76.92+4875+150+2665.13+7484.46</f>
        <v>15251.51</v>
      </c>
      <c r="J221" s="18"/>
      <c r="K221" s="18">
        <f>50</f>
        <v>50</v>
      </c>
      <c r="L221" s="19">
        <f t="shared" ref="L221:L227" si="2">SUM(F221:K221)</f>
        <v>1423091.61</v>
      </c>
      <c r="M221" s="8"/>
      <c r="N221" s="265"/>
    </row>
    <row r="222" spans="1:14" s="3" customFormat="1" ht="12.2" customHeight="1" x14ac:dyDescent="0.15">
      <c r="A222" s="1" t="s">
        <v>443</v>
      </c>
      <c r="B222" s="2" t="s">
        <v>346</v>
      </c>
      <c r="C222" s="2" t="s">
        <v>295</v>
      </c>
      <c r="D222" s="2" t="s">
        <v>431</v>
      </c>
      <c r="E222" s="6">
        <v>2200</v>
      </c>
      <c r="F222" s="18">
        <f>5250+183036.3+26547.77</f>
        <v>214834.06999999998</v>
      </c>
      <c r="G222" s="18">
        <f>117224.98+43450.35+2503.82</f>
        <v>163179.15</v>
      </c>
      <c r="H222" s="18">
        <f>1500+2970.74</f>
        <v>4470.74</v>
      </c>
      <c r="I222" s="18">
        <f>8643.62+30118.66+623+8825.63</f>
        <v>48210.909999999996</v>
      </c>
      <c r="J222" s="18"/>
      <c r="K222" s="18"/>
      <c r="L222" s="19">
        <f t="shared" si="2"/>
        <v>430694.86999999994</v>
      </c>
      <c r="M222" s="8"/>
      <c r="N222" s="265"/>
    </row>
    <row r="223" spans="1:14" s="3" customFormat="1" ht="12.2" customHeight="1" x14ac:dyDescent="0.15">
      <c r="A223" s="1" t="s">
        <v>444</v>
      </c>
      <c r="B223" s="2" t="s">
        <v>346</v>
      </c>
      <c r="C223" s="2" t="s">
        <v>296</v>
      </c>
      <c r="D223" s="2" t="s">
        <v>431</v>
      </c>
      <c r="E223" s="6">
        <v>2300</v>
      </c>
      <c r="F223" s="18">
        <f>95785.48</f>
        <v>95785.48</v>
      </c>
      <c r="G223" s="18">
        <v>59988.49</v>
      </c>
      <c r="H223" s="18">
        <f>164513.53</f>
        <v>164513.53</v>
      </c>
      <c r="I223" s="18">
        <f>13999.46</f>
        <v>13999.46</v>
      </c>
      <c r="J223" s="18">
        <f>783.77</f>
        <v>783.77</v>
      </c>
      <c r="K223" s="18">
        <f>4521.09</f>
        <v>4521.09</v>
      </c>
      <c r="L223" s="19">
        <f t="shared" si="2"/>
        <v>339591.82000000007</v>
      </c>
      <c r="M223" s="8"/>
      <c r="N223" s="265"/>
    </row>
    <row r="224" spans="1:14" s="3" customFormat="1" ht="12.2" customHeight="1" x14ac:dyDescent="0.15">
      <c r="A224" s="1" t="s">
        <v>445</v>
      </c>
      <c r="B224" s="2" t="s">
        <v>346</v>
      </c>
      <c r="C224" s="2" t="s">
        <v>297</v>
      </c>
      <c r="D224" s="2" t="s">
        <v>431</v>
      </c>
      <c r="E224" s="6">
        <v>2400</v>
      </c>
      <c r="F224" s="18">
        <f>476503.69+632.87</f>
        <v>477136.56</v>
      </c>
      <c r="G224" s="18">
        <v>288657.7</v>
      </c>
      <c r="H224" s="18">
        <f>5338.95+633.65+4389.25+505.09</f>
        <v>10866.939999999999</v>
      </c>
      <c r="I224" s="18">
        <f>1018.5</f>
        <v>1018.5</v>
      </c>
      <c r="J224" s="18"/>
      <c r="K224" s="18">
        <f>1362.95</f>
        <v>1362.95</v>
      </c>
      <c r="L224" s="19">
        <f t="shared" si="2"/>
        <v>779042.64999999991</v>
      </c>
      <c r="M224" s="8"/>
      <c r="N224" s="265"/>
    </row>
    <row r="225" spans="1:14" s="3" customFormat="1" ht="12.2" customHeight="1" x14ac:dyDescent="0.15">
      <c r="A225" s="1" t="s">
        <v>446</v>
      </c>
      <c r="B225" s="2" t="s">
        <v>346</v>
      </c>
      <c r="C225" s="2" t="s">
        <v>298</v>
      </c>
      <c r="D225" s="2" t="s">
        <v>431</v>
      </c>
      <c r="E225" s="6">
        <v>2500</v>
      </c>
      <c r="F225" s="18">
        <f>149572.32</f>
        <v>149572.32</v>
      </c>
      <c r="G225" s="18">
        <v>90371.61</v>
      </c>
      <c r="H225" s="18">
        <f>43257.72</f>
        <v>43257.72</v>
      </c>
      <c r="I225" s="18"/>
      <c r="J225" s="18"/>
      <c r="K225" s="18"/>
      <c r="L225" s="19">
        <f t="shared" si="2"/>
        <v>283201.65000000002</v>
      </c>
      <c r="M225" s="8"/>
      <c r="N225" s="265"/>
    </row>
    <row r="226" spans="1:14" s="3" customFormat="1" ht="12.2" customHeight="1" x14ac:dyDescent="0.15">
      <c r="A226" s="1" t="s">
        <v>447</v>
      </c>
      <c r="B226" s="2" t="s">
        <v>346</v>
      </c>
      <c r="C226" s="2" t="s">
        <v>299</v>
      </c>
      <c r="D226" s="2" t="s">
        <v>431</v>
      </c>
      <c r="E226" s="6">
        <v>2600</v>
      </c>
      <c r="F226" s="18">
        <f>532315.38+209714.78</f>
        <v>742030.16</v>
      </c>
      <c r="G226" s="18">
        <v>406536.23</v>
      </c>
      <c r="H226" s="18">
        <f>3356+18462.04+3301.2+23617.96+14395.4+326740.83</f>
        <v>389873.43</v>
      </c>
      <c r="I226" s="18">
        <f>20977.07+2204.64+40885.3+99967.67+12825.56</f>
        <v>176860.24</v>
      </c>
      <c r="J226" s="18">
        <f>499.99+3931+16565.07</f>
        <v>20996.059999999998</v>
      </c>
      <c r="K226" s="18">
        <f>33</f>
        <v>33</v>
      </c>
      <c r="L226" s="19">
        <f t="shared" si="2"/>
        <v>1736329.12</v>
      </c>
      <c r="M226" s="8"/>
      <c r="N226" s="265"/>
    </row>
    <row r="227" spans="1:14" s="3" customFormat="1" ht="12.2" customHeight="1" x14ac:dyDescent="0.15">
      <c r="A227" s="1" t="s">
        <v>448</v>
      </c>
      <c r="B227" s="2" t="s">
        <v>346</v>
      </c>
      <c r="C227" s="2" t="s">
        <v>300</v>
      </c>
      <c r="D227" s="2" t="s">
        <v>431</v>
      </c>
      <c r="E227" s="6">
        <v>2700</v>
      </c>
      <c r="F227" s="18"/>
      <c r="G227" s="18"/>
      <c r="H227" s="18">
        <f>7617.4+290+1094137.15</f>
        <v>1102044.5499999998</v>
      </c>
      <c r="I227" s="18"/>
      <c r="J227" s="18"/>
      <c r="K227" s="18"/>
      <c r="L227" s="19">
        <f t="shared" si="2"/>
        <v>1102044.5499999998</v>
      </c>
      <c r="M227" s="8"/>
      <c r="N227" s="265"/>
    </row>
    <row r="228" spans="1:14" s="3" customFormat="1" ht="12.2" customHeight="1" x14ac:dyDescent="0.15">
      <c r="A228" s="1" t="s">
        <v>449</v>
      </c>
      <c r="B228" s="2" t="s">
        <v>346</v>
      </c>
      <c r="C228" s="2" t="s">
        <v>343</v>
      </c>
      <c r="D228" s="2" t="s">
        <v>431</v>
      </c>
      <c r="E228" s="6">
        <v>2800</v>
      </c>
      <c r="F228" s="18">
        <f>123313.72</f>
        <v>123313.72</v>
      </c>
      <c r="G228" s="18">
        <v>68011.05</v>
      </c>
      <c r="H228" s="18">
        <f>57199.7</f>
        <v>57199.7</v>
      </c>
      <c r="I228" s="18">
        <f>60330.88</f>
        <v>60330.879999999997</v>
      </c>
      <c r="J228" s="18">
        <f>55736.42</f>
        <v>55736.42</v>
      </c>
      <c r="K228" s="18"/>
      <c r="L228" s="19">
        <f>SUM(F228:K228)</f>
        <v>364591.77</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9198858.2900000028</v>
      </c>
      <c r="G230" s="41">
        <f>SUM(G216:G229)</f>
        <v>5311231.6100000003</v>
      </c>
      <c r="H230" s="41">
        <f>SUM(H216:H229)</f>
        <v>2769449.8</v>
      </c>
      <c r="I230" s="41">
        <f>SUM(I216:I229)</f>
        <v>461348.79000000004</v>
      </c>
      <c r="J230" s="41">
        <f>SUM(J216:J229)</f>
        <v>89089.239999999991</v>
      </c>
      <c r="K230" s="41">
        <f t="shared" si="3"/>
        <v>8284.5400000000009</v>
      </c>
      <c r="L230" s="41">
        <f t="shared" si="3"/>
        <v>17838262.270000003</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f>6841082.63+368086.49</f>
        <v>7209169.1200000001</v>
      </c>
      <c r="G234" s="18">
        <f>4038925.12-0.01</f>
        <v>4038925.1100000003</v>
      </c>
      <c r="H234" s="18">
        <f>4963.63+6297.34+3487.6+1515+4440.17</f>
        <v>20703.740000000002</v>
      </c>
      <c r="I234" s="18">
        <f>17434.81+3292.09+12518.99+1282.04+2401.07+2544.37+8997.32+27098.25+1396.69+21122.69+36367.77+616.17+1181.93+36688.1+335.96+23673.1+393.9+235.15+350.14+463.17+341.24+280.12+12405+58770.72+251.2-0.01</f>
        <v>270441.98000000004</v>
      </c>
      <c r="J234" s="18">
        <f>285+10296.3</f>
        <v>10581.3</v>
      </c>
      <c r="K234" s="18">
        <f>1567.68+3394.68</f>
        <v>4962.3599999999997</v>
      </c>
      <c r="L234" s="19">
        <f>SUM(F234:K234)</f>
        <v>11554783.610000001</v>
      </c>
      <c r="M234" s="8"/>
      <c r="N234" s="265"/>
    </row>
    <row r="235" spans="1:14" s="3" customFormat="1" ht="12.2" customHeight="1" x14ac:dyDescent="0.15">
      <c r="A235" s="1" t="s">
        <v>439</v>
      </c>
      <c r="B235" s="2" t="s">
        <v>350</v>
      </c>
      <c r="C235" s="2" t="s">
        <v>291</v>
      </c>
      <c r="D235" s="2" t="s">
        <v>431</v>
      </c>
      <c r="E235" s="6">
        <v>1200</v>
      </c>
      <c r="F235" s="18">
        <f>114476.04+1381549.95+78355.65</f>
        <v>1574381.64</v>
      </c>
      <c r="G235" s="18">
        <v>1141461.99</v>
      </c>
      <c r="H235" s="18">
        <f>10049.04+992465.42+182082.9</f>
        <v>1184597.3600000001</v>
      </c>
      <c r="I235" s="18">
        <f>12179.53+7628.71</f>
        <v>19808.240000000002</v>
      </c>
      <c r="J235" s="18">
        <f>75.31+199</f>
        <v>274.31</v>
      </c>
      <c r="K235" s="18"/>
      <c r="L235" s="19">
        <f>SUM(F235:K235)</f>
        <v>3920523.5400000005</v>
      </c>
      <c r="M235" s="8"/>
      <c r="N235" s="265"/>
    </row>
    <row r="236" spans="1:14" s="3" customFormat="1" ht="12.2" customHeight="1" x14ac:dyDescent="0.15">
      <c r="A236" s="1" t="s">
        <v>440</v>
      </c>
      <c r="B236" s="2" t="s">
        <v>350</v>
      </c>
      <c r="C236" s="2" t="s">
        <v>292</v>
      </c>
      <c r="D236" s="2" t="s">
        <v>431</v>
      </c>
      <c r="E236" s="6">
        <v>1300</v>
      </c>
      <c r="F236" s="18"/>
      <c r="G236" s="18"/>
      <c r="H236" s="18">
        <f>154193.6</f>
        <v>154193.60000000001</v>
      </c>
      <c r="I236" s="18"/>
      <c r="J236" s="18"/>
      <c r="K236" s="18"/>
      <c r="L236" s="19">
        <f>SUM(F236:K236)</f>
        <v>154193.60000000001</v>
      </c>
      <c r="M236" s="8"/>
      <c r="N236" s="265"/>
    </row>
    <row r="237" spans="1:14" s="3" customFormat="1" ht="12.2" customHeight="1" x14ac:dyDescent="0.15">
      <c r="A237" s="1" t="s">
        <v>441</v>
      </c>
      <c r="B237" s="2" t="s">
        <v>350</v>
      </c>
      <c r="C237" s="2" t="s">
        <v>293</v>
      </c>
      <c r="D237" s="2" t="s">
        <v>431</v>
      </c>
      <c r="E237" s="6">
        <v>1400</v>
      </c>
      <c r="F237" s="18">
        <f>87817.71+525600.48+30934+50920.24</f>
        <v>695272.42999999993</v>
      </c>
      <c r="G237" s="18">
        <v>392508.87</v>
      </c>
      <c r="H237" s="18">
        <f>4575+3771.6+59455.2+8125.38+70698.5</f>
        <v>146625.68</v>
      </c>
      <c r="I237" s="18">
        <f>8832.45+30510.32+1200+80.31</f>
        <v>40623.08</v>
      </c>
      <c r="J237" s="18">
        <f>8809.1+38947.95+27715.08+17121.14</f>
        <v>92593.27</v>
      </c>
      <c r="K237" s="18">
        <f>930+37610.32</f>
        <v>38540.32</v>
      </c>
      <c r="L237" s="19">
        <f>SUM(F237:K237)</f>
        <v>1406163.65</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f>167301.42+475264.96+43400.56+120922.82+111673.96+271201.24</f>
        <v>1189764.96</v>
      </c>
      <c r="G239" s="18">
        <f>684484.44-0.01</f>
        <v>684484.42999999993</v>
      </c>
      <c r="H239" s="18">
        <f>229473.63</f>
        <v>229473.63</v>
      </c>
      <c r="I239" s="18">
        <f>557.33+6480.03+235.36+11226.7</f>
        <v>18499.419999999998</v>
      </c>
      <c r="J239" s="18"/>
      <c r="K239" s="18">
        <f>325</f>
        <v>325</v>
      </c>
      <c r="L239" s="19">
        <f t="shared" ref="L239:L245" si="4">SUM(F239:K239)</f>
        <v>2122547.44</v>
      </c>
      <c r="M239" s="8"/>
      <c r="N239" s="265"/>
    </row>
    <row r="240" spans="1:14" s="3" customFormat="1" ht="12.2" customHeight="1" x14ac:dyDescent="0.15">
      <c r="A240" s="1" t="s">
        <v>443</v>
      </c>
      <c r="B240" s="2" t="s">
        <v>350</v>
      </c>
      <c r="C240" s="2" t="s">
        <v>295</v>
      </c>
      <c r="D240" s="2" t="s">
        <v>431</v>
      </c>
      <c r="E240" s="6">
        <v>2200</v>
      </c>
      <c r="F240" s="18">
        <f>9037.5+198131.75+39821.66</f>
        <v>246990.91</v>
      </c>
      <c r="G240" s="18">
        <f>141350.31+48112.05+3755.73</f>
        <v>193218.09</v>
      </c>
      <c r="H240" s="18">
        <f>6703.75+4456.11</f>
        <v>11159.86</v>
      </c>
      <c r="I240" s="18">
        <f>3978.93+68567.69+930+13238.45</f>
        <v>86715.069999999992</v>
      </c>
      <c r="J240" s="18"/>
      <c r="K240" s="18">
        <f>296</f>
        <v>296</v>
      </c>
      <c r="L240" s="19">
        <f t="shared" si="4"/>
        <v>538379.92999999993</v>
      </c>
      <c r="M240" s="8"/>
      <c r="N240" s="265"/>
    </row>
    <row r="241" spans="1:14" s="3" customFormat="1" ht="12.2" customHeight="1" x14ac:dyDescent="0.15">
      <c r="A241" s="1" t="s">
        <v>444</v>
      </c>
      <c r="B241" s="2" t="s">
        <v>350</v>
      </c>
      <c r="C241" s="2" t="s">
        <v>296</v>
      </c>
      <c r="D241" s="2" t="s">
        <v>431</v>
      </c>
      <c r="E241" s="6">
        <v>2300</v>
      </c>
      <c r="F241" s="18">
        <f>143678.22</f>
        <v>143678.22</v>
      </c>
      <c r="G241" s="18">
        <v>90228.99</v>
      </c>
      <c r="H241" s="18">
        <f>246770.29</f>
        <v>246770.29</v>
      </c>
      <c r="I241" s="18">
        <f>20999.19</f>
        <v>20999.19</v>
      </c>
      <c r="J241" s="18">
        <f>1175.66</f>
        <v>1175.6600000000001</v>
      </c>
      <c r="K241" s="18">
        <f>6781.64</f>
        <v>6781.64</v>
      </c>
      <c r="L241" s="19">
        <f t="shared" si="4"/>
        <v>509633.99</v>
      </c>
      <c r="M241" s="8"/>
      <c r="N241" s="265"/>
    </row>
    <row r="242" spans="1:14" s="3" customFormat="1" ht="12.2" customHeight="1" x14ac:dyDescent="0.15">
      <c r="A242" s="1" t="s">
        <v>445</v>
      </c>
      <c r="B242" s="2" t="s">
        <v>350</v>
      </c>
      <c r="C242" s="2" t="s">
        <v>297</v>
      </c>
      <c r="D242" s="2" t="s">
        <v>431</v>
      </c>
      <c r="E242" s="6">
        <v>2400</v>
      </c>
      <c r="F242" s="18">
        <f>1004019.26+8904.81</f>
        <v>1012924.0700000001</v>
      </c>
      <c r="G242" s="18">
        <v>586838.97</v>
      </c>
      <c r="H242" s="18">
        <f>13308.28+7455.08+1033.05+25361.58+757.63</f>
        <v>47915.62</v>
      </c>
      <c r="I242" s="18">
        <f>9639.45</f>
        <v>9639.4500000000007</v>
      </c>
      <c r="J242" s="18"/>
      <c r="K242" s="18">
        <f>4058</f>
        <v>4058</v>
      </c>
      <c r="L242" s="19">
        <f t="shared" si="4"/>
        <v>1661376.11</v>
      </c>
      <c r="M242" s="8"/>
      <c r="N242" s="265"/>
    </row>
    <row r="243" spans="1:14" s="3" customFormat="1" ht="12.2" customHeight="1" x14ac:dyDescent="0.15">
      <c r="A243" s="1" t="s">
        <v>446</v>
      </c>
      <c r="B243" s="2" t="s">
        <v>350</v>
      </c>
      <c r="C243" s="2" t="s">
        <v>298</v>
      </c>
      <c r="D243" s="2" t="s">
        <v>431</v>
      </c>
      <c r="E243" s="6">
        <v>2500</v>
      </c>
      <c r="F243" s="18">
        <f>224358.48</f>
        <v>224358.48</v>
      </c>
      <c r="G243" s="18">
        <v>135739.26999999999</v>
      </c>
      <c r="H243" s="18">
        <f>64886.58</f>
        <v>64886.58</v>
      </c>
      <c r="I243" s="18"/>
      <c r="J243" s="18"/>
      <c r="K243" s="18"/>
      <c r="L243" s="19">
        <f t="shared" si="4"/>
        <v>424984.33</v>
      </c>
      <c r="M243" s="8"/>
      <c r="N243" s="265"/>
    </row>
    <row r="244" spans="1:14" s="3" customFormat="1" ht="12.2" customHeight="1" x14ac:dyDescent="0.15">
      <c r="A244" s="1" t="s">
        <v>447</v>
      </c>
      <c r="B244" s="2" t="s">
        <v>350</v>
      </c>
      <c r="C244" s="2" t="s">
        <v>299</v>
      </c>
      <c r="D244" s="2" t="s">
        <v>431</v>
      </c>
      <c r="E244" s="6">
        <v>2600</v>
      </c>
      <c r="F244" s="18">
        <f>694953.39+328051.74</f>
        <v>1023005.13</v>
      </c>
      <c r="G244" s="18">
        <v>560807.22</v>
      </c>
      <c r="H244" s="18">
        <f>3729.25+50.12+8761.39+32609.21+5317.2+144174.39+18846.24+753309.91</f>
        <v>966797.71</v>
      </c>
      <c r="I244" s="18">
        <f>63386.04+33171.28+106439.28+283195.48+19634.25+0.01</f>
        <v>505826.33999999997</v>
      </c>
      <c r="J244" s="18">
        <f>1359.99+42239.12</f>
        <v>43599.11</v>
      </c>
      <c r="K244" s="18">
        <f>49.5</f>
        <v>49.5</v>
      </c>
      <c r="L244" s="19">
        <f t="shared" si="4"/>
        <v>3100085.01</v>
      </c>
      <c r="M244" s="8"/>
      <c r="N244" s="265"/>
    </row>
    <row r="245" spans="1:14" s="3" customFormat="1" ht="12.2" customHeight="1" x14ac:dyDescent="0.15">
      <c r="A245" s="1" t="s">
        <v>448</v>
      </c>
      <c r="B245" s="2" t="s">
        <v>350</v>
      </c>
      <c r="C245" s="2" t="s">
        <v>300</v>
      </c>
      <c r="D245" s="2" t="s">
        <v>431</v>
      </c>
      <c r="E245" s="6">
        <v>2700</v>
      </c>
      <c r="F245" s="18"/>
      <c r="G245" s="18"/>
      <c r="H245" s="18">
        <f>82384.91+939.9+20444.38+1268339.06+0.01</f>
        <v>1372108.26</v>
      </c>
      <c r="I245" s="18"/>
      <c r="J245" s="18"/>
      <c r="K245" s="18"/>
      <c r="L245" s="19">
        <f t="shared" si="4"/>
        <v>1372108.26</v>
      </c>
      <c r="M245" s="8"/>
      <c r="N245" s="265"/>
    </row>
    <row r="246" spans="1:14" s="3" customFormat="1" ht="12.2" customHeight="1" x14ac:dyDescent="0.15">
      <c r="A246" s="1" t="s">
        <v>449</v>
      </c>
      <c r="B246" s="2" t="s">
        <v>350</v>
      </c>
      <c r="C246" s="2" t="s">
        <v>343</v>
      </c>
      <c r="D246" s="2" t="s">
        <v>431</v>
      </c>
      <c r="E246" s="6">
        <v>2800</v>
      </c>
      <c r="F246" s="18">
        <f>184970.58</f>
        <v>184970.58</v>
      </c>
      <c r="G246" s="18">
        <v>103049.01</v>
      </c>
      <c r="H246" s="18">
        <f>85799.55</f>
        <v>85799.55</v>
      </c>
      <c r="I246" s="18">
        <f>90496.32</f>
        <v>90496.320000000007</v>
      </c>
      <c r="J246" s="18">
        <f>223906.59</f>
        <v>223906.59</v>
      </c>
      <c r="K246" s="18"/>
      <c r="L246" s="19">
        <f>SUM(F246:K246)</f>
        <v>688222.04999999993</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13504515.540000001</v>
      </c>
      <c r="G248" s="41">
        <f t="shared" si="5"/>
        <v>7927261.9499999993</v>
      </c>
      <c r="H248" s="41">
        <f t="shared" si="5"/>
        <v>4531031.88</v>
      </c>
      <c r="I248" s="41">
        <f t="shared" si="5"/>
        <v>1063049.0900000001</v>
      </c>
      <c r="J248" s="41">
        <f t="shared" si="5"/>
        <v>372130.24</v>
      </c>
      <c r="K248" s="41">
        <f t="shared" si="5"/>
        <v>55012.82</v>
      </c>
      <c r="L248" s="41">
        <f t="shared" si="5"/>
        <v>27453001.520000003</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v>37554.870000000003</v>
      </c>
      <c r="G252" s="18">
        <v>31928.080000000002</v>
      </c>
      <c r="H252" s="18">
        <f>5000</f>
        <v>5000</v>
      </c>
      <c r="I252" s="18">
        <f>613.79+517.5</f>
        <v>1131.29</v>
      </c>
      <c r="J252" s="18"/>
      <c r="K252" s="18"/>
      <c r="L252" s="19">
        <f t="shared" si="6"/>
        <v>75614.240000000005</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37554.870000000003</v>
      </c>
      <c r="G257" s="41">
        <f t="shared" si="7"/>
        <v>31928.080000000002</v>
      </c>
      <c r="H257" s="41">
        <f t="shared" si="7"/>
        <v>5000</v>
      </c>
      <c r="I257" s="41">
        <f t="shared" si="7"/>
        <v>1131.29</v>
      </c>
      <c r="J257" s="41">
        <f t="shared" si="7"/>
        <v>0</v>
      </c>
      <c r="K257" s="41">
        <f t="shared" si="7"/>
        <v>0</v>
      </c>
      <c r="L257" s="41">
        <f>SUM(F257:K257)</f>
        <v>75614.240000000005</v>
      </c>
      <c r="M257" s="8"/>
      <c r="N257" s="265"/>
    </row>
    <row r="258" spans="1:14" s="3" customFormat="1" ht="12.2" customHeight="1" thickTop="1" x14ac:dyDescent="0.15">
      <c r="A258" s="38" t="s">
        <v>462</v>
      </c>
      <c r="B258" s="40">
        <v>10</v>
      </c>
      <c r="C258" s="40">
        <v>8</v>
      </c>
      <c r="D258" s="39" t="s">
        <v>431</v>
      </c>
      <c r="E258" s="40"/>
      <c r="F258" s="41">
        <f t="shared" ref="F258:L258" si="8">F212+F230+F248+F257</f>
        <v>40973387.110000007</v>
      </c>
      <c r="G258" s="41">
        <f t="shared" si="8"/>
        <v>24125610.299999997</v>
      </c>
      <c r="H258" s="41">
        <f t="shared" si="8"/>
        <v>11845956.699999999</v>
      </c>
      <c r="I258" s="41">
        <f t="shared" si="8"/>
        <v>2669260.0700000003</v>
      </c>
      <c r="J258" s="41">
        <f t="shared" si="8"/>
        <v>647372.90999999992</v>
      </c>
      <c r="K258" s="41">
        <f t="shared" si="8"/>
        <v>78610.040000000008</v>
      </c>
      <c r="L258" s="41">
        <f t="shared" si="8"/>
        <v>80340197.13000001</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1610000</v>
      </c>
      <c r="L261" s="19">
        <f>SUM(F261:K261)</f>
        <v>1610000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296603.63</v>
      </c>
      <c r="L262" s="19">
        <f>SUM(F262:K262)</f>
        <v>296603.63</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1486.7</v>
      </c>
      <c r="L264" s="19">
        <f>SUM(F264:K264)</f>
        <v>1486.7</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825000</v>
      </c>
      <c r="L267" s="19">
        <f t="shared" si="9"/>
        <v>825000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2733090.33</v>
      </c>
      <c r="L271" s="41">
        <f t="shared" si="9"/>
        <v>2733090.33</v>
      </c>
      <c r="M271" s="8"/>
      <c r="N271" s="265"/>
    </row>
    <row r="272" spans="1:14" s="34" customFormat="1" ht="12.2" customHeight="1" thickTop="1" x14ac:dyDescent="0.2">
      <c r="A272" s="43" t="s">
        <v>464</v>
      </c>
      <c r="B272" s="40">
        <v>10</v>
      </c>
      <c r="C272" s="40">
        <v>18</v>
      </c>
      <c r="D272" s="39" t="s">
        <v>431</v>
      </c>
      <c r="E272" s="40"/>
      <c r="F272" s="42">
        <f t="shared" ref="F272:L272" si="11">F258+F271</f>
        <v>40973387.110000007</v>
      </c>
      <c r="G272" s="42">
        <f t="shared" si="11"/>
        <v>24125610.299999997</v>
      </c>
      <c r="H272" s="42">
        <f t="shared" si="11"/>
        <v>11845956.699999999</v>
      </c>
      <c r="I272" s="42">
        <f t="shared" si="11"/>
        <v>2669260.0700000003</v>
      </c>
      <c r="J272" s="42">
        <f t="shared" si="11"/>
        <v>647372.90999999992</v>
      </c>
      <c r="K272" s="42">
        <f t="shared" si="11"/>
        <v>2811700.37</v>
      </c>
      <c r="L272" s="42">
        <f t="shared" si="11"/>
        <v>83073287.460000008</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f>63444.94+33670.4+28400.5+181614.63+28792</f>
        <v>335922.47</v>
      </c>
      <c r="G277" s="18"/>
      <c r="H277" s="18">
        <f>7388.56+5400</f>
        <v>12788.560000000001</v>
      </c>
      <c r="I277" s="18">
        <f>1028.16+6815.1+55581.42+34108.57+1745+1745+1745+3295</f>
        <v>106063.25</v>
      </c>
      <c r="J277" s="18"/>
      <c r="K277" s="18"/>
      <c r="L277" s="19">
        <f>SUM(F277:K277)</f>
        <v>454774.27999999997</v>
      </c>
      <c r="M277" s="8"/>
      <c r="N277" s="265"/>
    </row>
    <row r="278" spans="1:14" s="3" customFormat="1" ht="12.2" customHeight="1" x14ac:dyDescent="0.15">
      <c r="A278" s="1" t="s">
        <v>439</v>
      </c>
      <c r="B278" s="2" t="s">
        <v>357</v>
      </c>
      <c r="C278" s="2" t="s">
        <v>291</v>
      </c>
      <c r="D278" s="2" t="s">
        <v>431</v>
      </c>
      <c r="E278" s="6">
        <v>1200</v>
      </c>
      <c r="F278" s="18">
        <f>56645.09+108311.97+90859.8+13048.73+122896.29+96847.25</f>
        <v>488609.12999999995</v>
      </c>
      <c r="G278" s="18"/>
      <c r="H278" s="18">
        <f>798+9006</f>
        <v>9804</v>
      </c>
      <c r="I278" s="18"/>
      <c r="J278" s="18"/>
      <c r="K278" s="18"/>
      <c r="L278" s="19">
        <f>SUM(F278:K278)</f>
        <v>498413.12999999995</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f>17260+7625+22905+12984.04+18202.5+10647.92</f>
        <v>89624.46</v>
      </c>
      <c r="G280" s="18"/>
      <c r="H280" s="18"/>
      <c r="I280" s="18">
        <f>163.04</f>
        <v>163.04</v>
      </c>
      <c r="J280" s="18"/>
      <c r="K280" s="18"/>
      <c r="L280" s="19">
        <f>SUM(F280:K280)</f>
        <v>89787.5</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f>15086.49+16998.25</f>
        <v>32084.739999999998</v>
      </c>
      <c r="G282" s="18"/>
      <c r="H282" s="18">
        <f>4285.65</f>
        <v>4285.6499999999996</v>
      </c>
      <c r="I282" s="18">
        <f>40983.32</f>
        <v>40983.32</v>
      </c>
      <c r="J282" s="18"/>
      <c r="K282" s="18"/>
      <c r="L282" s="19">
        <f t="shared" ref="L282:L288" si="12">SUM(F282:K282)</f>
        <v>77353.709999999992</v>
      </c>
      <c r="M282" s="8"/>
      <c r="N282" s="265"/>
    </row>
    <row r="283" spans="1:14" s="3" customFormat="1" ht="12.2" customHeight="1" x14ac:dyDescent="0.15">
      <c r="A283" s="1" t="s">
        <v>443</v>
      </c>
      <c r="B283" s="2" t="s">
        <v>357</v>
      </c>
      <c r="C283" s="2" t="s">
        <v>295</v>
      </c>
      <c r="D283" s="2" t="s">
        <v>431</v>
      </c>
      <c r="E283" s="6">
        <v>2200</v>
      </c>
      <c r="F283" s="18"/>
      <c r="G283" s="18"/>
      <c r="H283" s="18">
        <f>7528+7528+7528+846.9</f>
        <v>23430.9</v>
      </c>
      <c r="I283" s="18">
        <f>2383.92+734.99</f>
        <v>3118.91</v>
      </c>
      <c r="J283" s="18">
        <f>2792.3</f>
        <v>2792.3</v>
      </c>
      <c r="K283" s="18"/>
      <c r="L283" s="19">
        <f t="shared" si="12"/>
        <v>29342.11</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f>180218.85</f>
        <v>180218.85</v>
      </c>
      <c r="I287" s="18">
        <f>474.09</f>
        <v>474.09</v>
      </c>
      <c r="J287" s="18">
        <f>133557.12</f>
        <v>133557.12</v>
      </c>
      <c r="K287" s="18"/>
      <c r="L287" s="19">
        <f t="shared" si="12"/>
        <v>314250.06</v>
      </c>
      <c r="M287" s="8"/>
      <c r="N287" s="265"/>
    </row>
    <row r="288" spans="1:14" s="3" customFormat="1" ht="12.2" customHeight="1" x14ac:dyDescent="0.15">
      <c r="A288" s="1" t="s">
        <v>448</v>
      </c>
      <c r="B288" s="2" t="s">
        <v>357</v>
      </c>
      <c r="C288" s="2" t="s">
        <v>300</v>
      </c>
      <c r="D288" s="2" t="s">
        <v>431</v>
      </c>
      <c r="E288" s="6">
        <v>2700</v>
      </c>
      <c r="F288" s="18"/>
      <c r="G288" s="18"/>
      <c r="H288" s="18">
        <f>16012.82</f>
        <v>16012.82</v>
      </c>
      <c r="I288" s="18"/>
      <c r="J288" s="18"/>
      <c r="K288" s="18"/>
      <c r="L288" s="19">
        <f t="shared" si="12"/>
        <v>16012.82</v>
      </c>
      <c r="M288" s="8"/>
      <c r="N288" s="265"/>
    </row>
    <row r="289" spans="1:14" s="3" customFormat="1" ht="12.2" customHeight="1" x14ac:dyDescent="0.15">
      <c r="A289" s="1" t="s">
        <v>449</v>
      </c>
      <c r="B289" s="2" t="s">
        <v>357</v>
      </c>
      <c r="C289" s="2" t="s">
        <v>343</v>
      </c>
      <c r="D289" s="2" t="s">
        <v>431</v>
      </c>
      <c r="E289" s="6">
        <v>2800</v>
      </c>
      <c r="F289" s="18"/>
      <c r="G289" s="18"/>
      <c r="H289" s="18"/>
      <c r="I289" s="18">
        <f>8027.5</f>
        <v>8027.5</v>
      </c>
      <c r="J289" s="18"/>
      <c r="K289" s="18"/>
      <c r="L289" s="19">
        <f>SUM(F289:K289)</f>
        <v>8027.5</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946240.79999999981</v>
      </c>
      <c r="G291" s="42">
        <f t="shared" si="13"/>
        <v>0</v>
      </c>
      <c r="H291" s="42">
        <f t="shared" si="13"/>
        <v>246540.78000000003</v>
      </c>
      <c r="I291" s="42">
        <f t="shared" si="13"/>
        <v>158830.10999999999</v>
      </c>
      <c r="J291" s="42">
        <f t="shared" si="13"/>
        <v>136349.41999999998</v>
      </c>
      <c r="K291" s="42">
        <f t="shared" si="13"/>
        <v>0</v>
      </c>
      <c r="L291" s="41">
        <f t="shared" si="13"/>
        <v>1487961.11</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f>34231.5</f>
        <v>34231.5</v>
      </c>
      <c r="G296" s="18"/>
      <c r="H296" s="18">
        <f>2640</f>
        <v>2640</v>
      </c>
      <c r="I296" s="18">
        <f>1328.6+573.99+2719.75</f>
        <v>4622.34</v>
      </c>
      <c r="J296" s="18">
        <f>633</f>
        <v>633</v>
      </c>
      <c r="K296" s="18"/>
      <c r="L296" s="19">
        <f>SUM(F296:K296)</f>
        <v>42126.84</v>
      </c>
      <c r="M296" s="8"/>
      <c r="N296" s="265"/>
    </row>
    <row r="297" spans="1:14" s="3" customFormat="1" ht="12.2" customHeight="1" x14ac:dyDescent="0.15">
      <c r="A297" s="1" t="s">
        <v>439</v>
      </c>
      <c r="B297" s="2" t="s">
        <v>358</v>
      </c>
      <c r="C297" s="2" t="s">
        <v>291</v>
      </c>
      <c r="D297" s="2" t="s">
        <v>431</v>
      </c>
      <c r="E297" s="6">
        <v>1200</v>
      </c>
      <c r="F297" s="18">
        <f>43664.16+56623.38+43907.66</f>
        <v>144195.20000000001</v>
      </c>
      <c r="G297" s="18"/>
      <c r="H297" s="18"/>
      <c r="I297" s="18"/>
      <c r="J297" s="18"/>
      <c r="K297" s="18"/>
      <c r="L297" s="19">
        <f>SUM(F297:K297)</f>
        <v>144195.20000000001</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f>26211.36+7791.72</f>
        <v>34003.08</v>
      </c>
      <c r="G299" s="18"/>
      <c r="H299" s="18"/>
      <c r="I299" s="18">
        <f>108.89</f>
        <v>108.89</v>
      </c>
      <c r="J299" s="18"/>
      <c r="K299" s="18"/>
      <c r="L299" s="19">
        <f>SUM(F299:K299)</f>
        <v>34111.97</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f>46000+998.9+8310.25</f>
        <v>55309.15</v>
      </c>
      <c r="G301" s="18"/>
      <c r="H301" s="18"/>
      <c r="I301" s="18">
        <f>20036.29</f>
        <v>20036.29</v>
      </c>
      <c r="J301" s="18"/>
      <c r="K301" s="18"/>
      <c r="L301" s="19">
        <f t="shared" ref="L301:L307" si="14">SUM(F301:K301)</f>
        <v>75345.440000000002</v>
      </c>
      <c r="M301" s="8"/>
      <c r="N301" s="265"/>
    </row>
    <row r="302" spans="1:14" s="3" customFormat="1" ht="12.2" customHeight="1" x14ac:dyDescent="0.15">
      <c r="A302" s="1" t="s">
        <v>443</v>
      </c>
      <c r="B302" s="2" t="s">
        <v>358</v>
      </c>
      <c r="C302" s="2" t="s">
        <v>295</v>
      </c>
      <c r="D302" s="2" t="s">
        <v>431</v>
      </c>
      <c r="E302" s="6">
        <v>2200</v>
      </c>
      <c r="F302" s="18"/>
      <c r="G302" s="18"/>
      <c r="H302" s="18">
        <f>5000+13174+4614.04</f>
        <v>22788.04</v>
      </c>
      <c r="I302" s="18">
        <f>1165.47+359.33</f>
        <v>1524.8</v>
      </c>
      <c r="J302" s="18">
        <f>1365.13</f>
        <v>1365.13</v>
      </c>
      <c r="K302" s="18"/>
      <c r="L302" s="19">
        <f t="shared" si="14"/>
        <v>25677.97</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f>26015.66</f>
        <v>26015.66</v>
      </c>
      <c r="I306" s="18">
        <f>231.78</f>
        <v>231.78</v>
      </c>
      <c r="J306" s="18">
        <f>39494.59</f>
        <v>39494.589999999997</v>
      </c>
      <c r="K306" s="18"/>
      <c r="L306" s="19">
        <f t="shared" si="14"/>
        <v>65742.03</v>
      </c>
      <c r="M306" s="8"/>
      <c r="N306" s="265"/>
    </row>
    <row r="307" spans="1:14" s="3" customFormat="1" ht="12.2" customHeight="1" x14ac:dyDescent="0.15">
      <c r="A307" s="1" t="s">
        <v>448</v>
      </c>
      <c r="B307" s="2" t="s">
        <v>358</v>
      </c>
      <c r="C307" s="2" t="s">
        <v>300</v>
      </c>
      <c r="D307" s="2" t="s">
        <v>431</v>
      </c>
      <c r="E307" s="6">
        <v>2700</v>
      </c>
      <c r="F307" s="18"/>
      <c r="G307" s="18"/>
      <c r="H307" s="18">
        <f>9607.69</f>
        <v>9607.69</v>
      </c>
      <c r="I307" s="18"/>
      <c r="J307" s="18"/>
      <c r="K307" s="18"/>
      <c r="L307" s="19">
        <f t="shared" si="14"/>
        <v>9607.69</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267738.93000000005</v>
      </c>
      <c r="G310" s="42">
        <f t="shared" si="15"/>
        <v>0</v>
      </c>
      <c r="H310" s="42">
        <f t="shared" si="15"/>
        <v>61051.39</v>
      </c>
      <c r="I310" s="42">
        <f t="shared" si="15"/>
        <v>26524.1</v>
      </c>
      <c r="J310" s="42">
        <f t="shared" si="15"/>
        <v>41492.719999999994</v>
      </c>
      <c r="K310" s="42">
        <f t="shared" si="15"/>
        <v>0</v>
      </c>
      <c r="L310" s="41">
        <f t="shared" si="15"/>
        <v>396807.14000000007</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f>12513.97+1305+22486.03</f>
        <v>36305</v>
      </c>
      <c r="G315" s="18"/>
      <c r="H315" s="18">
        <f>3960</f>
        <v>3960</v>
      </c>
      <c r="I315" s="18">
        <f>2158.39+26970-0.02</f>
        <v>29128.37</v>
      </c>
      <c r="J315" s="18"/>
      <c r="K315" s="18"/>
      <c r="L315" s="19">
        <f>SUM(F315:K315)</f>
        <v>69393.37</v>
      </c>
      <c r="M315" s="8"/>
      <c r="N315" s="265"/>
    </row>
    <row r="316" spans="1:14" s="3" customFormat="1" ht="12.2" customHeight="1" x14ac:dyDescent="0.15">
      <c r="A316" s="1" t="s">
        <v>439</v>
      </c>
      <c r="B316" s="2" t="s">
        <v>359</v>
      </c>
      <c r="C316" s="2" t="s">
        <v>291</v>
      </c>
      <c r="D316" s="2" t="s">
        <v>431</v>
      </c>
      <c r="E316" s="6">
        <v>1200</v>
      </c>
      <c r="F316" s="18">
        <f>394372.94+42926.13</f>
        <v>437299.07</v>
      </c>
      <c r="G316" s="18"/>
      <c r="H316" s="18">
        <f>6900.89+2684.11</f>
        <v>9585</v>
      </c>
      <c r="I316" s="18"/>
      <c r="J316" s="18"/>
      <c r="K316" s="18"/>
      <c r="L316" s="19">
        <f>SUM(F316:K316)</f>
        <v>446884.07</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f>4500</f>
        <v>4500</v>
      </c>
      <c r="G318" s="18"/>
      <c r="H318" s="18"/>
      <c r="I318" s="18">
        <f>498.86+3000+72.59</f>
        <v>3571.4500000000003</v>
      </c>
      <c r="J318" s="18"/>
      <c r="K318" s="18"/>
      <c r="L318" s="19">
        <f>SUM(F318:K318)</f>
        <v>8071.4500000000007</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f>5440+2880+12465.38</f>
        <v>20785.379999999997</v>
      </c>
      <c r="G320" s="18"/>
      <c r="H320" s="18">
        <f>7000</f>
        <v>7000</v>
      </c>
      <c r="I320" s="18">
        <f>30054.44</f>
        <v>30054.44</v>
      </c>
      <c r="J320" s="18"/>
      <c r="K320" s="18"/>
      <c r="L320" s="19">
        <f t="shared" ref="L320:L326" si="16">SUM(F320:K320)</f>
        <v>57839.819999999992</v>
      </c>
      <c r="M320" s="8"/>
      <c r="N320" s="265"/>
    </row>
    <row r="321" spans="1:14" s="3" customFormat="1" ht="12.2" customHeight="1" x14ac:dyDescent="0.15">
      <c r="A321" s="1" t="s">
        <v>443</v>
      </c>
      <c r="B321" s="2" t="s">
        <v>359</v>
      </c>
      <c r="C321" s="2" t="s">
        <v>295</v>
      </c>
      <c r="D321" s="2" t="s">
        <v>431</v>
      </c>
      <c r="E321" s="6">
        <v>2200</v>
      </c>
      <c r="F321" s="18">
        <f>1027.93</f>
        <v>1027.93</v>
      </c>
      <c r="G321" s="18"/>
      <c r="H321" s="18">
        <f>5630.3+621.06</f>
        <v>6251.3600000000006</v>
      </c>
      <c r="I321" s="18">
        <f>598.5+1748.21+538.99</f>
        <v>2885.7</v>
      </c>
      <c r="J321" s="18">
        <f>2047.69</f>
        <v>2047.69</v>
      </c>
      <c r="K321" s="18"/>
      <c r="L321" s="19">
        <f t="shared" si="16"/>
        <v>12212.680000000002</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f>87861+39023.49</f>
        <v>126884.48999999999</v>
      </c>
      <c r="I325" s="18">
        <f>347.67</f>
        <v>347.67</v>
      </c>
      <c r="J325" s="18">
        <f>58525.89</f>
        <v>58525.89</v>
      </c>
      <c r="K325" s="18"/>
      <c r="L325" s="19">
        <f t="shared" si="16"/>
        <v>185758.05</v>
      </c>
      <c r="M325" s="8"/>
      <c r="N325" s="265"/>
    </row>
    <row r="326" spans="1:14" s="3" customFormat="1" ht="12.2" customHeight="1" x14ac:dyDescent="0.15">
      <c r="A326" s="1" t="s">
        <v>448</v>
      </c>
      <c r="B326" s="2" t="s">
        <v>359</v>
      </c>
      <c r="C326" s="2" t="s">
        <v>300</v>
      </c>
      <c r="D326" s="2" t="s">
        <v>431</v>
      </c>
      <c r="E326" s="6">
        <v>2700</v>
      </c>
      <c r="F326" s="18"/>
      <c r="G326" s="18"/>
      <c r="H326" s="18">
        <f>6405.13</f>
        <v>6405.13</v>
      </c>
      <c r="I326" s="18"/>
      <c r="J326" s="18"/>
      <c r="K326" s="18"/>
      <c r="L326" s="19">
        <f t="shared" si="16"/>
        <v>6405.13</v>
      </c>
      <c r="M326" s="8"/>
      <c r="N326" s="265"/>
    </row>
    <row r="327" spans="1:14" s="3" customFormat="1" ht="12.2" customHeight="1" x14ac:dyDescent="0.15">
      <c r="A327" s="1" t="s">
        <v>449</v>
      </c>
      <c r="B327" s="2" t="s">
        <v>359</v>
      </c>
      <c r="C327" s="2" t="s">
        <v>343</v>
      </c>
      <c r="D327" s="2" t="s">
        <v>431</v>
      </c>
      <c r="E327" s="6">
        <v>2800</v>
      </c>
      <c r="F327" s="18"/>
      <c r="G327" s="18"/>
      <c r="H327" s="18"/>
      <c r="I327" s="18"/>
      <c r="J327" s="18">
        <f>5606.2</f>
        <v>5606.2</v>
      </c>
      <c r="K327" s="18"/>
      <c r="L327" s="19">
        <f>SUM(F327:K327)</f>
        <v>5606.2</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499917.38</v>
      </c>
      <c r="G329" s="42">
        <f t="shared" si="17"/>
        <v>0</v>
      </c>
      <c r="H329" s="42">
        <f t="shared" si="17"/>
        <v>160085.97999999998</v>
      </c>
      <c r="I329" s="42">
        <f t="shared" si="17"/>
        <v>65987.62999999999</v>
      </c>
      <c r="J329" s="42">
        <f t="shared" si="17"/>
        <v>66179.78</v>
      </c>
      <c r="K329" s="42">
        <f t="shared" si="17"/>
        <v>0</v>
      </c>
      <c r="L329" s="41">
        <f t="shared" si="17"/>
        <v>792170.7699999999</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v>21160</v>
      </c>
      <c r="G334" s="18">
        <v>7602.69</v>
      </c>
      <c r="H334" s="18">
        <f>1990</f>
        <v>1990</v>
      </c>
      <c r="I334" s="18">
        <f>2396.21+790.46+749.8</f>
        <v>3936.4700000000003</v>
      </c>
      <c r="J334" s="18">
        <f>3126.82</f>
        <v>3126.82</v>
      </c>
      <c r="K334" s="18"/>
      <c r="L334" s="19">
        <f t="shared" si="18"/>
        <v>37815.979999999996</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21160</v>
      </c>
      <c r="G338" s="41">
        <f t="shared" si="19"/>
        <v>7602.69</v>
      </c>
      <c r="H338" s="41">
        <f t="shared" si="19"/>
        <v>1990</v>
      </c>
      <c r="I338" s="41">
        <f t="shared" si="19"/>
        <v>3936.4700000000003</v>
      </c>
      <c r="J338" s="41">
        <f t="shared" si="19"/>
        <v>3126.82</v>
      </c>
      <c r="K338" s="41">
        <f t="shared" si="19"/>
        <v>0</v>
      </c>
      <c r="L338" s="41">
        <f t="shared" si="18"/>
        <v>37815.979999999996</v>
      </c>
      <c r="M338" s="8"/>
      <c r="N338" s="265"/>
    </row>
    <row r="339" spans="1:43" s="3" customFormat="1" ht="12.2" customHeight="1" thickTop="1" x14ac:dyDescent="0.15">
      <c r="A339" s="38" t="s">
        <v>468</v>
      </c>
      <c r="B339" s="40">
        <v>14</v>
      </c>
      <c r="C339" s="40">
        <v>7</v>
      </c>
      <c r="D339" s="39" t="s">
        <v>431</v>
      </c>
      <c r="E339" s="40"/>
      <c r="F339" s="41">
        <f t="shared" ref="F339:L339" si="20">F291+F310+F329+F338</f>
        <v>1735057.1099999999</v>
      </c>
      <c r="G339" s="41">
        <f t="shared" si="20"/>
        <v>7602.69</v>
      </c>
      <c r="H339" s="41">
        <f t="shared" si="20"/>
        <v>469668.15</v>
      </c>
      <c r="I339" s="41">
        <f t="shared" si="20"/>
        <v>255278.30999999997</v>
      </c>
      <c r="J339" s="41">
        <f t="shared" si="20"/>
        <v>247148.74</v>
      </c>
      <c r="K339" s="41">
        <f t="shared" si="20"/>
        <v>0</v>
      </c>
      <c r="L339" s="41">
        <f t="shared" si="20"/>
        <v>2714755</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1580</v>
      </c>
      <c r="L346" s="19">
        <f t="shared" si="21"/>
        <v>1580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1580</v>
      </c>
      <c r="L352" s="41">
        <f>SUM(L342:L351)</f>
        <v>1580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1735057.1099999999</v>
      </c>
      <c r="G353" s="41">
        <f>G339</f>
        <v>7602.69</v>
      </c>
      <c r="H353" s="41">
        <f>H339</f>
        <v>469668.15</v>
      </c>
      <c r="I353" s="41">
        <f>I339</f>
        <v>255278.30999999997</v>
      </c>
      <c r="J353" s="41">
        <f>J339</f>
        <v>247148.74</v>
      </c>
      <c r="K353" s="47">
        <f>K339+K352</f>
        <v>1580</v>
      </c>
      <c r="L353" s="41">
        <f>L339+L352</f>
        <v>2716335</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f>193504.62+(162349.32*0.45)</f>
        <v>266561.81400000001</v>
      </c>
      <c r="G359" s="18">
        <f>49360.79*0.44</f>
        <v>21718.747599999999</v>
      </c>
      <c r="H359" s="18">
        <f>29013.93*0.45</f>
        <v>13056.2685</v>
      </c>
      <c r="I359" s="18">
        <f>(1183316.27*0.45)+3066.7</f>
        <v>535559.02150000003</v>
      </c>
      <c r="J359" s="18">
        <f>581.2+40000+6816.1+1870.99+80722+7075+174.12+174.12+7278.77+17327.05+30778.34</f>
        <v>192797.68999999994</v>
      </c>
      <c r="K359" s="18">
        <f>(6870.01*0.45)+(2470.48*0.45)</f>
        <v>4203.2205000000004</v>
      </c>
      <c r="L359" s="13">
        <f>SUM(F359:K359)</f>
        <v>1033896.7621000001</v>
      </c>
      <c r="M359" s="8"/>
      <c r="N359" s="265"/>
    </row>
    <row r="360" spans="1:22" s="3" customFormat="1" ht="12.2" customHeight="1" x14ac:dyDescent="0.15">
      <c r="A360" s="1" t="s">
        <v>542</v>
      </c>
      <c r="B360" s="2" t="s">
        <v>366</v>
      </c>
      <c r="C360" s="6">
        <v>2</v>
      </c>
      <c r="D360" s="2" t="s">
        <v>431</v>
      </c>
      <c r="E360" s="6"/>
      <c r="F360" s="18">
        <f>132109.01+(162349.32*0.22)</f>
        <v>167825.86040000001</v>
      </c>
      <c r="G360" s="18">
        <f>(49360.79*0.28)+(25667.05*0.2)</f>
        <v>18954.431199999999</v>
      </c>
      <c r="H360" s="18">
        <f>29013.93*0.22</f>
        <v>6383.0645999999997</v>
      </c>
      <c r="I360" s="18">
        <f>1183316.27*0.22</f>
        <v>260329.57940000002</v>
      </c>
      <c r="J360" s="18">
        <f>193.73+798</f>
        <v>991.73</v>
      </c>
      <c r="K360" s="18">
        <f>(20961.81*0.25)+(6870.01*0.22)+(2470.48*0.22)</f>
        <v>7295.3603000000003</v>
      </c>
      <c r="L360" s="19">
        <f>SUM(F360:K360)</f>
        <v>461780.02590000001</v>
      </c>
      <c r="M360" s="8"/>
      <c r="N360" s="265"/>
    </row>
    <row r="361" spans="1:22" s="3" customFormat="1" ht="12.2" customHeight="1" x14ac:dyDescent="0.15">
      <c r="A361" s="3" t="s">
        <v>543</v>
      </c>
      <c r="B361" s="2" t="s">
        <v>366</v>
      </c>
      <c r="C361" s="6">
        <v>3</v>
      </c>
      <c r="D361" s="2" t="s">
        <v>431</v>
      </c>
      <c r="E361" s="6"/>
      <c r="F361" s="18">
        <f>109105.92+(162349.32*0.33)</f>
        <v>162681.19560000001</v>
      </c>
      <c r="G361" s="18">
        <f>38501.4+(49360.79*0.28)+(25667.05*0.8)</f>
        <v>72856.061199999996</v>
      </c>
      <c r="H361" s="18">
        <f>29013.93*0.33</f>
        <v>9574.5969000000005</v>
      </c>
      <c r="I361" s="18">
        <f>1183316.27*0.33</f>
        <v>390494.36910000001</v>
      </c>
      <c r="J361" s="18">
        <f>1094+12825+13860+4296.02+649+2960+1994.75+3201.04+13141.72</f>
        <v>54021.530000000006</v>
      </c>
      <c r="K361" s="18">
        <f>(20961.81*0.75)+(6870.01*0.33)+(2470.48*0.33)</f>
        <v>18803.7192</v>
      </c>
      <c r="L361" s="19">
        <f>SUM(F361:K361)</f>
        <v>708431.47200000007</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597068.87</v>
      </c>
      <c r="G363" s="47">
        <f t="shared" si="22"/>
        <v>113529.23999999999</v>
      </c>
      <c r="H363" s="47">
        <f t="shared" si="22"/>
        <v>29013.93</v>
      </c>
      <c r="I363" s="47">
        <f t="shared" si="22"/>
        <v>1186382.9700000002</v>
      </c>
      <c r="J363" s="47">
        <f t="shared" si="22"/>
        <v>247810.94999999995</v>
      </c>
      <c r="K363" s="47">
        <f t="shared" si="22"/>
        <v>30302.3</v>
      </c>
      <c r="L363" s="47">
        <f t="shared" si="22"/>
        <v>2204108.2600000002</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430289.34</v>
      </c>
      <c r="G368" s="18">
        <v>210363.68</v>
      </c>
      <c r="H368" s="18">
        <v>315545.52</v>
      </c>
      <c r="I368" s="56">
        <f>SUM(F368:H368)</f>
        <v>956198.54</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f>102202.98+3066.7</f>
        <v>105269.68</v>
      </c>
      <c r="G369" s="63">
        <v>49965.9</v>
      </c>
      <c r="H369" s="63">
        <v>74948.850000000006</v>
      </c>
      <c r="I369" s="56">
        <f>SUM(F369:H369)</f>
        <v>230184.43</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535559.02</v>
      </c>
      <c r="G370" s="47">
        <f>SUM(G368:G369)</f>
        <v>260329.58</v>
      </c>
      <c r="H370" s="47">
        <f>SUM(H368:H369)</f>
        <v>390494.37</v>
      </c>
      <c r="I370" s="47">
        <f>SUM(I368:I369)</f>
        <v>1186382.97</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v>32.97</v>
      </c>
      <c r="I389" s="18"/>
      <c r="J389" s="24" t="s">
        <v>288</v>
      </c>
      <c r="K389" s="24" t="s">
        <v>288</v>
      </c>
      <c r="L389" s="56">
        <f t="shared" si="25"/>
        <v>32.97</v>
      </c>
      <c r="M389" s="8"/>
      <c r="N389" s="265"/>
    </row>
    <row r="390" spans="1:14" s="3" customFormat="1" ht="12.2" customHeight="1" x14ac:dyDescent="0.15">
      <c r="A390" s="79" t="s">
        <v>552</v>
      </c>
      <c r="B390" s="2" t="s">
        <v>381</v>
      </c>
      <c r="C390" s="6">
        <v>3</v>
      </c>
      <c r="D390" s="2" t="s">
        <v>432</v>
      </c>
      <c r="E390" s="6"/>
      <c r="F390" s="18"/>
      <c r="G390" s="18">
        <v>600000</v>
      </c>
      <c r="H390" s="18">
        <v>558.63</v>
      </c>
      <c r="I390" s="18"/>
      <c r="J390" s="24" t="s">
        <v>288</v>
      </c>
      <c r="K390" s="24" t="s">
        <v>288</v>
      </c>
      <c r="L390" s="56">
        <f t="shared" si="25"/>
        <v>600558.63</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v>225000</v>
      </c>
      <c r="H393" s="18">
        <v>313.07</v>
      </c>
      <c r="I393" s="18"/>
      <c r="J393" s="24" t="s">
        <v>288</v>
      </c>
      <c r="K393" s="24" t="s">
        <v>288</v>
      </c>
      <c r="L393" s="56">
        <f t="shared" si="25"/>
        <v>225313.07</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825000</v>
      </c>
      <c r="H394" s="139">
        <f>SUM(H388:H393)</f>
        <v>904.67000000000007</v>
      </c>
      <c r="I394" s="65">
        <f>SUM(I388:I393)</f>
        <v>0</v>
      </c>
      <c r="J394" s="45" t="s">
        <v>288</v>
      </c>
      <c r="K394" s="45" t="s">
        <v>288</v>
      </c>
      <c r="L394" s="47">
        <f>SUM(L388:L393)</f>
        <v>825904.66999999993</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v>254.91</v>
      </c>
      <c r="I397" s="18"/>
      <c r="J397" s="24" t="s">
        <v>288</v>
      </c>
      <c r="K397" s="24" t="s">
        <v>288</v>
      </c>
      <c r="L397" s="56">
        <f t="shared" si="26"/>
        <v>254.91</v>
      </c>
      <c r="M397" s="8"/>
      <c r="N397" s="265"/>
    </row>
    <row r="398" spans="1:14" s="3" customFormat="1" ht="12.2" customHeight="1" x14ac:dyDescent="0.15">
      <c r="A398" s="79" t="s">
        <v>515</v>
      </c>
      <c r="B398" s="2" t="s">
        <v>381</v>
      </c>
      <c r="C398" s="6">
        <v>10</v>
      </c>
      <c r="D398" s="2" t="s">
        <v>432</v>
      </c>
      <c r="E398" s="6"/>
      <c r="F398" s="18"/>
      <c r="G398" s="18"/>
      <c r="H398" s="18">
        <v>217.15</v>
      </c>
      <c r="I398" s="18"/>
      <c r="J398" s="24" t="s">
        <v>288</v>
      </c>
      <c r="K398" s="24" t="s">
        <v>288</v>
      </c>
      <c r="L398" s="56">
        <f t="shared" si="26"/>
        <v>217.15</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472.06</v>
      </c>
      <c r="I402" s="47">
        <f>SUM(I396:I401)</f>
        <v>0</v>
      </c>
      <c r="J402" s="45" t="s">
        <v>288</v>
      </c>
      <c r="K402" s="45" t="s">
        <v>288</v>
      </c>
      <c r="L402" s="47">
        <f>SUM(L396:L401)</f>
        <v>472.06</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825000</v>
      </c>
      <c r="H409" s="47">
        <f>H394+H402+H408</f>
        <v>1376.73</v>
      </c>
      <c r="I409" s="47">
        <f>I394+I402+I408</f>
        <v>0</v>
      </c>
      <c r="J409" s="24" t="s">
        <v>288</v>
      </c>
      <c r="K409" s="24" t="s">
        <v>288</v>
      </c>
      <c r="L409" s="47">
        <f>L394+L402+L408</f>
        <v>826376.73</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v>513664.72</v>
      </c>
      <c r="L416" s="56">
        <f t="shared" si="27"/>
        <v>513664.72</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v>175830.98</v>
      </c>
      <c r="L419" s="56">
        <f t="shared" si="27"/>
        <v>175830.98</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689495.7</v>
      </c>
      <c r="L420" s="47">
        <f t="shared" si="28"/>
        <v>689495.7</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v>211738.61</v>
      </c>
      <c r="L423" s="56">
        <f t="shared" si="29"/>
        <v>211738.61</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211738.61</v>
      </c>
      <c r="L428" s="47">
        <f t="shared" si="30"/>
        <v>211738.61</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901234.30999999994</v>
      </c>
      <c r="L435" s="47">
        <f t="shared" si="32"/>
        <v>901234.30999999994</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263795.90000000002</v>
      </c>
      <c r="G440" s="18">
        <v>244680.09</v>
      </c>
      <c r="H440" s="18"/>
      <c r="I440" s="56">
        <f t="shared" ref="I440:I446" si="33">SUM(F440:H440)</f>
        <v>508475.99</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263795.90000000002</v>
      </c>
      <c r="G447" s="13">
        <f>SUM(G440:G446)</f>
        <v>244680.09</v>
      </c>
      <c r="H447" s="13">
        <f>SUM(H440:H446)</f>
        <v>0</v>
      </c>
      <c r="I447" s="13">
        <f>SUM(I440:I446)</f>
        <v>508475.99</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v>26350</v>
      </c>
      <c r="G449" s="18"/>
      <c r="H449" s="18"/>
      <c r="I449" s="56">
        <f>SUM(F449:H449)</f>
        <v>26350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26350</v>
      </c>
      <c r="G453" s="72">
        <f>SUM(G449:G452)</f>
        <v>0</v>
      </c>
      <c r="H453" s="72">
        <f>SUM(H449:H452)</f>
        <v>0</v>
      </c>
      <c r="I453" s="72">
        <f>SUM(I449:I452)</f>
        <v>26350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237445.9</v>
      </c>
      <c r="G460" s="18">
        <v>244680.09</v>
      </c>
      <c r="H460" s="18"/>
      <c r="I460" s="56">
        <f t="shared" si="34"/>
        <v>482125.99</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237445.9</v>
      </c>
      <c r="G461" s="83">
        <f>SUM(G455:G460)</f>
        <v>244680.09</v>
      </c>
      <c r="H461" s="83">
        <f>SUM(H455:H460)</f>
        <v>0</v>
      </c>
      <c r="I461" s="83">
        <f>SUM(I455:I460)</f>
        <v>482125.99</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263795.90000000002</v>
      </c>
      <c r="G462" s="42">
        <f>G453+G461</f>
        <v>244680.09</v>
      </c>
      <c r="H462" s="42">
        <f>H453+H461</f>
        <v>0</v>
      </c>
      <c r="I462" s="42">
        <f>I453+I461</f>
        <v>508475.99</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2973171.81</v>
      </c>
      <c r="G466" s="18">
        <v>84360.82</v>
      </c>
      <c r="H466" s="18">
        <v>20832.82</v>
      </c>
      <c r="I466" s="18">
        <v>0</v>
      </c>
      <c r="J466" s="18">
        <v>556983.56999999995</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82026292.790000007</v>
      </c>
      <c r="G469" s="18">
        <v>2948836.47</v>
      </c>
      <c r="H469" s="18">
        <v>2716764.98</v>
      </c>
      <c r="I469" s="18">
        <v>0</v>
      </c>
      <c r="J469" s="18">
        <v>826376.73</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82026292.790000007</v>
      </c>
      <c r="G471" s="53">
        <f>SUM(G469:G470)</f>
        <v>2948836.47</v>
      </c>
      <c r="H471" s="53">
        <f>SUM(H469:H470)</f>
        <v>2716764.98</v>
      </c>
      <c r="I471" s="53">
        <f>SUM(I469:I470)</f>
        <v>0</v>
      </c>
      <c r="J471" s="53">
        <f>SUM(J469:J470)</f>
        <v>826376.73</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83073287.459999993</v>
      </c>
      <c r="G473" s="18">
        <v>2204108.2599999998</v>
      </c>
      <c r="H473" s="18">
        <v>2716335</v>
      </c>
      <c r="I473" s="18">
        <v>0</v>
      </c>
      <c r="J473" s="18">
        <v>901234.31</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83073287.459999993</v>
      </c>
      <c r="G475" s="53">
        <f>SUM(G473:G474)</f>
        <v>2204108.2599999998</v>
      </c>
      <c r="H475" s="53">
        <f>SUM(H473:H474)</f>
        <v>2716335</v>
      </c>
      <c r="I475" s="53">
        <f>SUM(I473:I474)</f>
        <v>0</v>
      </c>
      <c r="J475" s="53">
        <f>SUM(J473:J474)</f>
        <v>901234.31</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1926177.1400000155</v>
      </c>
      <c r="G477" s="53">
        <f>(G466+G471)- G475</f>
        <v>829089.03000000026</v>
      </c>
      <c r="H477" s="53">
        <f>(H466+H471)- H475</f>
        <v>21262.799999999814</v>
      </c>
      <c r="I477" s="53">
        <f>(I466+I471)- I475</f>
        <v>0</v>
      </c>
      <c r="J477" s="53">
        <f>(J466+J471)- J475</f>
        <v>482125.98999999976</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20</v>
      </c>
      <c r="G491" s="154">
        <v>10</v>
      </c>
      <c r="H491" s="154">
        <v>12</v>
      </c>
      <c r="I491" s="154">
        <v>10</v>
      </c>
      <c r="J491" s="154"/>
      <c r="K491" s="24" t="s">
        <v>288</v>
      </c>
      <c r="L491" s="24" t="s">
        <v>288</v>
      </c>
      <c r="N491" s="264"/>
    </row>
    <row r="492" spans="1:14" s="52" customFormat="1" ht="12.2" customHeight="1" x14ac:dyDescent="0.2">
      <c r="A492" s="22" t="s">
        <v>615</v>
      </c>
      <c r="B492" s="75">
        <v>20</v>
      </c>
      <c r="C492" s="115">
        <v>2</v>
      </c>
      <c r="D492" s="2" t="s">
        <v>432</v>
      </c>
      <c r="E492" s="115"/>
      <c r="F492" s="155" t="s">
        <v>1802</v>
      </c>
      <c r="G492" s="155" t="s">
        <v>1804</v>
      </c>
      <c r="H492" s="155" t="s">
        <v>1806</v>
      </c>
      <c r="I492" s="155" t="s">
        <v>1808</v>
      </c>
      <c r="J492" s="154"/>
      <c r="K492" s="24" t="s">
        <v>288</v>
      </c>
      <c r="L492" s="24" t="s">
        <v>288</v>
      </c>
      <c r="N492" s="264"/>
    </row>
    <row r="493" spans="1:14" s="52" customFormat="1" ht="12.2" customHeight="1" x14ac:dyDescent="0.2">
      <c r="A493" s="22" t="s">
        <v>616</v>
      </c>
      <c r="B493" s="75">
        <v>20</v>
      </c>
      <c r="C493" s="115">
        <v>3</v>
      </c>
      <c r="D493" s="2" t="s">
        <v>432</v>
      </c>
      <c r="E493" s="115"/>
      <c r="F493" s="155" t="s">
        <v>1803</v>
      </c>
      <c r="G493" s="155" t="s">
        <v>1805</v>
      </c>
      <c r="H493" s="155" t="s">
        <v>1807</v>
      </c>
      <c r="I493" s="155" t="s">
        <v>1809</v>
      </c>
      <c r="J493" s="154"/>
      <c r="K493" s="24" t="s">
        <v>288</v>
      </c>
      <c r="L493" s="24" t="s">
        <v>288</v>
      </c>
      <c r="N493" s="264"/>
    </row>
    <row r="494" spans="1:14" s="52" customFormat="1" ht="12.2" customHeight="1" x14ac:dyDescent="0.2">
      <c r="A494" s="22" t="s">
        <v>617</v>
      </c>
      <c r="B494" s="75">
        <v>20</v>
      </c>
      <c r="C494" s="115">
        <v>4</v>
      </c>
      <c r="D494" s="2" t="s">
        <v>432</v>
      </c>
      <c r="E494" s="115"/>
      <c r="F494" s="18">
        <v>12030000</v>
      </c>
      <c r="G494" s="18">
        <v>2720000</v>
      </c>
      <c r="H494" s="18">
        <v>2955000</v>
      </c>
      <c r="I494" s="18">
        <v>3895000</v>
      </c>
      <c r="J494" s="18"/>
      <c r="K494" s="24" t="s">
        <v>288</v>
      </c>
      <c r="L494" s="24" t="s">
        <v>288</v>
      </c>
      <c r="N494" s="264"/>
    </row>
    <row r="495" spans="1:14" s="52" customFormat="1" ht="12.2" customHeight="1" x14ac:dyDescent="0.2">
      <c r="A495" s="22" t="s">
        <v>618</v>
      </c>
      <c r="B495" s="75">
        <v>20</v>
      </c>
      <c r="C495" s="115">
        <v>5</v>
      </c>
      <c r="D495" s="2" t="s">
        <v>432</v>
      </c>
      <c r="E495" s="115"/>
      <c r="F495" s="18">
        <v>4.57</v>
      </c>
      <c r="G495" s="18">
        <v>2.69</v>
      </c>
      <c r="H495" s="18">
        <v>1.94</v>
      </c>
      <c r="I495" s="18">
        <v>2.14</v>
      </c>
      <c r="J495" s="18"/>
      <c r="K495" s="24" t="s">
        <v>288</v>
      </c>
      <c r="L495" s="24" t="s">
        <v>288</v>
      </c>
      <c r="N495" s="264"/>
    </row>
    <row r="496" spans="1:14" s="52" customFormat="1" ht="12.2" customHeight="1" x14ac:dyDescent="0.2">
      <c r="A496" s="22" t="s">
        <v>619</v>
      </c>
      <c r="B496" s="75">
        <v>20</v>
      </c>
      <c r="C496" s="115">
        <v>6</v>
      </c>
      <c r="D496" s="2" t="s">
        <v>432</v>
      </c>
      <c r="E496" s="115"/>
      <c r="F496" s="18">
        <v>1330000</v>
      </c>
      <c r="G496" s="18">
        <v>2095000</v>
      </c>
      <c r="H496" s="18">
        <v>1375000</v>
      </c>
      <c r="I496" s="18">
        <v>1555000</v>
      </c>
      <c r="J496" s="18"/>
      <c r="K496" s="53">
        <f>SUM(F496:J496)</f>
        <v>6355000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665000</v>
      </c>
      <c r="G498" s="18">
        <v>270000</v>
      </c>
      <c r="H498" s="18">
        <v>285000</v>
      </c>
      <c r="I498" s="18">
        <v>390000</v>
      </c>
      <c r="J498" s="18"/>
      <c r="K498" s="53">
        <f t="shared" si="35"/>
        <v>1610000</v>
      </c>
      <c r="L498" s="24" t="s">
        <v>288</v>
      </c>
      <c r="N498" s="264"/>
    </row>
    <row r="499" spans="1:14" s="52" customFormat="1" ht="12.2" customHeight="1" x14ac:dyDescent="0.2">
      <c r="A499" s="199" t="s">
        <v>622</v>
      </c>
      <c r="B499" s="200">
        <v>20</v>
      </c>
      <c r="C499" s="201">
        <v>9</v>
      </c>
      <c r="D499" s="202" t="s">
        <v>432</v>
      </c>
      <c r="E499" s="201"/>
      <c r="F499" s="203">
        <v>665000</v>
      </c>
      <c r="G499" s="203">
        <v>1825000</v>
      </c>
      <c r="H499" s="203">
        <f>H496-H498</f>
        <v>1090000</v>
      </c>
      <c r="I499" s="203">
        <f>I496-I498</f>
        <v>1165000</v>
      </c>
      <c r="J499" s="203"/>
      <c r="K499" s="204">
        <f t="shared" si="35"/>
        <v>4745000</v>
      </c>
      <c r="L499" s="205" t="s">
        <v>288</v>
      </c>
      <c r="N499" s="264"/>
    </row>
    <row r="500" spans="1:14" s="52" customFormat="1" ht="12.2" customHeight="1" thickBot="1" x14ac:dyDescent="0.25">
      <c r="A500" s="22" t="s">
        <v>623</v>
      </c>
      <c r="B500" s="75">
        <v>20</v>
      </c>
      <c r="C500" s="115">
        <v>10</v>
      </c>
      <c r="D500" s="2" t="s">
        <v>432</v>
      </c>
      <c r="E500" s="115"/>
      <c r="F500" s="18">
        <v>16625</v>
      </c>
      <c r="G500" s="18">
        <v>169247.76</v>
      </c>
      <c r="H500" s="18">
        <v>51006.27</v>
      </c>
      <c r="I500" s="18">
        <v>52275</v>
      </c>
      <c r="J500" s="18"/>
      <c r="K500" s="53">
        <f t="shared" si="35"/>
        <v>289154.03000000003</v>
      </c>
      <c r="L500" s="24" t="s">
        <v>288</v>
      </c>
      <c r="N500" s="264"/>
    </row>
    <row r="501" spans="1:14" s="52" customFormat="1" ht="12.2" customHeight="1" thickTop="1" x14ac:dyDescent="0.2">
      <c r="A501" s="139" t="s">
        <v>624</v>
      </c>
      <c r="B501" s="44">
        <v>20</v>
      </c>
      <c r="C501" s="194">
        <v>11</v>
      </c>
      <c r="D501" s="39" t="s">
        <v>432</v>
      </c>
      <c r="E501" s="194"/>
      <c r="F501" s="42">
        <f>SUM(F499:F500)</f>
        <v>681625</v>
      </c>
      <c r="G501" s="42">
        <f>SUM(G499:G500)</f>
        <v>1994247.76</v>
      </c>
      <c r="H501" s="42">
        <f>SUM(H499:H500)</f>
        <v>1141006.27</v>
      </c>
      <c r="I501" s="42">
        <f>SUM(I499:I500)</f>
        <v>1217275</v>
      </c>
      <c r="J501" s="42">
        <f>SUM(J499:J500)</f>
        <v>0</v>
      </c>
      <c r="K501" s="42">
        <f t="shared" si="35"/>
        <v>5034154.0299999993</v>
      </c>
      <c r="L501" s="45" t="s">
        <v>288</v>
      </c>
      <c r="N501" s="264"/>
    </row>
    <row r="502" spans="1:14" s="52" customFormat="1" ht="12.2" customHeight="1" x14ac:dyDescent="0.2">
      <c r="A502" s="199" t="s">
        <v>651</v>
      </c>
      <c r="B502" s="200">
        <v>20</v>
      </c>
      <c r="C502" s="201">
        <v>12</v>
      </c>
      <c r="D502" s="202" t="s">
        <v>432</v>
      </c>
      <c r="E502" s="201"/>
      <c r="F502" s="203">
        <v>665000</v>
      </c>
      <c r="G502" s="203">
        <v>270000</v>
      </c>
      <c r="H502" s="203">
        <v>280000</v>
      </c>
      <c r="I502" s="203">
        <v>390000</v>
      </c>
      <c r="J502" s="203"/>
      <c r="K502" s="204">
        <f t="shared" si="35"/>
        <v>1605000</v>
      </c>
      <c r="L502" s="205" t="s">
        <v>288</v>
      </c>
      <c r="N502" s="264"/>
    </row>
    <row r="503" spans="1:14" s="52" customFormat="1" ht="12.2" customHeight="1" thickBot="1" x14ac:dyDescent="0.25">
      <c r="A503" s="22" t="s">
        <v>625</v>
      </c>
      <c r="B503" s="75">
        <v>20</v>
      </c>
      <c r="C503" s="115">
        <v>13</v>
      </c>
      <c r="D503" s="2" t="s">
        <v>432</v>
      </c>
      <c r="E503" s="115"/>
      <c r="F503" s="18">
        <v>16625</v>
      </c>
      <c r="G503" s="18">
        <v>45377.2</v>
      </c>
      <c r="H503" s="18">
        <v>22387.5</v>
      </c>
      <c r="I503" s="18">
        <v>29100</v>
      </c>
      <c r="J503" s="18"/>
      <c r="K503" s="53">
        <f t="shared" si="35"/>
        <v>113489.7</v>
      </c>
      <c r="L503" s="24" t="s">
        <v>288</v>
      </c>
      <c r="N503" s="264"/>
    </row>
    <row r="504" spans="1:14" s="52" customFormat="1" ht="12.2" customHeight="1" thickTop="1" x14ac:dyDescent="0.2">
      <c r="A504" s="139" t="s">
        <v>626</v>
      </c>
      <c r="B504" s="44">
        <v>20</v>
      </c>
      <c r="C504" s="194">
        <v>14</v>
      </c>
      <c r="D504" s="39" t="s">
        <v>432</v>
      </c>
      <c r="E504" s="194"/>
      <c r="F504" s="42">
        <f>SUM(F502:F503)</f>
        <v>681625</v>
      </c>
      <c r="G504" s="42">
        <f>SUM(G502:G503)</f>
        <v>315377.2</v>
      </c>
      <c r="H504" s="42">
        <f>SUM(H502:H503)</f>
        <v>302387.5</v>
      </c>
      <c r="I504" s="42">
        <f>SUM(I502:I503)</f>
        <v>419100</v>
      </c>
      <c r="J504" s="42">
        <f>SUM(J502:J503)</f>
        <v>0</v>
      </c>
      <c r="K504" s="42">
        <f t="shared" si="35"/>
        <v>1718489.7</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v>3726945</v>
      </c>
      <c r="G508" s="144">
        <v>453724</v>
      </c>
      <c r="H508" s="144">
        <v>679628</v>
      </c>
      <c r="I508" s="144">
        <v>3501041</v>
      </c>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26297.75+115934.21+114622.45+126065.59+1187926.21+431380.83+620157.07+590537.65+96070.46+546585.59+450634.36+51787.11+56645.09+108311.97+90859.8+13048.73+122896.29+96847.25+217980.16</f>
        <v>5064588.57</v>
      </c>
      <c r="G522" s="18">
        <f>F522*0.5426</f>
        <v>2748045.7580820001</v>
      </c>
      <c r="H522" s="18">
        <f>798+9006+243435.71+234957.09</f>
        <v>488196.8</v>
      </c>
      <c r="I522" s="18">
        <f>7965.24+1881.77+11709.26+3943.41+1721.26+2292.4+10205.55</f>
        <v>39718.89</v>
      </c>
      <c r="J522" s="18">
        <f>3284.16+581.94+749.85</f>
        <v>4615.95</v>
      </c>
      <c r="K522" s="18">
        <f>210</f>
        <v>210</v>
      </c>
      <c r="L522" s="88">
        <f>SUM(F522:K522)</f>
        <v>8345375.9680820005</v>
      </c>
      <c r="N522" s="264"/>
    </row>
    <row r="523" spans="1:14" s="52" customFormat="1" ht="12.2" customHeight="1" x14ac:dyDescent="0.2">
      <c r="A523" s="22" t="s">
        <v>634</v>
      </c>
      <c r="B523" s="105">
        <v>21</v>
      </c>
      <c r="C523" s="115">
        <v>2</v>
      </c>
      <c r="D523" s="2" t="s">
        <v>432</v>
      </c>
      <c r="E523" s="115"/>
      <c r="F523" s="18">
        <f>142764.24+1387386.12+107354.73</f>
        <v>1637505.09</v>
      </c>
      <c r="G523" s="18">
        <f t="shared" ref="G523:G524" si="36">F523*0.5426</f>
        <v>888510.261834</v>
      </c>
      <c r="H523" s="18">
        <f>119013.01+731019.45</f>
        <v>850032.46</v>
      </c>
      <c r="I523" s="18">
        <f>2580.63+4963.8</f>
        <v>7544.43</v>
      </c>
      <c r="J523" s="18">
        <f>6268.74</f>
        <v>6268.74</v>
      </c>
      <c r="K523" s="18"/>
      <c r="L523" s="88">
        <f>SUM(F523:K523)</f>
        <v>3389860.9818340004</v>
      </c>
      <c r="N523" s="264"/>
    </row>
    <row r="524" spans="1:14" s="52" customFormat="1" ht="12.2" customHeight="1" thickBot="1" x14ac:dyDescent="0.25">
      <c r="A524" s="22" t="s">
        <v>635</v>
      </c>
      <c r="B524" s="105">
        <v>21</v>
      </c>
      <c r="C524" s="115">
        <v>3</v>
      </c>
      <c r="D524" s="2" t="s">
        <v>432</v>
      </c>
      <c r="E524" s="115"/>
      <c r="F524" s="18">
        <f>114476.04+1381549.95+394372.94+42926.13+59099.21</f>
        <v>1992424.2699999998</v>
      </c>
      <c r="G524" s="18">
        <f t="shared" si="36"/>
        <v>1081089.4089019999</v>
      </c>
      <c r="H524" s="18">
        <f>9585+178519.52+992465.42+10049.04</f>
        <v>1190618.98</v>
      </c>
      <c r="I524" s="18">
        <f>12179.53+7539.39</f>
        <v>19718.920000000002</v>
      </c>
      <c r="J524" s="18">
        <f>75.31+199</f>
        <v>274.31</v>
      </c>
      <c r="K524" s="18"/>
      <c r="L524" s="88">
        <f>SUM(F524:K524)</f>
        <v>4284125.8889019992</v>
      </c>
      <c r="N524" s="264"/>
    </row>
    <row r="525" spans="1:14" s="52" customFormat="1" ht="12.2" customHeight="1" thickTop="1" x14ac:dyDescent="0.2">
      <c r="A525" s="139" t="s">
        <v>63</v>
      </c>
      <c r="B525" s="107">
        <v>21</v>
      </c>
      <c r="C525" s="194">
        <v>4</v>
      </c>
      <c r="D525" s="195" t="s">
        <v>432</v>
      </c>
      <c r="E525" s="194"/>
      <c r="F525" s="108">
        <f>SUM(F522:F524)</f>
        <v>8694517.9299999997</v>
      </c>
      <c r="G525" s="108">
        <f t="shared" ref="G525:L525" si="37">SUM(G522:G524)</f>
        <v>4717645.4288179995</v>
      </c>
      <c r="H525" s="108">
        <f t="shared" si="37"/>
        <v>2528848.2400000002</v>
      </c>
      <c r="I525" s="108">
        <f>SUM(I522:I524)</f>
        <v>66982.240000000005</v>
      </c>
      <c r="J525" s="108">
        <f>SUM(J522:J524)</f>
        <v>11158.999999999998</v>
      </c>
      <c r="K525" s="108">
        <f t="shared" si="37"/>
        <v>210</v>
      </c>
      <c r="L525" s="89">
        <f t="shared" si="37"/>
        <v>16019362.838818001</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f>267522.3+137243.36+76748.04+188858.3+1801.75+15086.49+750868.84</f>
        <v>1438129.08</v>
      </c>
      <c r="G527" s="18">
        <f>F527*0.5426</f>
        <v>780328.83880799997</v>
      </c>
      <c r="H527" s="18">
        <f>204650.02</f>
        <v>204650.02</v>
      </c>
      <c r="I527" s="18">
        <f>43648.52</f>
        <v>43648.52</v>
      </c>
      <c r="J527" s="18">
        <f>2944.44</f>
        <v>2944.44</v>
      </c>
      <c r="K527" s="18"/>
      <c r="L527" s="88">
        <f>SUM(F527:K527)</f>
        <v>2469700.8988080001</v>
      </c>
      <c r="M527" s="8"/>
      <c r="N527" s="265"/>
    </row>
    <row r="528" spans="1:14" s="3" customFormat="1" ht="12.2" customHeight="1" x14ac:dyDescent="0.15">
      <c r="A528" s="22" t="s">
        <v>634</v>
      </c>
      <c r="B528" s="105">
        <v>21</v>
      </c>
      <c r="C528" s="115">
        <v>6</v>
      </c>
      <c r="D528" s="2" t="s">
        <v>432</v>
      </c>
      <c r="E528" s="115"/>
      <c r="F528" s="18">
        <f>140447.26+144195.2+181477.6</f>
        <v>466120.06000000006</v>
      </c>
      <c r="G528" s="18">
        <f t="shared" ref="G528:G529" si="38">F528*0.5426</f>
        <v>252916.74455600002</v>
      </c>
      <c r="H528" s="18">
        <f>122585.7</f>
        <v>122585.7</v>
      </c>
      <c r="I528" s="18">
        <f>21339.27</f>
        <v>21339.27</v>
      </c>
      <c r="J528" s="18"/>
      <c r="K528" s="18"/>
      <c r="L528" s="88">
        <f>SUM(F528:K528)</f>
        <v>862961.77455600002</v>
      </c>
      <c r="M528" s="8"/>
      <c r="N528" s="265"/>
    </row>
    <row r="529" spans="1:14" s="3" customFormat="1" ht="12.2" customHeight="1" thickBot="1" x14ac:dyDescent="0.2">
      <c r="A529" s="22" t="s">
        <v>635</v>
      </c>
      <c r="B529" s="118">
        <v>21</v>
      </c>
      <c r="C529" s="118">
        <v>7</v>
      </c>
      <c r="D529" s="2" t="s">
        <v>432</v>
      </c>
      <c r="E529" s="118"/>
      <c r="F529" s="18">
        <f>111673.96+206983.69</f>
        <v>318657.65000000002</v>
      </c>
      <c r="G529" s="18">
        <f t="shared" si="38"/>
        <v>172903.64089000001</v>
      </c>
      <c r="H529" s="18">
        <f>238623.39</f>
        <v>238623.39</v>
      </c>
      <c r="I529" s="18">
        <f>32008.91</f>
        <v>32008.91</v>
      </c>
      <c r="J529" s="18">
        <f>559.76</f>
        <v>559.76</v>
      </c>
      <c r="K529" s="18"/>
      <c r="L529" s="88">
        <f>SUM(F529:K529)</f>
        <v>762753.35089000012</v>
      </c>
      <c r="M529" s="8"/>
      <c r="N529" s="265"/>
    </row>
    <row r="530" spans="1:14" s="3" customFormat="1" ht="12.2" customHeight="1" thickTop="1" x14ac:dyDescent="0.15">
      <c r="A530" s="139" t="s">
        <v>65</v>
      </c>
      <c r="B530" s="107">
        <v>21</v>
      </c>
      <c r="C530" s="107">
        <v>8</v>
      </c>
      <c r="D530" s="158" t="s">
        <v>432</v>
      </c>
      <c r="E530" s="107"/>
      <c r="F530" s="89">
        <f>SUM(F527:F529)</f>
        <v>2222906.79</v>
      </c>
      <c r="G530" s="89">
        <f t="shared" ref="G530:L530" si="39">SUM(G527:G529)</f>
        <v>1206149.224254</v>
      </c>
      <c r="H530" s="89">
        <f t="shared" si="39"/>
        <v>565859.11</v>
      </c>
      <c r="I530" s="89">
        <f t="shared" si="39"/>
        <v>96996.7</v>
      </c>
      <c r="J530" s="89">
        <f t="shared" si="39"/>
        <v>3504.2</v>
      </c>
      <c r="K530" s="89">
        <f t="shared" si="39"/>
        <v>0</v>
      </c>
      <c r="L530" s="89">
        <f t="shared" si="39"/>
        <v>4095416.0242540007</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f>94726.88-0.01</f>
        <v>94726.87000000001</v>
      </c>
      <c r="G532" s="18">
        <f>F532*0.5426</f>
        <v>51398.799662000005</v>
      </c>
      <c r="H532" s="18"/>
      <c r="I532" s="18"/>
      <c r="J532" s="18"/>
      <c r="K532" s="18"/>
      <c r="L532" s="88">
        <f>SUM(F532:K532)</f>
        <v>146125.66966200003</v>
      </c>
      <c r="M532" s="8"/>
      <c r="N532" s="265"/>
    </row>
    <row r="533" spans="1:14" s="3" customFormat="1" ht="12.2" customHeight="1" x14ac:dyDescent="0.15">
      <c r="A533" s="22" t="s">
        <v>634</v>
      </c>
      <c r="B533" s="105">
        <v>21</v>
      </c>
      <c r="C533" s="105">
        <v>10</v>
      </c>
      <c r="D533" s="2" t="s">
        <v>432</v>
      </c>
      <c r="E533" s="105"/>
      <c r="F533" s="18">
        <f>46310.92</f>
        <v>46310.92</v>
      </c>
      <c r="G533" s="18">
        <f t="shared" ref="G533:G534" si="40">F533*0.5426</f>
        <v>25128.305191999996</v>
      </c>
      <c r="H533" s="18"/>
      <c r="I533" s="18"/>
      <c r="J533" s="18"/>
      <c r="K533" s="18"/>
      <c r="L533" s="88">
        <f>SUM(F533:K533)</f>
        <v>71439.225191999998</v>
      </c>
      <c r="M533" s="8"/>
      <c r="N533" s="265"/>
    </row>
    <row r="534" spans="1:14" s="3" customFormat="1" ht="12.2" customHeight="1" thickBot="1" x14ac:dyDescent="0.2">
      <c r="A534" s="22" t="s">
        <v>635</v>
      </c>
      <c r="B534" s="105">
        <v>21</v>
      </c>
      <c r="C534" s="105">
        <v>11</v>
      </c>
      <c r="D534" s="2" t="s">
        <v>432</v>
      </c>
      <c r="E534" s="105"/>
      <c r="F534" s="18">
        <f>69466.38</f>
        <v>69466.38</v>
      </c>
      <c r="G534" s="18">
        <f t="shared" si="40"/>
        <v>37692.457788</v>
      </c>
      <c r="H534" s="18"/>
      <c r="I534" s="18"/>
      <c r="J534" s="18"/>
      <c r="K534" s="18"/>
      <c r="L534" s="88">
        <f>SUM(F534:K534)</f>
        <v>107158.837788</v>
      </c>
      <c r="M534" s="8"/>
      <c r="N534" s="265"/>
    </row>
    <row r="535" spans="1:14" s="3" customFormat="1" ht="12.2" customHeight="1" thickTop="1" x14ac:dyDescent="0.15">
      <c r="A535" s="139" t="s">
        <v>67</v>
      </c>
      <c r="B535" s="107">
        <v>21</v>
      </c>
      <c r="C535" s="107">
        <v>12</v>
      </c>
      <c r="D535" s="158" t="s">
        <v>432</v>
      </c>
      <c r="E535" s="107"/>
      <c r="F535" s="89">
        <f>SUM(F532:F534)</f>
        <v>210504.17</v>
      </c>
      <c r="G535" s="89">
        <f t="shared" ref="G535:L535" si="41">SUM(G532:G534)</f>
        <v>114219.562642</v>
      </c>
      <c r="H535" s="89">
        <f t="shared" si="41"/>
        <v>0</v>
      </c>
      <c r="I535" s="89">
        <f t="shared" si="41"/>
        <v>0</v>
      </c>
      <c r="J535" s="89">
        <f t="shared" si="41"/>
        <v>0</v>
      </c>
      <c r="K535" s="89">
        <f t="shared" si="41"/>
        <v>0</v>
      </c>
      <c r="L535" s="89">
        <f t="shared" si="41"/>
        <v>324723.73264200002</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f>4859.16</f>
        <v>4859.16</v>
      </c>
      <c r="I537" s="18"/>
      <c r="J537" s="18"/>
      <c r="K537" s="18"/>
      <c r="L537" s="88">
        <f>SUM(F537:K537)</f>
        <v>4859.16</v>
      </c>
      <c r="M537" s="8"/>
      <c r="N537" s="265"/>
    </row>
    <row r="538" spans="1:14" s="3" customFormat="1" ht="12.2" customHeight="1" x14ac:dyDescent="0.15">
      <c r="A538" s="22" t="s">
        <v>634</v>
      </c>
      <c r="B538" s="105">
        <v>21</v>
      </c>
      <c r="C538" s="105">
        <v>14</v>
      </c>
      <c r="D538" s="2" t="s">
        <v>432</v>
      </c>
      <c r="E538" s="105"/>
      <c r="F538" s="18"/>
      <c r="G538" s="18"/>
      <c r="H538" s="18">
        <f>2375.59</f>
        <v>2375.59</v>
      </c>
      <c r="I538" s="18"/>
      <c r="J538" s="18"/>
      <c r="K538" s="18"/>
      <c r="L538" s="88">
        <f>SUM(F538:K538)</f>
        <v>2375.59</v>
      </c>
      <c r="M538" s="8"/>
      <c r="N538" s="265"/>
    </row>
    <row r="539" spans="1:14" s="3" customFormat="1" ht="12.2" customHeight="1" thickBot="1" x14ac:dyDescent="0.2">
      <c r="A539" s="22" t="s">
        <v>635</v>
      </c>
      <c r="B539" s="105">
        <v>21</v>
      </c>
      <c r="C539" s="105">
        <v>15</v>
      </c>
      <c r="D539" s="2" t="s">
        <v>432</v>
      </c>
      <c r="E539" s="105"/>
      <c r="F539" s="18"/>
      <c r="G539" s="18"/>
      <c r="H539" s="18">
        <f>3563.38</f>
        <v>3563.38</v>
      </c>
      <c r="I539" s="18"/>
      <c r="J539" s="18"/>
      <c r="K539" s="18"/>
      <c r="L539" s="88">
        <f>SUM(F539:K539)</f>
        <v>3563.38</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42">SUM(G537:G539)</f>
        <v>0</v>
      </c>
      <c r="H540" s="89">
        <f t="shared" si="42"/>
        <v>10798.130000000001</v>
      </c>
      <c r="I540" s="89">
        <f t="shared" si="42"/>
        <v>0</v>
      </c>
      <c r="J540" s="89">
        <f t="shared" si="42"/>
        <v>0</v>
      </c>
      <c r="K540" s="89">
        <f t="shared" si="42"/>
        <v>0</v>
      </c>
      <c r="L540" s="89">
        <f t="shared" si="42"/>
        <v>10798.130000000001</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f>1306514.34</f>
        <v>1306514.3400000001</v>
      </c>
      <c r="I542" s="18"/>
      <c r="J542" s="18"/>
      <c r="K542" s="18"/>
      <c r="L542" s="88">
        <f>SUM(F542:K542)</f>
        <v>1306514.3400000001</v>
      </c>
      <c r="M542" s="8"/>
      <c r="N542" s="265"/>
    </row>
    <row r="543" spans="1:14" s="3" customFormat="1" ht="12.2" customHeight="1" x14ac:dyDescent="0.15">
      <c r="A543" s="22" t="s">
        <v>634</v>
      </c>
      <c r="B543" s="105">
        <v>21</v>
      </c>
      <c r="C543" s="105">
        <v>18</v>
      </c>
      <c r="D543" s="2" t="s">
        <v>432</v>
      </c>
      <c r="E543" s="105"/>
      <c r="F543" s="18"/>
      <c r="G543" s="18"/>
      <c r="H543" s="18">
        <f>174201.91</f>
        <v>174201.91</v>
      </c>
      <c r="I543" s="18"/>
      <c r="J543" s="18"/>
      <c r="K543" s="18"/>
      <c r="L543" s="88">
        <f>SUM(F543:K543)</f>
        <v>174201.91</v>
      </c>
      <c r="M543" s="8"/>
      <c r="N543" s="265"/>
    </row>
    <row r="544" spans="1:14" s="3" customFormat="1" ht="12.2" customHeight="1" thickBot="1" x14ac:dyDescent="0.2">
      <c r="A544" s="22" t="s">
        <v>635</v>
      </c>
      <c r="B544" s="105">
        <v>21</v>
      </c>
      <c r="C544" s="105">
        <v>19</v>
      </c>
      <c r="D544" s="2" t="s">
        <v>432</v>
      </c>
      <c r="E544" s="105"/>
      <c r="F544" s="18"/>
      <c r="G544" s="18"/>
      <c r="H544" s="18">
        <f>261302.87</f>
        <v>261302.87</v>
      </c>
      <c r="I544" s="18"/>
      <c r="J544" s="18"/>
      <c r="K544" s="18"/>
      <c r="L544" s="88">
        <f>SUM(F544:K544)</f>
        <v>261302.87</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3">SUM(G542:G544)</f>
        <v>0</v>
      </c>
      <c r="H545" s="192">
        <f t="shared" si="43"/>
        <v>1742019.12</v>
      </c>
      <c r="I545" s="192">
        <f t="shared" si="43"/>
        <v>0</v>
      </c>
      <c r="J545" s="192">
        <f t="shared" si="43"/>
        <v>0</v>
      </c>
      <c r="K545" s="192">
        <f t="shared" si="43"/>
        <v>0</v>
      </c>
      <c r="L545" s="192">
        <f t="shared" si="43"/>
        <v>1742019.12</v>
      </c>
      <c r="M545" s="8"/>
      <c r="N545" s="265"/>
    </row>
    <row r="546" spans="1:14" s="3" customFormat="1" ht="12.2" customHeight="1" thickTop="1" x14ac:dyDescent="0.15">
      <c r="A546" s="98" t="s">
        <v>72</v>
      </c>
      <c r="B546" s="107">
        <v>21</v>
      </c>
      <c r="C546" s="107">
        <v>21</v>
      </c>
      <c r="D546" s="158" t="s">
        <v>432</v>
      </c>
      <c r="E546" s="107"/>
      <c r="F546" s="89">
        <f>F525+F530+F535+F540+F545</f>
        <v>11127928.889999999</v>
      </c>
      <c r="G546" s="89">
        <f t="shared" ref="G546:L546" si="44">G525+G530+G535+G540+G545</f>
        <v>6038014.2157139992</v>
      </c>
      <c r="H546" s="89">
        <f t="shared" si="44"/>
        <v>4847524.5999999996</v>
      </c>
      <c r="I546" s="89">
        <f t="shared" si="44"/>
        <v>163978.94</v>
      </c>
      <c r="J546" s="89">
        <f t="shared" si="44"/>
        <v>14663.199999999997</v>
      </c>
      <c r="K546" s="89">
        <f t="shared" si="44"/>
        <v>210</v>
      </c>
      <c r="L546" s="89">
        <f t="shared" si="44"/>
        <v>22192319.845713999</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8345375.9680820005</v>
      </c>
      <c r="G550" s="87">
        <f>L527</f>
        <v>2469700.8988080001</v>
      </c>
      <c r="H550" s="87">
        <f>L532</f>
        <v>146125.66966200003</v>
      </c>
      <c r="I550" s="87">
        <f>L537</f>
        <v>4859.16</v>
      </c>
      <c r="J550" s="87">
        <f>L542</f>
        <v>1306514.3400000001</v>
      </c>
      <c r="K550" s="87">
        <f>SUM(F550:J550)</f>
        <v>12272576.036552001</v>
      </c>
      <c r="L550" s="24" t="s">
        <v>288</v>
      </c>
      <c r="M550" s="8"/>
      <c r="N550" s="265"/>
    </row>
    <row r="551" spans="1:14" s="3" customFormat="1" ht="12.2" customHeight="1" x14ac:dyDescent="0.15">
      <c r="A551" s="22" t="s">
        <v>634</v>
      </c>
      <c r="B551" s="75">
        <v>21</v>
      </c>
      <c r="C551" s="75">
        <v>23</v>
      </c>
      <c r="D551" s="2" t="s">
        <v>432</v>
      </c>
      <c r="E551" s="75"/>
      <c r="F551" s="87">
        <f>L523</f>
        <v>3389860.9818340004</v>
      </c>
      <c r="G551" s="87">
        <f>L528</f>
        <v>862961.77455600002</v>
      </c>
      <c r="H551" s="87">
        <f>L533</f>
        <v>71439.225191999998</v>
      </c>
      <c r="I551" s="87">
        <f>L538</f>
        <v>2375.59</v>
      </c>
      <c r="J551" s="87">
        <f>L543</f>
        <v>174201.91</v>
      </c>
      <c r="K551" s="87">
        <f>SUM(F551:J551)</f>
        <v>4500839.4815820009</v>
      </c>
      <c r="L551" s="24" t="s">
        <v>288</v>
      </c>
      <c r="M551" s="8"/>
      <c r="N551" s="265"/>
    </row>
    <row r="552" spans="1:14" s="3" customFormat="1" ht="12.2" customHeight="1" thickBot="1" x14ac:dyDescent="0.2">
      <c r="A552" s="22" t="s">
        <v>635</v>
      </c>
      <c r="B552" s="75">
        <v>21</v>
      </c>
      <c r="C552" s="75">
        <v>24</v>
      </c>
      <c r="D552" s="2" t="s">
        <v>432</v>
      </c>
      <c r="E552" s="75"/>
      <c r="F552" s="87">
        <f>L524</f>
        <v>4284125.8889019992</v>
      </c>
      <c r="G552" s="87">
        <f>L529</f>
        <v>762753.35089000012</v>
      </c>
      <c r="H552" s="87">
        <f>L534</f>
        <v>107158.837788</v>
      </c>
      <c r="I552" s="87">
        <f>L539</f>
        <v>3563.38</v>
      </c>
      <c r="J552" s="87">
        <f>L544</f>
        <v>261302.87</v>
      </c>
      <c r="K552" s="87">
        <f>SUM(F552:J552)</f>
        <v>5418904.3275799993</v>
      </c>
      <c r="L552" s="24" t="s">
        <v>288</v>
      </c>
      <c r="M552" s="8"/>
      <c r="N552" s="265"/>
    </row>
    <row r="553" spans="1:14" s="3" customFormat="1" ht="12.2" customHeight="1" thickTop="1" x14ac:dyDescent="0.15">
      <c r="A553" s="172" t="s">
        <v>340</v>
      </c>
      <c r="B553" s="44">
        <v>21</v>
      </c>
      <c r="C553" s="44">
        <v>25</v>
      </c>
      <c r="D553" s="39" t="s">
        <v>432</v>
      </c>
      <c r="E553" s="44"/>
      <c r="F553" s="89">
        <f t="shared" ref="F553:K553" si="45">SUM(F550:F552)</f>
        <v>16019362.838818001</v>
      </c>
      <c r="G553" s="89">
        <f t="shared" si="45"/>
        <v>4095416.0242540007</v>
      </c>
      <c r="H553" s="89">
        <f t="shared" si="45"/>
        <v>324723.73264200002</v>
      </c>
      <c r="I553" s="89">
        <f t="shared" si="45"/>
        <v>10798.130000000001</v>
      </c>
      <c r="J553" s="89">
        <f t="shared" si="45"/>
        <v>1742019.12</v>
      </c>
      <c r="K553" s="89">
        <f t="shared" si="45"/>
        <v>22192319.845714003</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6">SUM(F558:F560)</f>
        <v>0</v>
      </c>
      <c r="G561" s="108">
        <f t="shared" si="46"/>
        <v>0</v>
      </c>
      <c r="H561" s="108">
        <f t="shared" si="46"/>
        <v>0</v>
      </c>
      <c r="I561" s="108">
        <f t="shared" si="46"/>
        <v>0</v>
      </c>
      <c r="J561" s="108">
        <f t="shared" si="46"/>
        <v>0</v>
      </c>
      <c r="K561" s="108">
        <f t="shared" si="46"/>
        <v>0</v>
      </c>
      <c r="L561" s="89">
        <f t="shared" si="46"/>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f>68885.96</f>
        <v>68885.960000000006</v>
      </c>
      <c r="G563" s="18">
        <f>F563*0.5426</f>
        <v>37377.521895999998</v>
      </c>
      <c r="H563" s="18"/>
      <c r="I563" s="18">
        <f>1041.45-0.01</f>
        <v>1041.44</v>
      </c>
      <c r="J563" s="18"/>
      <c r="K563" s="18"/>
      <c r="L563" s="88">
        <f>SUM(F563:K563)</f>
        <v>107304.92189600001</v>
      </c>
      <c r="M563" s="8"/>
      <c r="N563" s="265"/>
    </row>
    <row r="564" spans="1:14" s="3" customFormat="1" ht="12.2" customHeight="1" x14ac:dyDescent="0.15">
      <c r="A564" s="22" t="s">
        <v>634</v>
      </c>
      <c r="B564" s="105">
        <v>22</v>
      </c>
      <c r="C564" s="115">
        <v>6</v>
      </c>
      <c r="D564" s="2" t="s">
        <v>432</v>
      </c>
      <c r="E564" s="115"/>
      <c r="F564" s="18">
        <f>1896.04</f>
        <v>1896.04</v>
      </c>
      <c r="G564" s="18">
        <f>F564*0.5426</f>
        <v>1028.7913039999999</v>
      </c>
      <c r="H564" s="18"/>
      <c r="I564" s="18">
        <f>223.17</f>
        <v>223.17</v>
      </c>
      <c r="J564" s="18"/>
      <c r="K564" s="18"/>
      <c r="L564" s="88">
        <f>SUM(F564:K564)</f>
        <v>3148.0013039999999</v>
      </c>
      <c r="M564" s="8"/>
      <c r="N564" s="265"/>
    </row>
    <row r="565" spans="1:14" s="3" customFormat="1" ht="12.2" customHeight="1" thickBot="1" x14ac:dyDescent="0.2">
      <c r="A565" s="22" t="s">
        <v>635</v>
      </c>
      <c r="B565" s="105">
        <v>22</v>
      </c>
      <c r="C565" s="118">
        <v>7</v>
      </c>
      <c r="D565" s="2" t="s">
        <v>432</v>
      </c>
      <c r="E565" s="118"/>
      <c r="F565" s="18">
        <f>56511.08</f>
        <v>56511.08</v>
      </c>
      <c r="G565" s="18">
        <f>F565*0.5426</f>
        <v>30662.912007999999</v>
      </c>
      <c r="H565" s="18"/>
      <c r="I565" s="18">
        <f>223.17</f>
        <v>223.17</v>
      </c>
      <c r="J565" s="18"/>
      <c r="K565" s="18"/>
      <c r="L565" s="88">
        <f>SUM(F565:K565)</f>
        <v>87397.162007999999</v>
      </c>
      <c r="M565" s="8"/>
      <c r="N565" s="265"/>
    </row>
    <row r="566" spans="1:14" s="3" customFormat="1" ht="12.2" customHeight="1" thickTop="1" x14ac:dyDescent="0.15">
      <c r="A566" s="139" t="s">
        <v>65</v>
      </c>
      <c r="B566" s="107">
        <v>22</v>
      </c>
      <c r="C566" s="107">
        <v>8</v>
      </c>
      <c r="D566" s="195" t="s">
        <v>432</v>
      </c>
      <c r="E566" s="107"/>
      <c r="F566" s="89">
        <f t="shared" ref="F566:L566" si="47">SUM(F563:F565)</f>
        <v>127293.08</v>
      </c>
      <c r="G566" s="89">
        <f t="shared" si="47"/>
        <v>69069.225207999989</v>
      </c>
      <c r="H566" s="89">
        <f t="shared" si="47"/>
        <v>0</v>
      </c>
      <c r="I566" s="89">
        <f t="shared" si="47"/>
        <v>1487.7800000000002</v>
      </c>
      <c r="J566" s="89">
        <f t="shared" si="47"/>
        <v>0</v>
      </c>
      <c r="K566" s="89">
        <f t="shared" si="47"/>
        <v>0</v>
      </c>
      <c r="L566" s="89">
        <f t="shared" si="47"/>
        <v>197850.08520800003</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f>313292.51+5619.5</f>
        <v>318912.01</v>
      </c>
      <c r="G568" s="18">
        <f>F568*0.5426</f>
        <v>173041.65662599998</v>
      </c>
      <c r="H568" s="18"/>
      <c r="I568" s="18"/>
      <c r="J568" s="18"/>
      <c r="K568" s="18">
        <f>87.5</f>
        <v>87.5</v>
      </c>
      <c r="L568" s="88">
        <f>SUM(F568:K568)</f>
        <v>492041.16662599996</v>
      </c>
      <c r="M568" s="8"/>
      <c r="N568" s="265"/>
    </row>
    <row r="569" spans="1:14" s="3" customFormat="1" ht="12.2" customHeight="1" x14ac:dyDescent="0.15">
      <c r="A569" s="22" t="s">
        <v>634</v>
      </c>
      <c r="B569" s="105">
        <v>22</v>
      </c>
      <c r="C569" s="105">
        <v>10</v>
      </c>
      <c r="D569" s="2" t="s">
        <v>432</v>
      </c>
      <c r="E569" s="105"/>
      <c r="F569" s="18">
        <f>43425.98+5619.5</f>
        <v>49045.48</v>
      </c>
      <c r="G569" s="18">
        <f>F569*0.5426</f>
        <v>26612.077448</v>
      </c>
      <c r="H569" s="18"/>
      <c r="I569" s="18"/>
      <c r="J569" s="18"/>
      <c r="K569" s="18">
        <f>87.5</f>
        <v>87.5</v>
      </c>
      <c r="L569" s="88">
        <f>SUM(F569:K569)</f>
        <v>75745.057448000007</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367957.49</v>
      </c>
      <c r="G571" s="192">
        <f t="shared" ref="G571:L571" si="48">SUM(G568:G570)</f>
        <v>199653.73407399998</v>
      </c>
      <c r="H571" s="192">
        <f t="shared" si="48"/>
        <v>0</v>
      </c>
      <c r="I571" s="192">
        <f t="shared" si="48"/>
        <v>0</v>
      </c>
      <c r="J571" s="192">
        <f t="shared" si="48"/>
        <v>0</v>
      </c>
      <c r="K571" s="192">
        <f t="shared" si="48"/>
        <v>175</v>
      </c>
      <c r="L571" s="192">
        <f t="shared" si="48"/>
        <v>567786.22407400003</v>
      </c>
      <c r="M571" s="8"/>
      <c r="N571" s="265"/>
    </row>
    <row r="572" spans="1:14" s="3" customFormat="1" ht="12.2" customHeight="1" thickTop="1" x14ac:dyDescent="0.15">
      <c r="A572" s="98" t="s">
        <v>88</v>
      </c>
      <c r="B572" s="107">
        <v>22</v>
      </c>
      <c r="C572" s="107">
        <v>13</v>
      </c>
      <c r="D572" s="158" t="s">
        <v>432</v>
      </c>
      <c r="E572" s="107"/>
      <c r="F572" s="89">
        <f>F561+F566+F571</f>
        <v>495250.57</v>
      </c>
      <c r="G572" s="89">
        <f t="shared" ref="G572:L572" si="49">G561+G566+G571</f>
        <v>268722.95928199997</v>
      </c>
      <c r="H572" s="89">
        <f t="shared" si="49"/>
        <v>0</v>
      </c>
      <c r="I572" s="89">
        <f t="shared" si="49"/>
        <v>1487.7800000000002</v>
      </c>
      <c r="J572" s="89">
        <f t="shared" si="49"/>
        <v>0</v>
      </c>
      <c r="K572" s="89">
        <f t="shared" si="49"/>
        <v>175</v>
      </c>
      <c r="L572" s="89">
        <f t="shared" si="49"/>
        <v>765636.30928200006</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50">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50"/>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50"/>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50"/>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50"/>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50"/>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f>234957.09</f>
        <v>234957.09</v>
      </c>
      <c r="G583" s="18">
        <f>731019.45</f>
        <v>731019.45</v>
      </c>
      <c r="H583" s="18">
        <f>992465.42+10049.04</f>
        <v>1002514.4600000001</v>
      </c>
      <c r="I583" s="87">
        <f t="shared" si="50"/>
        <v>1968491</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50"/>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154193.60000000001</v>
      </c>
      <c r="I585" s="87">
        <f t="shared" si="50"/>
        <v>154193.60000000001</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50"/>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50"/>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50"/>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1226580.32</v>
      </c>
      <c r="I592" s="18">
        <v>919935.24</v>
      </c>
      <c r="J592" s="18">
        <f>870225.34</f>
        <v>870225.34</v>
      </c>
      <c r="K592" s="104">
        <f t="shared" ref="K592:K598" si="51">SUM(H592:J592)</f>
        <v>3016740.9</v>
      </c>
      <c r="L592" s="24" t="s">
        <v>288</v>
      </c>
      <c r="M592" s="8"/>
      <c r="N592" s="265"/>
    </row>
    <row r="593" spans="1:14" s="3" customFormat="1" ht="12.2" customHeight="1" x14ac:dyDescent="0.15">
      <c r="A593" s="3" t="s">
        <v>638</v>
      </c>
      <c r="B593" s="75">
        <v>23</v>
      </c>
      <c r="C593" s="75">
        <v>2</v>
      </c>
      <c r="D593" s="2" t="s">
        <v>432</v>
      </c>
      <c r="E593" s="75"/>
      <c r="F593" s="102">
        <v>2722</v>
      </c>
      <c r="G593" s="103" t="s">
        <v>97</v>
      </c>
      <c r="H593" s="18">
        <v>1219413.3799999999</v>
      </c>
      <c r="I593" s="18">
        <v>174201.91</v>
      </c>
      <c r="J593" s="18">
        <v>348403.83</v>
      </c>
      <c r="K593" s="104">
        <f t="shared" si="51"/>
        <v>1742019.1199999999</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f>49709.9</f>
        <v>49709.9</v>
      </c>
      <c r="K594" s="104">
        <f t="shared" si="51"/>
        <v>49709.9</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v>7617.4</v>
      </c>
      <c r="J595" s="18">
        <v>82384.91</v>
      </c>
      <c r="K595" s="104">
        <f t="shared" si="51"/>
        <v>90002.31</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v>290</v>
      </c>
      <c r="J596" s="18">
        <f>939.9+20444.38</f>
        <v>21384.280000000002</v>
      </c>
      <c r="K596" s="104">
        <f t="shared" si="51"/>
        <v>21674.280000000002</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51"/>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51"/>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2445993.7000000002</v>
      </c>
      <c r="I599" s="108">
        <f>SUM(I592:I598)</f>
        <v>1102044.5499999998</v>
      </c>
      <c r="J599" s="108">
        <f>SUM(J592:J598)</f>
        <v>1372108.2599999998</v>
      </c>
      <c r="K599" s="108">
        <f>SUM(K592:K598)</f>
        <v>4920146.51</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322502.84999999998</v>
      </c>
      <c r="I605" s="18">
        <v>130581.96</v>
      </c>
      <c r="J605" s="18">
        <v>441436.84</v>
      </c>
      <c r="K605" s="104">
        <f>SUM(H605:J605)</f>
        <v>894521.65</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322502.84999999998</v>
      </c>
      <c r="I606" s="108">
        <f>SUM(I603:I605)</f>
        <v>130581.96</v>
      </c>
      <c r="J606" s="108">
        <f>SUM(J603:J605)</f>
        <v>441436.84</v>
      </c>
      <c r="K606" s="108">
        <f>SUM(K603:K605)</f>
        <v>894521.65</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f>711.48+17260+7625+22905+12984.04+18202.5+10647.92+5270.51</f>
        <v>95606.449999999983</v>
      </c>
      <c r="G612" s="18">
        <f>F612*0.5426</f>
        <v>51876.059769999985</v>
      </c>
      <c r="H612" s="18"/>
      <c r="I612" s="18">
        <f>181.49-18.45</f>
        <v>163.04000000000002</v>
      </c>
      <c r="J612" s="18"/>
      <c r="K612" s="18"/>
      <c r="L612" s="88">
        <f>SUM(F612:K612)</f>
        <v>147645.54976999998</v>
      </c>
      <c r="M612" s="8"/>
      <c r="N612" s="265"/>
    </row>
    <row r="613" spans="1:14" s="3" customFormat="1" ht="12.2" customHeight="1" x14ac:dyDescent="0.15">
      <c r="A613" s="22" t="s">
        <v>634</v>
      </c>
      <c r="B613" s="75">
        <v>23</v>
      </c>
      <c r="C613" s="75">
        <v>14</v>
      </c>
      <c r="D613" s="2" t="s">
        <v>432</v>
      </c>
      <c r="E613" s="75"/>
      <c r="F613" s="18">
        <f>5635.16+26211.36+7791.72</f>
        <v>39638.239999999998</v>
      </c>
      <c r="G613" s="18">
        <f>F613*0.5426</f>
        <v>21507.709023999996</v>
      </c>
      <c r="H613" s="18"/>
      <c r="I613" s="18">
        <f>108.89</f>
        <v>108.89</v>
      </c>
      <c r="J613" s="18"/>
      <c r="K613" s="18"/>
      <c r="L613" s="88">
        <f>SUM(F613:K613)</f>
        <v>61254.839023999994</v>
      </c>
      <c r="M613" s="8"/>
      <c r="N613" s="265"/>
    </row>
    <row r="614" spans="1:14" s="3" customFormat="1" ht="12.2" customHeight="1" thickBot="1" x14ac:dyDescent="0.2">
      <c r="A614" s="22" t="s">
        <v>645</v>
      </c>
      <c r="B614" s="75">
        <v>23</v>
      </c>
      <c r="C614" s="75">
        <v>15</v>
      </c>
      <c r="D614" s="2" t="s">
        <v>432</v>
      </c>
      <c r="E614" s="75"/>
      <c r="F614" s="18">
        <f>30934</f>
        <v>30934</v>
      </c>
      <c r="G614" s="18">
        <f>F614*0.5426</f>
        <v>16784.788399999998</v>
      </c>
      <c r="H614" s="18"/>
      <c r="I614" s="18">
        <f>1200+72.59</f>
        <v>1272.5899999999999</v>
      </c>
      <c r="J614" s="18"/>
      <c r="K614" s="18"/>
      <c r="L614" s="88">
        <f>SUM(F614:K614)</f>
        <v>48991.378399999994</v>
      </c>
      <c r="M614" s="8"/>
      <c r="N614" s="265"/>
    </row>
    <row r="615" spans="1:14" s="3" customFormat="1" ht="12.2" customHeight="1" thickTop="1" x14ac:dyDescent="0.15">
      <c r="A615" s="98" t="s">
        <v>340</v>
      </c>
      <c r="B615" s="107">
        <v>23</v>
      </c>
      <c r="C615" s="107">
        <v>16</v>
      </c>
      <c r="D615" s="39" t="s">
        <v>432</v>
      </c>
      <c r="E615" s="107"/>
      <c r="F615" s="108">
        <f t="shared" ref="F615:L615" si="52">SUM(F612:F614)</f>
        <v>166178.68999999997</v>
      </c>
      <c r="G615" s="108">
        <f t="shared" si="52"/>
        <v>90168.557193999965</v>
      </c>
      <c r="H615" s="108">
        <f t="shared" si="52"/>
        <v>0</v>
      </c>
      <c r="I615" s="108">
        <f t="shared" si="52"/>
        <v>1544.52</v>
      </c>
      <c r="J615" s="108">
        <f t="shared" si="52"/>
        <v>0</v>
      </c>
      <c r="K615" s="108">
        <f t="shared" si="52"/>
        <v>0</v>
      </c>
      <c r="L615" s="89">
        <f t="shared" si="52"/>
        <v>257891.76719399996</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3059572.28</v>
      </c>
      <c r="H618" s="109">
        <f>SUM(F52)</f>
        <v>3059572.28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938058.29999999993</v>
      </c>
      <c r="H619" s="109">
        <f>SUM(G52)</f>
        <v>938058.29999999993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473904.6</v>
      </c>
      <c r="H620" s="109">
        <f>SUM(H52)</f>
        <v>473904.6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508475.99</v>
      </c>
      <c r="H622" s="109">
        <f>SUM(J52)</f>
        <v>508475.99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1926177.14</v>
      </c>
      <c r="H623" s="109">
        <f>F477</f>
        <v>1926177.1400000155</v>
      </c>
      <c r="I623" s="121" t="s">
        <v>101</v>
      </c>
      <c r="J623" s="109">
        <f t="shared" ref="J623:J656" si="53">G623-H623</f>
        <v>-1.5599653124809265E-8</v>
      </c>
      <c r="K623" s="109"/>
      <c r="L623" s="109"/>
      <c r="M623" s="8"/>
    </row>
    <row r="624" spans="1:14" s="3" customFormat="1" ht="12.2" customHeight="1" x14ac:dyDescent="0.15">
      <c r="A624" s="97"/>
      <c r="B624" s="105"/>
      <c r="C624" s="119"/>
      <c r="D624" s="119"/>
      <c r="E624" s="119"/>
      <c r="F624" s="119" t="s">
        <v>866</v>
      </c>
      <c r="G624" s="109">
        <f>G51</f>
        <v>829089.02999999991</v>
      </c>
      <c r="H624" s="109">
        <f>G477</f>
        <v>829089.03000000026</v>
      </c>
      <c r="I624" s="121" t="s">
        <v>102</v>
      </c>
      <c r="J624" s="109">
        <f t="shared" si="53"/>
        <v>0</v>
      </c>
      <c r="K624" s="109"/>
      <c r="L624" s="109"/>
      <c r="M624" s="8"/>
    </row>
    <row r="625" spans="1:13" s="3" customFormat="1" ht="12.2" customHeight="1" x14ac:dyDescent="0.15">
      <c r="A625" s="97"/>
      <c r="B625" s="105"/>
      <c r="C625" s="105"/>
      <c r="D625" s="105"/>
      <c r="E625" s="105"/>
      <c r="F625" s="120" t="s">
        <v>867</v>
      </c>
      <c r="G625" s="109">
        <f>H51</f>
        <v>21262.799999999999</v>
      </c>
      <c r="H625" s="109">
        <f>H477</f>
        <v>21262.799999999814</v>
      </c>
      <c r="I625" s="121" t="s">
        <v>103</v>
      </c>
      <c r="J625" s="109">
        <f t="shared" si="53"/>
        <v>1.8553691916167736E-10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3"/>
        <v>0</v>
      </c>
      <c r="K626" s="109"/>
      <c r="L626" s="109"/>
      <c r="M626" s="8"/>
    </row>
    <row r="627" spans="1:13" s="3" customFormat="1" ht="12.2" customHeight="1" x14ac:dyDescent="0.15">
      <c r="A627" s="22"/>
      <c r="B627" s="105"/>
      <c r="C627" s="105"/>
      <c r="D627" s="105"/>
      <c r="E627" s="105"/>
      <c r="F627" s="120" t="s">
        <v>869</v>
      </c>
      <c r="G627" s="109">
        <f>J51</f>
        <v>482125.99</v>
      </c>
      <c r="H627" s="109">
        <f>J477</f>
        <v>482125.98999999976</v>
      </c>
      <c r="I627" s="140" t="s">
        <v>105</v>
      </c>
      <c r="J627" s="109">
        <f t="shared" si="53"/>
        <v>0</v>
      </c>
      <c r="K627" s="85"/>
      <c r="L627" s="88"/>
      <c r="M627" s="8"/>
    </row>
    <row r="628" spans="1:13" s="3" customFormat="1" ht="12.2" customHeight="1" x14ac:dyDescent="0.15">
      <c r="A628" s="22"/>
      <c r="B628" s="105"/>
      <c r="C628" s="105"/>
      <c r="D628" s="105"/>
      <c r="E628" s="105"/>
      <c r="F628" s="120" t="s">
        <v>658</v>
      </c>
      <c r="G628" s="109">
        <f>F194</f>
        <v>82026292.790000007</v>
      </c>
      <c r="H628" s="104">
        <f>SUM(F469)</f>
        <v>82026292.790000007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2948836.4699999997</v>
      </c>
      <c r="H629" s="104">
        <f>SUM(G469)</f>
        <v>2948836.47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2716764.9800000004</v>
      </c>
      <c r="H630" s="104">
        <f>SUM(H469)</f>
        <v>2716764.98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826376.73</v>
      </c>
      <c r="H632" s="104">
        <f>SUM(J469)</f>
        <v>826376.73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83073287.460000008</v>
      </c>
      <c r="H633" s="104">
        <f>SUM(F473)</f>
        <v>83073287.459999993</v>
      </c>
      <c r="I633" s="140" t="s">
        <v>111</v>
      </c>
      <c r="J633" s="109">
        <f t="shared" si="53"/>
        <v>0</v>
      </c>
      <c r="K633" s="85"/>
      <c r="L633" s="88"/>
      <c r="M633" s="8"/>
    </row>
    <row r="634" spans="1:13" s="3" customFormat="1" ht="12.2" customHeight="1" x14ac:dyDescent="0.15">
      <c r="A634" s="22"/>
      <c r="B634" s="105"/>
      <c r="C634" s="105"/>
      <c r="D634" s="105"/>
      <c r="E634" s="105"/>
      <c r="F634" s="120" t="s">
        <v>395</v>
      </c>
      <c r="G634" s="109">
        <f>SUM(L353)</f>
        <v>2716335</v>
      </c>
      <c r="H634" s="104">
        <f>SUM(H473)</f>
        <v>2716335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1186382.9700000002</v>
      </c>
      <c r="H635" s="104">
        <f>I370</f>
        <v>1186382.97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2204108.2600000002</v>
      </c>
      <c r="H636" s="104">
        <f>SUM(G473)</f>
        <v>2204108.2599999998</v>
      </c>
      <c r="I636" s="140" t="s">
        <v>114</v>
      </c>
      <c r="J636" s="109">
        <f t="shared" si="53"/>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3"/>
        <v>0</v>
      </c>
      <c r="K637" s="85"/>
      <c r="L637" s="88"/>
      <c r="M637" s="8"/>
    </row>
    <row r="638" spans="1:13" s="3" customFormat="1" ht="12.2" customHeight="1" x14ac:dyDescent="0.15">
      <c r="A638" s="161"/>
      <c r="B638" s="162"/>
      <c r="C638" s="162"/>
      <c r="D638" s="162"/>
      <c r="E638" s="162"/>
      <c r="F638" s="163" t="s">
        <v>477</v>
      </c>
      <c r="G638" s="151">
        <f>SUM(L409)</f>
        <v>826376.73</v>
      </c>
      <c r="H638" s="164">
        <f>SUM(J469)</f>
        <v>826376.73</v>
      </c>
      <c r="I638" s="165" t="s">
        <v>110</v>
      </c>
      <c r="J638" s="151">
        <f t="shared" si="53"/>
        <v>0</v>
      </c>
      <c r="K638" s="166"/>
      <c r="L638" s="167"/>
      <c r="M638" s="8"/>
    </row>
    <row r="639" spans="1:13" s="3" customFormat="1" ht="12.2" customHeight="1" x14ac:dyDescent="0.15">
      <c r="A639" s="161"/>
      <c r="B639" s="162"/>
      <c r="C639" s="162"/>
      <c r="D639" s="162"/>
      <c r="E639" s="162"/>
      <c r="F639" s="163" t="s">
        <v>478</v>
      </c>
      <c r="G639" s="151">
        <f>SUM(L435)</f>
        <v>901234.30999999994</v>
      </c>
      <c r="H639" s="164">
        <f>SUM(J473)</f>
        <v>901234.31</v>
      </c>
      <c r="I639" s="165" t="s">
        <v>117</v>
      </c>
      <c r="J639" s="151">
        <f t="shared" si="53"/>
        <v>0</v>
      </c>
      <c r="K639" s="166"/>
      <c r="L639" s="167"/>
      <c r="M639" s="8"/>
    </row>
    <row r="640" spans="1:13" s="3" customFormat="1" ht="12.2" customHeight="1" x14ac:dyDescent="0.15">
      <c r="A640" s="22"/>
      <c r="B640" s="105"/>
      <c r="C640" s="105"/>
      <c r="D640" s="105"/>
      <c r="E640" s="105"/>
      <c r="F640" s="120" t="s">
        <v>118</v>
      </c>
      <c r="G640" s="109">
        <f>SUM(F447)</f>
        <v>263795.90000000002</v>
      </c>
      <c r="H640" s="104">
        <f>SUM(F462)</f>
        <v>263795.90000000002</v>
      </c>
      <c r="I640" s="140" t="s">
        <v>841</v>
      </c>
      <c r="J640" s="109">
        <f t="shared" si="53"/>
        <v>0</v>
      </c>
      <c r="K640" s="85"/>
      <c r="L640" s="88"/>
      <c r="M640" s="8"/>
    </row>
    <row r="641" spans="1:13" s="3" customFormat="1" ht="12.2" customHeight="1" x14ac:dyDescent="0.15">
      <c r="A641" s="22"/>
      <c r="B641" s="105"/>
      <c r="C641" s="105"/>
      <c r="D641" s="105"/>
      <c r="E641" s="105"/>
      <c r="F641" s="120" t="s">
        <v>119</v>
      </c>
      <c r="G641" s="109">
        <f>SUM(G447)</f>
        <v>244680.09</v>
      </c>
      <c r="H641" s="104">
        <f>SUM(G462)</f>
        <v>244680.09</v>
      </c>
      <c r="I641" s="140" t="s">
        <v>842</v>
      </c>
      <c r="J641" s="109">
        <f t="shared" si="53"/>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3"/>
        <v>0</v>
      </c>
      <c r="K642" s="85"/>
      <c r="L642" s="88"/>
      <c r="M642" s="8"/>
    </row>
    <row r="643" spans="1:13" s="3" customFormat="1" ht="12.2" customHeight="1" x14ac:dyDescent="0.15">
      <c r="A643" s="22"/>
      <c r="B643" s="105"/>
      <c r="C643" s="105"/>
      <c r="D643" s="105"/>
      <c r="E643" s="105"/>
      <c r="F643" s="120" t="s">
        <v>121</v>
      </c>
      <c r="G643" s="109">
        <f>SUM(I447)</f>
        <v>508475.99</v>
      </c>
      <c r="H643" s="104">
        <f>SUM(I462)</f>
        <v>508475.99</v>
      </c>
      <c r="I643" s="140" t="s">
        <v>844</v>
      </c>
      <c r="J643" s="109">
        <f t="shared" si="53"/>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3"/>
        <v>0</v>
      </c>
      <c r="K644" s="85"/>
      <c r="L644" s="88"/>
      <c r="M644" s="8"/>
    </row>
    <row r="645" spans="1:13" s="3" customFormat="1" ht="12.2" customHeight="1" x14ac:dyDescent="0.15">
      <c r="A645" s="22"/>
      <c r="B645" s="105"/>
      <c r="C645" s="105"/>
      <c r="D645" s="105"/>
      <c r="E645" s="105"/>
      <c r="F645" s="120" t="s">
        <v>663</v>
      </c>
      <c r="G645" s="109">
        <f>J96</f>
        <v>1376.73</v>
      </c>
      <c r="H645" s="104">
        <f>H409</f>
        <v>1376.73</v>
      </c>
      <c r="I645" s="140" t="s">
        <v>480</v>
      </c>
      <c r="J645" s="109">
        <f t="shared" si="53"/>
        <v>0</v>
      </c>
      <c r="K645" s="85"/>
      <c r="L645" s="88"/>
      <c r="M645" s="8"/>
    </row>
    <row r="646" spans="1:13" s="3" customFormat="1" ht="12.2" customHeight="1" x14ac:dyDescent="0.15">
      <c r="A646" s="22"/>
      <c r="B646" s="105"/>
      <c r="C646" s="105"/>
      <c r="D646" s="105"/>
      <c r="E646" s="105"/>
      <c r="F646" s="120" t="s">
        <v>664</v>
      </c>
      <c r="G646" s="109">
        <f>J184</f>
        <v>825000</v>
      </c>
      <c r="H646" s="104">
        <f>G409</f>
        <v>825000</v>
      </c>
      <c r="I646" s="140" t="s">
        <v>481</v>
      </c>
      <c r="J646" s="109">
        <f t="shared" si="53"/>
        <v>0</v>
      </c>
      <c r="K646" s="85"/>
      <c r="L646" s="88"/>
      <c r="M646" s="8"/>
    </row>
    <row r="647" spans="1:13" s="3" customFormat="1" ht="12.2" customHeight="1" x14ac:dyDescent="0.15">
      <c r="A647" s="22"/>
      <c r="B647" s="105"/>
      <c r="C647" s="105"/>
      <c r="D647" s="105"/>
      <c r="E647" s="105"/>
      <c r="F647" s="120" t="s">
        <v>662</v>
      </c>
      <c r="G647" s="109">
        <f>J194</f>
        <v>826376.73</v>
      </c>
      <c r="H647" s="104">
        <f>L409</f>
        <v>826376.73</v>
      </c>
      <c r="I647" s="140" t="s">
        <v>477</v>
      </c>
      <c r="J647" s="109">
        <f t="shared" si="53"/>
        <v>0</v>
      </c>
      <c r="K647" s="85"/>
      <c r="L647" s="88"/>
      <c r="M647" s="8"/>
    </row>
    <row r="648" spans="1:13" s="3" customFormat="1" ht="12.2" customHeight="1" x14ac:dyDescent="0.15">
      <c r="A648" s="22"/>
      <c r="B648" s="105"/>
      <c r="C648" s="105"/>
      <c r="D648" s="105"/>
      <c r="E648" s="105"/>
      <c r="F648" s="120" t="s">
        <v>51</v>
      </c>
      <c r="G648" s="109">
        <f>K599</f>
        <v>4920146.51</v>
      </c>
      <c r="H648" s="104">
        <f>L209+L227+L245</f>
        <v>4920146.51</v>
      </c>
      <c r="I648" s="140" t="s">
        <v>396</v>
      </c>
      <c r="J648" s="109">
        <f t="shared" si="53"/>
        <v>0</v>
      </c>
      <c r="K648" s="85"/>
      <c r="L648" s="88"/>
      <c r="M648" s="8"/>
    </row>
    <row r="649" spans="1:13" s="3" customFormat="1" ht="12.2" customHeight="1" x14ac:dyDescent="0.15">
      <c r="A649" s="22"/>
      <c r="B649" s="105"/>
      <c r="C649" s="105"/>
      <c r="D649" s="105"/>
      <c r="E649" s="105"/>
      <c r="F649" s="120" t="s">
        <v>52</v>
      </c>
      <c r="G649" s="109">
        <f>K606</f>
        <v>894521.65</v>
      </c>
      <c r="H649" s="104">
        <f>(J258+J339)-(J256+J337)</f>
        <v>894521.64999999991</v>
      </c>
      <c r="I649" s="140" t="s">
        <v>699</v>
      </c>
      <c r="J649" s="109">
        <f t="shared" si="53"/>
        <v>0</v>
      </c>
      <c r="K649" s="85"/>
      <c r="L649" s="88"/>
      <c r="M649" s="8"/>
    </row>
    <row r="650" spans="1:13" s="3" customFormat="1" ht="12.2" customHeight="1" x14ac:dyDescent="0.15">
      <c r="A650" s="22"/>
      <c r="B650" s="105"/>
      <c r="C650" s="105"/>
      <c r="D650" s="105"/>
      <c r="E650" s="105"/>
      <c r="F650" s="120" t="s">
        <v>387</v>
      </c>
      <c r="G650" s="109">
        <f>L209</f>
        <v>2445993.7000000002</v>
      </c>
      <c r="H650" s="104">
        <f>H599</f>
        <v>2445993.7000000002</v>
      </c>
      <c r="I650" s="140" t="s">
        <v>388</v>
      </c>
      <c r="J650" s="109">
        <f t="shared" si="53"/>
        <v>0</v>
      </c>
      <c r="K650" s="85"/>
      <c r="L650" s="88"/>
      <c r="M650" s="8"/>
    </row>
    <row r="651" spans="1:13" s="3" customFormat="1" ht="12.2" customHeight="1" x14ac:dyDescent="0.15">
      <c r="A651" s="22"/>
      <c r="B651" s="105"/>
      <c r="C651" s="105"/>
      <c r="D651" s="105"/>
      <c r="E651" s="105"/>
      <c r="F651" s="120" t="s">
        <v>392</v>
      </c>
      <c r="G651" s="109">
        <f>L227</f>
        <v>1102044.5499999998</v>
      </c>
      <c r="H651" s="104">
        <f>I599</f>
        <v>1102044.5499999998</v>
      </c>
      <c r="I651" s="140" t="s">
        <v>389</v>
      </c>
      <c r="J651" s="109">
        <f t="shared" si="53"/>
        <v>0</v>
      </c>
      <c r="K651" s="85"/>
      <c r="L651" s="88"/>
      <c r="M651" s="8"/>
    </row>
    <row r="652" spans="1:13" s="3" customFormat="1" ht="12.2" customHeight="1" x14ac:dyDescent="0.15">
      <c r="A652" s="22"/>
      <c r="B652" s="105"/>
      <c r="C652" s="105"/>
      <c r="D652" s="105"/>
      <c r="E652" s="105"/>
      <c r="F652" s="120" t="s">
        <v>393</v>
      </c>
      <c r="G652" s="109">
        <f>L245</f>
        <v>1372108.26</v>
      </c>
      <c r="H652" s="104">
        <f>J599</f>
        <v>1372108.2599999998</v>
      </c>
      <c r="I652" s="140" t="s">
        <v>390</v>
      </c>
      <c r="J652" s="109">
        <f t="shared" si="53"/>
        <v>0</v>
      </c>
      <c r="K652" s="85"/>
      <c r="L652" s="88"/>
      <c r="M652" s="8"/>
    </row>
    <row r="653" spans="1:13" s="3" customFormat="1" ht="12.2" customHeight="1" x14ac:dyDescent="0.15">
      <c r="A653" s="22"/>
      <c r="B653" s="105"/>
      <c r="C653" s="105"/>
      <c r="D653" s="105"/>
      <c r="E653" s="105"/>
      <c r="F653" s="120" t="s">
        <v>665</v>
      </c>
      <c r="G653" s="109">
        <f>G180+G182</f>
        <v>3066.7</v>
      </c>
      <c r="H653" s="104">
        <f>K264+K346</f>
        <v>3066.7</v>
      </c>
      <c r="I653" s="140" t="s">
        <v>397</v>
      </c>
      <c r="J653" s="109">
        <f t="shared" si="53"/>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3"/>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3"/>
        <v>0</v>
      </c>
      <c r="K655" s="85"/>
      <c r="L655" s="88"/>
      <c r="M655" s="8"/>
    </row>
    <row r="656" spans="1:13" s="3" customFormat="1" ht="12.2" customHeight="1" x14ac:dyDescent="0.15">
      <c r="A656" s="22"/>
      <c r="B656" s="105"/>
      <c r="C656" s="105"/>
      <c r="D656" s="105"/>
      <c r="E656" s="105"/>
      <c r="F656" s="120" t="s">
        <v>668</v>
      </c>
      <c r="G656" s="109">
        <f>J180+J182</f>
        <v>825000</v>
      </c>
      <c r="H656" s="104">
        <f>K267+K348</f>
        <v>825000</v>
      </c>
      <c r="I656" s="140" t="s">
        <v>400</v>
      </c>
      <c r="J656" s="109">
        <f t="shared" si="53"/>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37495176.972100012</v>
      </c>
      <c r="G661" s="19">
        <f>(L230+L310+L360)</f>
        <v>18696849.435900003</v>
      </c>
      <c r="H661" s="19">
        <f>(L248+L329+L361)</f>
        <v>28953603.762000002</v>
      </c>
      <c r="I661" s="19">
        <f>SUM(F661:H661)</f>
        <v>85145630.170000017</v>
      </c>
      <c r="J661" s="13"/>
      <c r="K661" s="13"/>
      <c r="L661" s="13"/>
      <c r="M661" s="9"/>
    </row>
    <row r="662" spans="1:13" s="3" customFormat="1" ht="12.2" customHeight="1" x14ac:dyDescent="0.2">
      <c r="A662" s="1" t="s">
        <v>127</v>
      </c>
      <c r="F662" s="19">
        <f>(L359/IF(SUM(L359:L361)=0,1,SUM(L359:L361))*(SUM(G97:G110)))</f>
        <v>165018.8787127517</v>
      </c>
      <c r="G662" s="19">
        <f>(L360/IF(SUM(L359:L361)=0,1,SUM(L359:L361))*(SUM(G97:G110)))</f>
        <v>73704.092013195637</v>
      </c>
      <c r="H662" s="19">
        <f>(L361/IF(SUM(L359:L361)=0,1,SUM(L359:L361))*(SUM(G97:G110)))</f>
        <v>113071.79927405265</v>
      </c>
      <c r="I662" s="19">
        <f>SUM(F662:H662)</f>
        <v>351794.77</v>
      </c>
      <c r="J662"/>
      <c r="K662" s="13"/>
      <c r="L662" s="13"/>
      <c r="M662" s="8"/>
    </row>
    <row r="663" spans="1:13" s="3" customFormat="1" ht="12.2" customHeight="1" x14ac:dyDescent="0.2">
      <c r="A663" s="1" t="s">
        <v>128</v>
      </c>
      <c r="F663" s="19">
        <f>(L209+L288)-(J209+J288)</f>
        <v>2462006.52</v>
      </c>
      <c r="G663" s="19">
        <f>(L227+L307)-(J227+J307)</f>
        <v>1111652.2399999998</v>
      </c>
      <c r="H663" s="19">
        <f>(L245+L326)-(J245+J326)</f>
        <v>1378513.39</v>
      </c>
      <c r="I663" s="19">
        <f>SUM(F663:H663)</f>
        <v>4952172.1499999994</v>
      </c>
      <c r="J663"/>
      <c r="K663" s="13"/>
      <c r="L663" s="13"/>
      <c r="M663" s="9"/>
    </row>
    <row r="664" spans="1:13" s="3" customFormat="1" ht="12.2" customHeight="1" x14ac:dyDescent="0.15">
      <c r="A664" s="197" t="s">
        <v>129</v>
      </c>
      <c r="B664" s="169"/>
      <c r="C664" s="169"/>
      <c r="D664" s="169"/>
      <c r="E664" s="169"/>
      <c r="F664" s="198">
        <f>SUM(F576:F588)+SUM(H603:H605)+SUM(L612)</f>
        <v>705105.48976999987</v>
      </c>
      <c r="G664" s="198">
        <f>SUM(G576:G588)+SUM(I603:I605)+L613</f>
        <v>922856.2490239999</v>
      </c>
      <c r="H664" s="198">
        <f>SUM(H576:H588)+SUM(J603:J605)+L614</f>
        <v>1647136.2784000002</v>
      </c>
      <c r="I664" s="19">
        <f>SUM(F664:H664)</f>
        <v>3275098.0171940001</v>
      </c>
      <c r="J664" s="13"/>
      <c r="K664" s="13"/>
      <c r="L664" s="13"/>
      <c r="M664" s="9"/>
    </row>
    <row r="665" spans="1:13" s="3" customFormat="1" ht="12.2" customHeight="1" x14ac:dyDescent="0.15">
      <c r="A665" s="1" t="s">
        <v>130</v>
      </c>
      <c r="F665" s="19">
        <f>F661-SUM(F662:F664)</f>
        <v>34163046.083617263</v>
      </c>
      <c r="G665" s="19">
        <f>G661-SUM(G662:G664)</f>
        <v>16588636.854862807</v>
      </c>
      <c r="H665" s="19">
        <f>H661-SUM(H662:H664)</f>
        <v>25814882.294325948</v>
      </c>
      <c r="I665" s="19">
        <f>I661-SUM(I662:I664)</f>
        <v>76566565.232806012</v>
      </c>
      <c r="J665" s="13"/>
      <c r="K665" s="13"/>
      <c r="L665" s="13"/>
      <c r="M665" s="8"/>
    </row>
    <row r="666" spans="1:13" s="3" customFormat="1" ht="12.2" customHeight="1" x14ac:dyDescent="0.2">
      <c r="A666" s="1" t="s">
        <v>131</v>
      </c>
      <c r="F666" s="245">
        <v>1658.25</v>
      </c>
      <c r="G666" s="246">
        <v>914.3</v>
      </c>
      <c r="H666" s="246">
        <v>1344.8</v>
      </c>
      <c r="I666" s="19">
        <f>SUM(F666:H666)</f>
        <v>3917.3500000000004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20601.87</v>
      </c>
      <c r="G668" s="19">
        <f>ROUND(G665/G666,2)</f>
        <v>18143.54</v>
      </c>
      <c r="H668" s="19">
        <f>ROUND(H665/H666,2)</f>
        <v>19196.080000000002</v>
      </c>
      <c r="I668" s="19">
        <f>ROUND(I665/I666,2)</f>
        <v>19545.5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-26.73</v>
      </c>
      <c r="I671" s="19">
        <f>SUM(F671:H671)</f>
        <v>-26.73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20601.87</v>
      </c>
      <c r="G673" s="19">
        <f>ROUND((G665+G670)/(G666+G671),2)</f>
        <v>18143.54</v>
      </c>
      <c r="H673" s="19">
        <f>ROUND((H665+H670)/(H666+H671),2)</f>
        <v>19585.37</v>
      </c>
      <c r="I673" s="19">
        <f>ROUND((I665+I670)/(I666+I671),2)</f>
        <v>19679.79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158265.79</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64326.03+12513.97+5630.3</f>
        <v>82470.3</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f>39108.57+9142.93+27543.99</f>
        <v>75795.490000000005</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4" t="str">
        <f>'DOE25'!A2</f>
        <v>Londonderry</v>
      </c>
      <c r="C5" s="375"/>
      <c r="D5" s="375"/>
      <c r="E5" s="375"/>
      <c r="F5" s="375"/>
    </row>
    <row r="8" spans="1:9" ht="18" x14ac:dyDescent="0.25">
      <c r="A8" s="312" t="s">
        <v>1568</v>
      </c>
      <c r="F8" s="319" t="s">
        <v>1586</v>
      </c>
    </row>
    <row r="9" spans="1:9" ht="15" x14ac:dyDescent="0.2">
      <c r="A9" s="310" t="s">
        <v>1569</v>
      </c>
      <c r="B9" s="313">
        <f>'DOE25'!G97</f>
        <v>323484.2</v>
      </c>
      <c r="F9" s="310" t="s">
        <v>1582</v>
      </c>
    </row>
    <row r="10" spans="1:9" ht="15" x14ac:dyDescent="0.2">
      <c r="A10" s="310" t="s">
        <v>1570</v>
      </c>
      <c r="B10" s="313">
        <f>'DOE25'!G112-'DOE25'!G97</f>
        <v>28313.210000000021</v>
      </c>
      <c r="F10" s="310" t="s">
        <v>1583</v>
      </c>
    </row>
    <row r="11" spans="1:9" ht="15" x14ac:dyDescent="0.2">
      <c r="A11" s="310" t="s">
        <v>1571</v>
      </c>
      <c r="B11" s="313">
        <f>'DOE25'!G140</f>
        <v>57678.2</v>
      </c>
      <c r="F11" s="310" t="s">
        <v>1584</v>
      </c>
    </row>
    <row r="12" spans="1:9" ht="15" x14ac:dyDescent="0.2">
      <c r="A12" s="310" t="s">
        <v>1572</v>
      </c>
      <c r="B12" s="313">
        <f>'DOE25'!G170</f>
        <v>2536294.1599999997</v>
      </c>
      <c r="F12" s="310" t="s">
        <v>1585</v>
      </c>
    </row>
    <row r="13" spans="1:9" ht="15" x14ac:dyDescent="0.2">
      <c r="A13" s="310" t="s">
        <v>1573</v>
      </c>
      <c r="B13" s="313">
        <f>'DOE25'!G193-'DOE25'!G180</f>
        <v>1579.9999999999998</v>
      </c>
      <c r="F13" s="310" t="s">
        <v>1595</v>
      </c>
    </row>
    <row r="14" spans="1:9" ht="18" x14ac:dyDescent="0.25">
      <c r="A14" s="312" t="s">
        <v>732</v>
      </c>
      <c r="B14" s="314">
        <f>SUM(B9:B13)</f>
        <v>2947349.7699999996</v>
      </c>
    </row>
    <row r="16" spans="1:9" ht="18" x14ac:dyDescent="0.25">
      <c r="A16" s="312" t="s">
        <v>786</v>
      </c>
      <c r="F16" s="319" t="s">
        <v>1587</v>
      </c>
    </row>
    <row r="17" spans="1:6" ht="15" x14ac:dyDescent="0.2">
      <c r="A17" s="310" t="s">
        <v>1574</v>
      </c>
      <c r="B17" s="313">
        <f>'DOE25'!L363-'DOE25'!L362</f>
        <v>2204108.2600000002</v>
      </c>
      <c r="F17" s="310" t="s">
        <v>1588</v>
      </c>
    </row>
    <row r="18" spans="1:6" ht="15" x14ac:dyDescent="0.2">
      <c r="A18" s="310" t="s">
        <v>1575</v>
      </c>
      <c r="B18" s="323"/>
      <c r="F18" s="319" t="s">
        <v>1612</v>
      </c>
    </row>
    <row r="19" spans="1:6" ht="18" x14ac:dyDescent="0.25">
      <c r="A19" s="312" t="s">
        <v>725</v>
      </c>
      <c r="B19" s="314">
        <f>SUM(B17:B18)</f>
        <v>2204108.2600000002</v>
      </c>
    </row>
    <row r="21" spans="1:6" ht="18.75" thickBot="1" x14ac:dyDescent="0.3">
      <c r="A21" s="312" t="s">
        <v>1576</v>
      </c>
    </row>
    <row r="22" spans="1:6" ht="18.75" thickTop="1" x14ac:dyDescent="0.25">
      <c r="A22" s="312" t="s">
        <v>1577</v>
      </c>
      <c r="B22" s="318">
        <f>B14-B19</f>
        <v>743241.50999999931</v>
      </c>
      <c r="F22" s="310" t="s">
        <v>1589</v>
      </c>
    </row>
    <row r="26" spans="1:6" ht="18" x14ac:dyDescent="0.25">
      <c r="A26" s="312" t="s">
        <v>186</v>
      </c>
    </row>
    <row r="27" spans="1:6" ht="15" x14ac:dyDescent="0.2">
      <c r="A27" s="310" t="s">
        <v>1578</v>
      </c>
      <c r="B27" s="313">
        <f>'DOE25'!G180</f>
        <v>1486.7</v>
      </c>
      <c r="F27" s="310" t="s">
        <v>1590</v>
      </c>
    </row>
    <row r="28" spans="1:6" ht="15" x14ac:dyDescent="0.2">
      <c r="A28" s="310" t="s">
        <v>1580</v>
      </c>
      <c r="B28" s="313">
        <f>'DOE25'!L362</f>
        <v>0</v>
      </c>
      <c r="F28" s="310" t="s">
        <v>1591</v>
      </c>
    </row>
    <row r="31" spans="1:6" ht="15" x14ac:dyDescent="0.2">
      <c r="A31" s="310" t="s">
        <v>1634</v>
      </c>
      <c r="B31" s="313">
        <f>'DOE25'!G466</f>
        <v>84360.82</v>
      </c>
      <c r="F31" s="310" t="s">
        <v>1592</v>
      </c>
    </row>
    <row r="33" spans="1:6" ht="15" x14ac:dyDescent="0.2">
      <c r="A33" s="310" t="s">
        <v>1635</v>
      </c>
      <c r="B33" s="313">
        <f>'DOE25'!G477</f>
        <v>829089.03000000026</v>
      </c>
      <c r="F33" s="310" t="s">
        <v>1593</v>
      </c>
    </row>
    <row r="36" spans="1:6" ht="15" x14ac:dyDescent="0.2">
      <c r="A36" s="310" t="s">
        <v>1579</v>
      </c>
      <c r="B36" s="324" t="s">
        <v>1810</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9" sqref="C39"/>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Londonderry</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19985098.949999999</v>
      </c>
      <c r="C9" s="228">
        <f>'DOE25'!G198+'DOE25'!G216+'DOE25'!G234+'DOE25'!G277+'DOE25'!G296+'DOE25'!G315</f>
        <v>11171012.27</v>
      </c>
    </row>
    <row r="10" spans="1:3" x14ac:dyDescent="0.2">
      <c r="A10" t="s">
        <v>775</v>
      </c>
      <c r="B10" s="239">
        <v>19586005.5</v>
      </c>
      <c r="C10" s="239">
        <v>10948577.07</v>
      </c>
    </row>
    <row r="11" spans="1:3" x14ac:dyDescent="0.2">
      <c r="A11" t="s">
        <v>776</v>
      </c>
      <c r="B11" s="239">
        <v>399093.45</v>
      </c>
      <c r="C11" s="239">
        <v>222435.20000000001</v>
      </c>
    </row>
    <row r="12" spans="1:3" x14ac:dyDescent="0.2">
      <c r="A12" t="s">
        <v>777</v>
      </c>
      <c r="B12" s="239"/>
      <c r="C12" s="239"/>
    </row>
    <row r="13" spans="1:3" x14ac:dyDescent="0.2">
      <c r="A13" t="str">
        <f>IF(B9=B13,IF(C9=C13,"Check Total OK","Check Total Error"),"Check Total Error")</f>
        <v>Check Total OK</v>
      </c>
      <c r="B13" s="230">
        <f>SUM(B10:B12)</f>
        <v>19985098.949999999</v>
      </c>
      <c r="C13" s="230">
        <f>SUM(C10:C12)</f>
        <v>11171012.27</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9095903.3899999987</v>
      </c>
      <c r="C18" s="228">
        <f>'DOE25'!G199+'DOE25'!G217+'DOE25'!G235+'DOE25'!G278+'DOE25'!G297+'DOE25'!G316</f>
        <v>5047431</v>
      </c>
    </row>
    <row r="19" spans="1:3" x14ac:dyDescent="0.2">
      <c r="A19" t="s">
        <v>775</v>
      </c>
      <c r="B19" s="239">
        <v>5858372.1200000001</v>
      </c>
      <c r="C19" s="239">
        <v>3250924.9</v>
      </c>
    </row>
    <row r="20" spans="1:3" x14ac:dyDescent="0.2">
      <c r="A20" t="s">
        <v>776</v>
      </c>
      <c r="B20" s="239">
        <v>2531175.33</v>
      </c>
      <c r="C20" s="239">
        <v>1404549.19</v>
      </c>
    </row>
    <row r="21" spans="1:3" x14ac:dyDescent="0.2">
      <c r="A21" t="s">
        <v>777</v>
      </c>
      <c r="B21" s="239">
        <f>640160.28+34597.49+31598.17</f>
        <v>706355.94000000006</v>
      </c>
      <c r="C21" s="239">
        <v>391956.91</v>
      </c>
    </row>
    <row r="22" spans="1:3" x14ac:dyDescent="0.2">
      <c r="A22" t="str">
        <f>IF(B18=B22,IF(C18=C22,"Check Total OK","Check Total Error"),"Check Total Error")</f>
        <v>Check Total OK</v>
      </c>
      <c r="B22" s="230">
        <f>SUM(B19:B21)</f>
        <v>9095903.3899999987</v>
      </c>
      <c r="C22" s="230">
        <f>SUM(C19:C21)</f>
        <v>5047431</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1252451.43</v>
      </c>
      <c r="C36" s="234">
        <f>'DOE25'!G201+'DOE25'!G219+'DOE25'!G237+'DOE25'!G280+'DOE25'!G299+'DOE25'!G318</f>
        <v>694077.72</v>
      </c>
    </row>
    <row r="37" spans="1:3" x14ac:dyDescent="0.2">
      <c r="A37" t="s">
        <v>775</v>
      </c>
      <c r="B37" s="239">
        <v>232440</v>
      </c>
      <c r="C37" s="239">
        <v>128818.25</v>
      </c>
    </row>
    <row r="38" spans="1:3" x14ac:dyDescent="0.2">
      <c r="A38" t="s">
        <v>776</v>
      </c>
      <c r="B38" s="239">
        <v>176299.01</v>
      </c>
      <c r="C38" s="239">
        <v>97674.05</v>
      </c>
    </row>
    <row r="39" spans="1:3" x14ac:dyDescent="0.2">
      <c r="A39" t="s">
        <v>777</v>
      </c>
      <c r="B39" s="239">
        <v>843712.42</v>
      </c>
      <c r="C39" s="239">
        <v>467585.42</v>
      </c>
    </row>
    <row r="40" spans="1:3" x14ac:dyDescent="0.2">
      <c r="A40" t="str">
        <f>IF(B36=B40,IF(C36=C40,"Check Total OK","Check Total Error"),"Check Total Error")</f>
        <v>Check Total OK</v>
      </c>
      <c r="B40" s="230">
        <f>SUM(B37:B39)</f>
        <v>1252451.4300000002</v>
      </c>
      <c r="C40" s="230">
        <f>SUM(C37:C39)</f>
        <v>694077.72</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V26" sqref="V2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Londonderry</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49556429.620000005</v>
      </c>
      <c r="D5" s="20">
        <f>SUM('DOE25'!L198:L201)+SUM('DOE25'!L216:L219)+SUM('DOE25'!L234:L237)-F5-G5-H5</f>
        <v>49375317.220000006</v>
      </c>
      <c r="E5" s="242"/>
      <c r="F5" s="243"/>
      <c r="G5" s="53">
        <f>SUM('DOE25'!J198:J201)+SUM('DOE25'!J216:J219)+SUM('DOE25'!J234:J237)</f>
        <v>134994.72</v>
      </c>
      <c r="H5" s="53">
        <f>SUM('DOE25'!K198:K201)+SUM('DOE25'!K216:K219)+SUM('DOE25'!K234:K237)</f>
        <v>46117.68</v>
      </c>
      <c r="I5" s="255"/>
    </row>
    <row r="6" spans="1:9" x14ac:dyDescent="0.2">
      <c r="A6" s="32">
        <v>2100</v>
      </c>
      <c r="B6" t="s">
        <v>796</v>
      </c>
      <c r="C6" s="274">
        <f t="shared" si="0"/>
        <v>7366392.1500000004</v>
      </c>
      <c r="D6" s="20">
        <f>'DOE25'!L203+'DOE25'!L221+'DOE25'!L239-F6-G6-H6</f>
        <v>7366017.1500000004</v>
      </c>
      <c r="E6" s="242"/>
      <c r="F6" s="243"/>
      <c r="G6" s="53">
        <f>'DOE25'!J203+'DOE25'!J221+'DOE25'!J239</f>
        <v>0</v>
      </c>
      <c r="H6" s="53">
        <f>'DOE25'!K203+'DOE25'!K221+'DOE25'!K239</f>
        <v>375</v>
      </c>
      <c r="I6" s="255"/>
    </row>
    <row r="7" spans="1:9" x14ac:dyDescent="0.2">
      <c r="A7" s="32">
        <v>2200</v>
      </c>
      <c r="B7" t="s">
        <v>821</v>
      </c>
      <c r="C7" s="274">
        <f t="shared" si="0"/>
        <v>1748986.24</v>
      </c>
      <c r="D7" s="20">
        <f>'DOE25'!L204+'DOE25'!L222+'DOE25'!L240-F7-G7-H7</f>
        <v>1748478.24</v>
      </c>
      <c r="E7" s="242"/>
      <c r="F7" s="243"/>
      <c r="G7" s="53">
        <f>'DOE25'!J204+'DOE25'!J222+'DOE25'!J240</f>
        <v>0</v>
      </c>
      <c r="H7" s="53">
        <f>'DOE25'!K204+'DOE25'!K222+'DOE25'!K240</f>
        <v>508</v>
      </c>
      <c r="I7" s="255"/>
    </row>
    <row r="8" spans="1:9" x14ac:dyDescent="0.2">
      <c r="A8" s="32">
        <v>2300</v>
      </c>
      <c r="B8" t="s">
        <v>797</v>
      </c>
      <c r="C8" s="274">
        <f t="shared" si="0"/>
        <v>1543789.86</v>
      </c>
      <c r="D8" s="242"/>
      <c r="E8" s="20">
        <f>'DOE25'!L205+'DOE25'!L223+'DOE25'!L241-F8-G8-H8-D9-D11</f>
        <v>1519676.85</v>
      </c>
      <c r="F8" s="243"/>
      <c r="G8" s="53">
        <f>'DOE25'!J205+'DOE25'!J223+'DOE25'!J241</f>
        <v>3562.6000000000004</v>
      </c>
      <c r="H8" s="53">
        <f>'DOE25'!K205+'DOE25'!K223+'DOE25'!K241</f>
        <v>20550.41</v>
      </c>
      <c r="I8" s="255"/>
    </row>
    <row r="9" spans="1:9" ht="14.25" x14ac:dyDescent="0.2">
      <c r="A9" s="32">
        <v>2310</v>
      </c>
      <c r="B9" s="184" t="s">
        <v>888</v>
      </c>
      <c r="C9" s="274">
        <f t="shared" si="0"/>
        <v>0</v>
      </c>
      <c r="D9" s="243"/>
      <c r="E9" s="242"/>
      <c r="F9" s="252"/>
      <c r="G9" s="252"/>
      <c r="H9" s="252"/>
      <c r="I9" s="255"/>
    </row>
    <row r="10" spans="1:9" ht="14.25" x14ac:dyDescent="0.2">
      <c r="A10" s="32">
        <v>2317</v>
      </c>
      <c r="B10" s="184" t="s">
        <v>889</v>
      </c>
      <c r="C10" s="274">
        <f t="shared" si="0"/>
        <v>0</v>
      </c>
      <c r="D10" s="242"/>
      <c r="E10" s="243"/>
      <c r="F10" s="252"/>
      <c r="G10" s="252"/>
      <c r="H10" s="252"/>
      <c r="I10" s="255"/>
    </row>
    <row r="11" spans="1:9" ht="14.25" x14ac:dyDescent="0.2">
      <c r="A11" s="32">
        <v>2321</v>
      </c>
      <c r="B11" s="184" t="s">
        <v>890</v>
      </c>
      <c r="C11" s="274">
        <f t="shared" si="0"/>
        <v>0</v>
      </c>
      <c r="D11" s="243"/>
      <c r="E11" s="242"/>
      <c r="F11" s="252"/>
      <c r="G11" s="252"/>
      <c r="H11" s="252"/>
      <c r="I11" s="255"/>
    </row>
    <row r="12" spans="1:9" x14ac:dyDescent="0.2">
      <c r="A12" s="32">
        <v>2400</v>
      </c>
      <c r="B12" t="s">
        <v>711</v>
      </c>
      <c r="C12" s="274">
        <f t="shared" si="0"/>
        <v>4130189.67</v>
      </c>
      <c r="D12" s="20">
        <f>'DOE25'!L206+'DOE25'!L224+'DOE25'!L242-F12-G12-H12</f>
        <v>4119280.7199999997</v>
      </c>
      <c r="E12" s="242"/>
      <c r="F12" s="243"/>
      <c r="G12" s="53">
        <f>'DOE25'!J206+'DOE25'!J224+'DOE25'!J242</f>
        <v>0</v>
      </c>
      <c r="H12" s="53">
        <f>'DOE25'!K206+'DOE25'!K224+'DOE25'!K242</f>
        <v>10908.95</v>
      </c>
      <c r="I12" s="255"/>
    </row>
    <row r="13" spans="1:9" x14ac:dyDescent="0.2">
      <c r="A13" s="32">
        <v>2500</v>
      </c>
      <c r="B13" t="s">
        <v>798</v>
      </c>
      <c r="C13" s="274">
        <f t="shared" si="0"/>
        <v>1287301.42</v>
      </c>
      <c r="D13" s="242"/>
      <c r="E13" s="20">
        <f>'DOE25'!L207+'DOE25'!L225+'DOE25'!L243-F13-G13-H13</f>
        <v>1287301.42</v>
      </c>
      <c r="F13" s="243"/>
      <c r="G13" s="53">
        <f>'DOE25'!J207+'DOE25'!J225+'DOE25'!J243</f>
        <v>0</v>
      </c>
      <c r="H13" s="53">
        <f>'DOE25'!K207+'DOE25'!K225+'DOE25'!K243</f>
        <v>0</v>
      </c>
      <c r="I13" s="255"/>
    </row>
    <row r="14" spans="1:9" x14ac:dyDescent="0.2">
      <c r="A14" s="32">
        <v>2600</v>
      </c>
      <c r="B14" t="s">
        <v>819</v>
      </c>
      <c r="C14" s="274">
        <f t="shared" si="0"/>
        <v>7936599.46</v>
      </c>
      <c r="D14" s="20">
        <f>'DOE25'!L208+'DOE25'!L226+'DOE25'!L244-F14-G14-H14</f>
        <v>7797323.1699999999</v>
      </c>
      <c r="E14" s="242"/>
      <c r="F14" s="243"/>
      <c r="G14" s="53">
        <f>'DOE25'!J208+'DOE25'!J226+'DOE25'!J244</f>
        <v>139126.29</v>
      </c>
      <c r="H14" s="53">
        <f>'DOE25'!K208+'DOE25'!K226+'DOE25'!K244</f>
        <v>150</v>
      </c>
      <c r="I14" s="255"/>
    </row>
    <row r="15" spans="1:9" x14ac:dyDescent="0.2">
      <c r="A15" s="32">
        <v>2700</v>
      </c>
      <c r="B15" t="s">
        <v>799</v>
      </c>
      <c r="C15" s="274">
        <f t="shared" si="0"/>
        <v>4920146.51</v>
      </c>
      <c r="D15" s="20">
        <f>'DOE25'!L209+'DOE25'!L227+'DOE25'!L245-F15-G15-H15</f>
        <v>4920146.51</v>
      </c>
      <c r="E15" s="242"/>
      <c r="F15" s="243"/>
      <c r="G15" s="53">
        <f>'DOE25'!J209+'DOE25'!J227+'DOE25'!J245</f>
        <v>0</v>
      </c>
      <c r="H15" s="53">
        <f>'DOE25'!K209+'DOE25'!K227+'DOE25'!K245</f>
        <v>0</v>
      </c>
      <c r="I15" s="255"/>
    </row>
    <row r="16" spans="1:9" x14ac:dyDescent="0.2">
      <c r="A16" s="32">
        <v>2800</v>
      </c>
      <c r="B16" t="s">
        <v>800</v>
      </c>
      <c r="C16" s="274">
        <f t="shared" si="0"/>
        <v>1774747.96</v>
      </c>
      <c r="D16" s="242"/>
      <c r="E16" s="20">
        <f>'DOE25'!L210+'DOE25'!L228+'DOE25'!L246-F16-G16-H16</f>
        <v>1405058.66</v>
      </c>
      <c r="F16" s="243"/>
      <c r="G16" s="53">
        <f>'DOE25'!J210+'DOE25'!J228+'DOE25'!J246</f>
        <v>369689.3</v>
      </c>
      <c r="H16" s="53">
        <f>'DOE25'!K210+'DOE25'!K228+'DOE25'!K246</f>
        <v>0</v>
      </c>
      <c r="I16" s="255"/>
    </row>
    <row r="17" spans="1:9" x14ac:dyDescent="0.2">
      <c r="A17" s="32">
        <v>1600</v>
      </c>
      <c r="B17" t="s">
        <v>801</v>
      </c>
      <c r="C17" s="274">
        <f t="shared" si="0"/>
        <v>75614.240000000005</v>
      </c>
      <c r="D17" s="20">
        <f>'DOE25'!L252-F17-G17-H17</f>
        <v>75614.240000000005</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1906603.63</v>
      </c>
      <c r="D25" s="242"/>
      <c r="E25" s="242"/>
      <c r="F25" s="254"/>
      <c r="G25" s="252"/>
      <c r="H25" s="252"/>
      <c r="I25" s="253">
        <f>'DOE25'!L261+'DOE25'!L262+'DOE25'!L342+'DOE25'!L343</f>
        <v>1906603.63</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1247909.7200000002</v>
      </c>
      <c r="D29" s="282">
        <f>'DOE25'!L359+'DOE25'!L360+'DOE25'!L361-'DOE25'!I368-F29-G29-H29</f>
        <v>969796.4700000002</v>
      </c>
      <c r="E29" s="242"/>
      <c r="F29" s="243"/>
      <c r="G29" s="53">
        <f>'DOE25'!J359+'DOE25'!J360+'DOE25'!J361</f>
        <v>247810.94999999995</v>
      </c>
      <c r="H29" s="53">
        <f>'DOE25'!K359+'DOE25'!K360+'DOE25'!K361</f>
        <v>30302.3</v>
      </c>
      <c r="I29" s="255"/>
    </row>
    <row r="30" spans="1:9" x14ac:dyDescent="0.2">
      <c r="A30" s="32"/>
      <c r="C30" s="275"/>
      <c r="D30" s="20"/>
      <c r="E30" s="279"/>
      <c r="F30" s="269"/>
      <c r="G30" s="53"/>
      <c r="H30" s="53"/>
      <c r="I30" s="255"/>
    </row>
    <row r="31" spans="1:9" x14ac:dyDescent="0.2">
      <c r="A31" s="32" t="s">
        <v>818</v>
      </c>
      <c r="B31" t="s">
        <v>817</v>
      </c>
      <c r="C31" s="274">
        <f>SUM(D31:I31)</f>
        <v>2714755</v>
      </c>
      <c r="D31" s="20">
        <f>'DOE25'!L291+'DOE25'!L310+'DOE25'!L329+'DOE25'!L334+'DOE25'!L335+'DOE25'!L336-F31-G31-H31</f>
        <v>2467606.2599999998</v>
      </c>
      <c r="E31" s="242"/>
      <c r="F31" s="243"/>
      <c r="G31" s="53">
        <f>'DOE25'!J291+'DOE25'!J310+'DOE25'!J329+'DOE25'!J334+'DOE25'!J335+'DOE25'!J336</f>
        <v>247148.74</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78839579.980000004</v>
      </c>
      <c r="E33" s="244">
        <f t="shared" si="1"/>
        <v>4212036.93</v>
      </c>
      <c r="F33" s="244">
        <f t="shared" si="1"/>
        <v>0</v>
      </c>
      <c r="G33" s="244">
        <f t="shared" si="1"/>
        <v>1142332.5999999999</v>
      </c>
      <c r="H33" s="244">
        <f t="shared" si="1"/>
        <v>108912.34</v>
      </c>
      <c r="I33" s="244">
        <f t="shared" si="1"/>
        <v>1906603.63</v>
      </c>
    </row>
    <row r="35" spans="1:9" ht="12" thickBot="1" x14ac:dyDescent="0.25">
      <c r="B35" s="250" t="s">
        <v>831</v>
      </c>
      <c r="D35" s="251">
        <f>E33</f>
        <v>4212036.93</v>
      </c>
      <c r="E35" s="247"/>
      <c r="F35" s="328" t="s">
        <v>1617</v>
      </c>
      <c r="G35" s="329"/>
      <c r="H35" s="329"/>
      <c r="I35" s="329"/>
    </row>
    <row r="36" spans="1:9" ht="12" thickTop="1" x14ac:dyDescent="0.2">
      <c r="B36" t="s">
        <v>810</v>
      </c>
      <c r="D36" s="20">
        <f>D33</f>
        <v>78839579.980000004</v>
      </c>
      <c r="F36" s="331" t="s">
        <v>1614</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N</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Londonderry</v>
      </c>
      <c r="B2" s="126">
        <f>'DOE25'!B2</f>
        <v>319</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36461280.210000001</v>
      </c>
      <c r="G4" s="299">
        <f>'DOE25'!L212+'DOE25'!L291</f>
        <v>36461280.210000008</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234957.09</v>
      </c>
      <c r="E5" s="290"/>
      <c r="F5" s="303">
        <f>D5+E5</f>
        <v>234957.09</v>
      </c>
      <c r="G5" s="293"/>
      <c r="H5" s="293"/>
      <c r="I5" s="384"/>
      <c r="N5"/>
    </row>
    <row r="6" spans="1:18" x14ac:dyDescent="0.2">
      <c r="A6" s="126" t="str" cm="1">
        <f t="array" ref="A6">IFERROR(INDEX('School Tables'!$A$4:$G$325,'School Tables'!$J4,3),"")</f>
        <v>Matthew Thornton Elementary School</v>
      </c>
      <c r="B6" s="300">
        <f>IFERROR(VLOOKUP(A6,'School Tables'!$C$3:$D$365,2,FALSE),"")</f>
        <v>20485</v>
      </c>
      <c r="C6" s="293" t="str">
        <f>IFERROR(INDEX('School Tables'!$B$3:$B$365,MATCH('School Level Expenditures'!B6,'School Tables'!$D$3:$D$365,0)),"")</f>
        <v>Londonderry</v>
      </c>
      <c r="D6" s="290">
        <f>313860.87+4658585.72+3122050.98+1309825.84+831862.72</f>
        <v>10236186.130000001</v>
      </c>
      <c r="E6" s="290">
        <f>141092.59+30048.14+4249.56+47672.61+60137.38</f>
        <v>283200.27999999997</v>
      </c>
      <c r="F6" s="303">
        <f t="shared" ref="F6:F20" si="0">D6+E6</f>
        <v>10519386.41</v>
      </c>
      <c r="G6" s="293"/>
      <c r="H6" s="293"/>
      <c r="I6" s="384"/>
      <c r="N6"/>
    </row>
    <row r="7" spans="1:18" x14ac:dyDescent="0.2">
      <c r="A7" s="126" t="str" cm="1">
        <f t="array" ref="A7">IFERROR(INDEX('School Tables'!$A$4:$G$325,'School Tables'!$J5,3),"")</f>
        <v>Moose Hill School</v>
      </c>
      <c r="B7" s="300">
        <f>IFERROR(VLOOKUP(A7,'School Tables'!$C$3:$D$365,2,FALSE),"")</f>
        <v>27905</v>
      </c>
      <c r="C7" s="293" t="str">
        <f>IFERROR(INDEX('School Tables'!$B$3:$B$365,MATCH('School Level Expenditures'!B7,'School Tables'!$D$3:$D$365,0)),"")</f>
        <v>Londonderry</v>
      </c>
      <c r="D7" s="290">
        <f>267552.6+2797084.29+1722510.89+722662.53+396170.02</f>
        <v>5905980.3300000001</v>
      </c>
      <c r="E7" s="290">
        <f>297265.37+30048.14+4249.56+60137.38</f>
        <v>391700.45</v>
      </c>
      <c r="F7" s="303">
        <f t="shared" si="0"/>
        <v>6297680.7800000003</v>
      </c>
      <c r="G7" s="293"/>
      <c r="H7" s="293"/>
      <c r="I7" s="341"/>
      <c r="N7"/>
    </row>
    <row r="8" spans="1:18" x14ac:dyDescent="0.2">
      <c r="A8" s="126" t="str" cm="1">
        <f t="array" ref="A8">IFERROR(INDEX('School Tables'!$A$4:$G$325,'School Tables'!$J6,3),"")</f>
        <v>North Londonderry Elementary School</v>
      </c>
      <c r="B8" s="300">
        <f>IFERROR(VLOOKUP(A8,'School Tables'!$C$3:$D$365,2,FALSE),"")</f>
        <v>20470</v>
      </c>
      <c r="C8" s="293" t="str">
        <f>IFERROR(INDEX('School Tables'!$B$3:$B$365,MATCH('School Level Expenditures'!B8,'School Tables'!$D$3:$D$365,0)),"")</f>
        <v>Londonderry</v>
      </c>
      <c r="D8" s="290">
        <f>33339.36+4174174.68+2906737.12+1219493.02+636082.56</f>
        <v>8969826.7400000002</v>
      </c>
      <c r="E8" s="290">
        <f>76857.54+30048.13+4249.56+47672.61+60137.38</f>
        <v>218965.22</v>
      </c>
      <c r="F8" s="303">
        <f t="shared" si="0"/>
        <v>9188791.9600000009</v>
      </c>
      <c r="G8" s="293"/>
      <c r="H8" s="293"/>
      <c r="I8" s="341"/>
      <c r="N8"/>
    </row>
    <row r="9" spans="1:18" x14ac:dyDescent="0.2">
      <c r="A9" s="126" t="str" cm="1">
        <f t="array" ref="A9">IFERROR(INDEX('School Tables'!$A$4:$G$325,'School Tables'!$J7,3),"")</f>
        <v>South Londonderry Elementary School</v>
      </c>
      <c r="B9" s="300">
        <f>IFERROR(VLOOKUP(A9,'School Tables'!$C$3:$D$365,2,FALSE),"")</f>
        <v>20475</v>
      </c>
      <c r="C9" s="293" t="str">
        <f>IFERROR(INDEX('School Tables'!$B$3:$B$365,MATCH('School Level Expenditures'!B9,'School Tables'!$D$3:$D$365,0)),"")</f>
        <v>Londonderry</v>
      </c>
      <c r="D9" s="290">
        <f>745638.97+3873349.64+3014394.06+1264659.41+728326.73</f>
        <v>9626368.8100000005</v>
      </c>
      <c r="E9" s="290">
        <f>451987.47+30048.13+4249.57+47672.6+60137.39</f>
        <v>594095.16</v>
      </c>
      <c r="F9" s="303">
        <f t="shared" si="0"/>
        <v>10220463.970000001</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34973319.100000001</v>
      </c>
      <c r="E21" s="338">
        <f>SUM(E5:E20)</f>
        <v>1487961.1099999999</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18235069.41</v>
      </c>
      <c r="G24" s="299">
        <f>'DOE25'!L230+'DOE25'!L310</f>
        <v>18235069.410000004</v>
      </c>
      <c r="H24" s="340">
        <f>F24-G24</f>
        <v>0</v>
      </c>
      <c r="I24" s="383" t="str">
        <f>IF(H24=0,"","ISSUES!! Please review page 8 and 12 totals in comparison with total on this page")</f>
        <v/>
      </c>
      <c r="N24"/>
    </row>
    <row r="25" spans="1:14" x14ac:dyDescent="0.2">
      <c r="A25" s="126" t="s">
        <v>1548</v>
      </c>
      <c r="B25" s="300">
        <v>99999</v>
      </c>
      <c r="C25" s="293" t="s">
        <v>1548</v>
      </c>
      <c r="D25" s="290">
        <v>731019.45</v>
      </c>
      <c r="E25" s="290"/>
      <c r="F25" s="303">
        <f>D25+E25</f>
        <v>731019.45</v>
      </c>
      <c r="G25" s="293"/>
      <c r="H25" s="293"/>
      <c r="I25" s="384"/>
      <c r="N25"/>
    </row>
    <row r="26" spans="1:14" x14ac:dyDescent="0.2">
      <c r="A26" s="126" t="str" cm="1">
        <f t="array" ref="A26">IFERROR(INDEX('School Tables'!$L$4:$R$75,'School Tables'!$U4,3),"")</f>
        <v>Londonderry Middle School</v>
      </c>
      <c r="B26" s="300">
        <f>IFERROR(VLOOKUP(A26,'School Tables'!$N$4:$O$75,2,FALSE),"")</f>
        <v>20480</v>
      </c>
      <c r="C26" s="293" t="str">
        <f>IFERROR(INDEX('School Tables'!$M$4:$M$75,MATCH('School Level Expenditures'!A26,'School Tables'!$N$4:$N$75,0)),"")</f>
        <v>Londonderry</v>
      </c>
      <c r="D26" s="290">
        <v>17107242.82</v>
      </c>
      <c r="E26" s="290">
        <v>396807.14</v>
      </c>
      <c r="F26" s="303">
        <f t="shared" ref="F26:F32" si="1">D26+E26</f>
        <v>17504049.960000001</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17838262.27</v>
      </c>
      <c r="E33" s="338">
        <f>SUM(E25:E32)</f>
        <v>396807.14</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28245172.289999999</v>
      </c>
      <c r="G36" s="299">
        <f>'DOE25'!L248+'DOE25'!L329</f>
        <v>28245172.290000003</v>
      </c>
      <c r="H36" s="340">
        <f>F36-G36</f>
        <v>0</v>
      </c>
      <c r="I36" s="383" t="str">
        <f>IF(H36=0,"","ISSUES!! Please review page 9 and 13 totals in comparison with total on this page")</f>
        <v/>
      </c>
      <c r="N36"/>
    </row>
    <row r="37" spans="1:14" x14ac:dyDescent="0.2">
      <c r="A37" s="126" t="s">
        <v>1548</v>
      </c>
      <c r="B37" s="300">
        <v>99999</v>
      </c>
      <c r="C37" s="293" t="s">
        <v>1548</v>
      </c>
      <c r="D37" s="290">
        <f>10049.04+992465.42+154193.6</f>
        <v>1156708.06</v>
      </c>
      <c r="E37" s="290"/>
      <c r="F37" s="303">
        <f t="shared" ref="F37:F42" si="2">D37+E37</f>
        <v>1156708.06</v>
      </c>
      <c r="G37" s="293"/>
      <c r="H37" s="293"/>
      <c r="I37" s="384"/>
      <c r="N37"/>
    </row>
    <row r="38" spans="1:14" x14ac:dyDescent="0.2">
      <c r="A38" s="126" t="str" cm="1">
        <f t="array" ref="A38">IFERROR(INDEX('School Tables'!$W$4:$AC$100,'School Tables'!$AF4,3),"")</f>
        <v>Londonderry Senior High School</v>
      </c>
      <c r="B38" s="300">
        <f>IFERROR(VLOOKUP(A38,'School Tables'!$Y$4:$Z$100,2,FALSE),"")</f>
        <v>20490</v>
      </c>
      <c r="C38" s="293" t="str">
        <f>IFERROR(INDEX('School Tables'!$X$4:$X$100,MATCH('School Level Expenditures'!A38,'School Tables'!$Y$4:$Y$100,0)),"")</f>
        <v>Londonderry</v>
      </c>
      <c r="D38" s="290">
        <v>26296293.460000001</v>
      </c>
      <c r="E38" s="290">
        <v>792170.77</v>
      </c>
      <c r="F38" s="303">
        <f t="shared" si="2"/>
        <v>27088464.23</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27453001.52</v>
      </c>
      <c r="E43" s="339">
        <f>SUM(E37:E42)</f>
        <v>792170.77</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C141" sqref="C14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Londonderry</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2815904.64</v>
      </c>
      <c r="D8" s="95">
        <f>'DOE25'!G9</f>
        <v>5900</v>
      </c>
      <c r="E8" s="95">
        <f>'DOE25'!H9</f>
        <v>0</v>
      </c>
      <c r="F8" s="95">
        <f>'DOE25'!I9</f>
        <v>0</v>
      </c>
      <c r="G8" s="95">
        <f>'DOE25'!J9</f>
        <v>508475.99</v>
      </c>
      <c r="H8" s="124">
        <f>SUM(C8:G8)</f>
        <v>3330280.63</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218237.24</v>
      </c>
      <c r="D11" s="95">
        <f>'DOE25'!G12</f>
        <v>204255.21</v>
      </c>
      <c r="E11" s="95">
        <f>'DOE25'!H12</f>
        <v>0</v>
      </c>
      <c r="F11" s="95">
        <f>'DOE25'!I12</f>
        <v>0</v>
      </c>
      <c r="G11" s="95">
        <f>'DOE25'!J12</f>
        <v>0</v>
      </c>
      <c r="H11" s="124">
        <f t="shared" si="0"/>
        <v>422492.44999999995</v>
      </c>
      <c r="I11" s="124"/>
    </row>
    <row r="12" spans="1:9" x14ac:dyDescent="0.2">
      <c r="A12" s="1" t="s">
        <v>143</v>
      </c>
      <c r="B12" s="6">
        <v>140</v>
      </c>
      <c r="C12" s="95">
        <f>'DOE25'!F13</f>
        <v>99.42</v>
      </c>
      <c r="D12" s="95">
        <f>'DOE25'!G13</f>
        <v>676467.64</v>
      </c>
      <c r="E12" s="95">
        <f>'DOE25'!H13</f>
        <v>473904.6</v>
      </c>
      <c r="F12" s="95">
        <f>'DOE25'!I13</f>
        <v>0</v>
      </c>
      <c r="G12" s="95">
        <f>'DOE25'!J13</f>
        <v>0</v>
      </c>
      <c r="H12" s="124">
        <f t="shared" si="0"/>
        <v>1150471.6600000001</v>
      </c>
      <c r="I12" s="124"/>
    </row>
    <row r="13" spans="1:9" x14ac:dyDescent="0.2">
      <c r="A13" s="1" t="s">
        <v>144</v>
      </c>
      <c r="B13" s="6">
        <v>150</v>
      </c>
      <c r="C13" s="95">
        <f>'DOE25'!F14</f>
        <v>759</v>
      </c>
      <c r="D13" s="95">
        <f>'DOE25'!G14</f>
        <v>12435.88</v>
      </c>
      <c r="E13" s="95">
        <f>'DOE25'!H14</f>
        <v>0</v>
      </c>
      <c r="F13" s="95">
        <f>'DOE25'!I14</f>
        <v>0</v>
      </c>
      <c r="G13" s="95">
        <f>'DOE25'!J14</f>
        <v>0</v>
      </c>
      <c r="H13" s="124">
        <f t="shared" si="0"/>
        <v>13194.88</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38999.57</v>
      </c>
      <c r="E15" s="95">
        <f>'DOE25'!H16</f>
        <v>0</v>
      </c>
      <c r="F15" s="95">
        <f>'DOE25'!I16</f>
        <v>0</v>
      </c>
      <c r="G15" s="24" t="s">
        <v>288</v>
      </c>
      <c r="H15" s="124">
        <f t="shared" si="0"/>
        <v>38999.57</v>
      </c>
      <c r="I15" s="124"/>
    </row>
    <row r="16" spans="1:9" x14ac:dyDescent="0.2">
      <c r="A16" s="1" t="s">
        <v>147</v>
      </c>
      <c r="B16" s="6">
        <v>180</v>
      </c>
      <c r="C16" s="95">
        <f>'DOE25'!F17</f>
        <v>24571.98</v>
      </c>
      <c r="D16" s="95">
        <f>'DOE25'!G17</f>
        <v>0</v>
      </c>
      <c r="E16" s="95">
        <f>'DOE25'!H17</f>
        <v>0</v>
      </c>
      <c r="F16" s="95">
        <f>'DOE25'!I17</f>
        <v>0</v>
      </c>
      <c r="G16" s="95">
        <f>'DOE25'!J17</f>
        <v>0</v>
      </c>
      <c r="H16" s="124">
        <f t="shared" si="0"/>
        <v>24571.98</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3059572.28</v>
      </c>
      <c r="D18" s="41">
        <f>SUM(D8:D17)</f>
        <v>938058.29999999993</v>
      </c>
      <c r="E18" s="41">
        <f>SUM(E8:E17)</f>
        <v>473904.6</v>
      </c>
      <c r="F18" s="41">
        <f>SUM(F8:F17)</f>
        <v>0</v>
      </c>
      <c r="G18" s="41">
        <f>SUM(G8:G17)</f>
        <v>508475.99</v>
      </c>
      <c r="H18" s="41">
        <f t="shared" si="0"/>
        <v>4980011.17</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396142.45</v>
      </c>
      <c r="F21" s="95">
        <f>'DOE25'!I22</f>
        <v>0</v>
      </c>
      <c r="G21" s="95">
        <f>'DOE25'!J22</f>
        <v>26350</v>
      </c>
      <c r="H21" s="124">
        <f t="shared" ref="H21:H31" si="1">SUM(C21:G21)</f>
        <v>422492.45</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311105.65999999997</v>
      </c>
      <c r="D23" s="95">
        <f>'DOE25'!G24</f>
        <v>96761.57</v>
      </c>
      <c r="E23" s="95">
        <f>'DOE25'!H24</f>
        <v>6398.18</v>
      </c>
      <c r="F23" s="95">
        <f>'DOE25'!I24</f>
        <v>0</v>
      </c>
      <c r="G23" s="95">
        <f>'DOE25'!J24</f>
        <v>0</v>
      </c>
      <c r="H23" s="124">
        <f t="shared" si="1"/>
        <v>414265.41</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627435.04</v>
      </c>
      <c r="D27" s="95">
        <f>'DOE25'!G28</f>
        <v>12207.7</v>
      </c>
      <c r="E27" s="95">
        <f>'DOE25'!H28</f>
        <v>50101.17</v>
      </c>
      <c r="F27" s="95">
        <f>'DOE25'!I28</f>
        <v>0</v>
      </c>
      <c r="G27" s="24" t="s">
        <v>288</v>
      </c>
      <c r="H27" s="124">
        <f t="shared" si="1"/>
        <v>689743.91</v>
      </c>
      <c r="I27" s="124"/>
    </row>
    <row r="28" spans="1:9" x14ac:dyDescent="0.2">
      <c r="A28" s="1" t="s">
        <v>157</v>
      </c>
      <c r="B28" s="6">
        <v>470</v>
      </c>
      <c r="C28" s="95">
        <f>'DOE25'!F29</f>
        <v>180944.44</v>
      </c>
      <c r="D28" s="95">
        <f>'DOE25'!G29</f>
        <v>0</v>
      </c>
      <c r="E28" s="95">
        <f>'DOE25'!H29</f>
        <v>0</v>
      </c>
      <c r="F28" s="95">
        <f>'DOE25'!I29</f>
        <v>0</v>
      </c>
      <c r="G28" s="24" t="s">
        <v>288</v>
      </c>
      <c r="H28" s="124">
        <f t="shared" si="1"/>
        <v>180944.44</v>
      </c>
      <c r="I28" s="124"/>
    </row>
    <row r="29" spans="1:9" x14ac:dyDescent="0.2">
      <c r="A29" s="1" t="s">
        <v>158</v>
      </c>
      <c r="B29" s="6">
        <v>480</v>
      </c>
      <c r="C29" s="95">
        <f>'DOE25'!F30</f>
        <v>13910</v>
      </c>
      <c r="D29" s="95">
        <f>'DOE25'!G30</f>
        <v>0</v>
      </c>
      <c r="E29" s="95">
        <f>'DOE25'!H30</f>
        <v>0</v>
      </c>
      <c r="F29" s="95">
        <f>'DOE25'!I30</f>
        <v>0</v>
      </c>
      <c r="G29" s="24" t="s">
        <v>288</v>
      </c>
      <c r="H29" s="124">
        <f t="shared" si="1"/>
        <v>13910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1133395.1399999999</v>
      </c>
      <c r="D31" s="41">
        <f>SUM(D21:D30)</f>
        <v>108969.27</v>
      </c>
      <c r="E31" s="41">
        <f>SUM(E21:E30)</f>
        <v>452641.8</v>
      </c>
      <c r="F31" s="41">
        <f>SUM(F21:F30)</f>
        <v>0</v>
      </c>
      <c r="G31" s="41">
        <f>SUM(G21:G30)</f>
        <v>26350</v>
      </c>
      <c r="H31" s="41">
        <f t="shared" si="1"/>
        <v>1721356.21</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38999.57</v>
      </c>
      <c r="E34" s="95">
        <f>'DOE25'!H35</f>
        <v>0</v>
      </c>
      <c r="F34" s="95">
        <f>'DOE25'!I35</f>
        <v>0</v>
      </c>
      <c r="G34" s="24" t="s">
        <v>288</v>
      </c>
      <c r="H34" s="124">
        <f t="shared" ref="H34:H51" si="2">SUM(C34:G34)</f>
        <v>38999.57</v>
      </c>
      <c r="I34" s="124"/>
    </row>
    <row r="35" spans="1:9" x14ac:dyDescent="0.2">
      <c r="A35" s="1" t="s">
        <v>850</v>
      </c>
      <c r="B35" s="6">
        <v>752</v>
      </c>
      <c r="C35" s="95">
        <f>'DOE25'!F36</f>
        <v>24571.98</v>
      </c>
      <c r="D35" s="95">
        <f>'DOE25'!G36</f>
        <v>0</v>
      </c>
      <c r="E35" s="95">
        <f>'DOE25'!H36</f>
        <v>0</v>
      </c>
      <c r="F35" s="95">
        <f>'DOE25'!I36</f>
        <v>0</v>
      </c>
      <c r="G35" s="24" t="s">
        <v>288</v>
      </c>
      <c r="H35" s="124">
        <f t="shared" si="2"/>
        <v>24571.98</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790089.46</v>
      </c>
      <c r="E39" s="24" t="s">
        <v>288</v>
      </c>
      <c r="F39" s="24" t="s">
        <v>288</v>
      </c>
      <c r="G39" s="24" t="s">
        <v>288</v>
      </c>
      <c r="H39" s="124">
        <f t="shared" si="2"/>
        <v>790089.46</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21262.799999999999</v>
      </c>
      <c r="F42" s="95">
        <f>'DOE25'!I43</f>
        <v>0</v>
      </c>
      <c r="G42" s="95">
        <f>'DOE25'!J43</f>
        <v>0</v>
      </c>
      <c r="H42" s="124">
        <f t="shared" si="2"/>
        <v>21262.799999999999</v>
      </c>
      <c r="I42" s="124"/>
    </row>
    <row r="43" spans="1:9" x14ac:dyDescent="0.2">
      <c r="A43" s="1" t="s">
        <v>863</v>
      </c>
      <c r="B43" s="6">
        <v>755</v>
      </c>
      <c r="C43" s="95">
        <f>'DOE25'!F44</f>
        <v>600000</v>
      </c>
      <c r="D43" s="95">
        <f>'DOE25'!G44</f>
        <v>0</v>
      </c>
      <c r="E43" s="95">
        <f>'DOE25'!H44</f>
        <v>0</v>
      </c>
      <c r="F43" s="95">
        <f>'DOE25'!I44</f>
        <v>0</v>
      </c>
      <c r="G43" s="24" t="s">
        <v>288</v>
      </c>
      <c r="H43" s="124">
        <f t="shared" si="2"/>
        <v>600000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1125000</v>
      </c>
      <c r="D45" s="24" t="s">
        <v>288</v>
      </c>
      <c r="E45" s="24" t="s">
        <v>288</v>
      </c>
      <c r="F45" s="24" t="s">
        <v>288</v>
      </c>
      <c r="G45" s="24" t="s">
        <v>288</v>
      </c>
      <c r="H45" s="124">
        <f t="shared" si="2"/>
        <v>1125000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482125.99</v>
      </c>
      <c r="H47" s="124">
        <f t="shared" si="2"/>
        <v>482125.99</v>
      </c>
      <c r="I47" s="124"/>
    </row>
    <row r="48" spans="1:9" x14ac:dyDescent="0.2">
      <c r="A48" s="1" t="s">
        <v>882</v>
      </c>
      <c r="B48" s="6">
        <v>753</v>
      </c>
      <c r="C48" s="95">
        <f>'DOE25'!F49</f>
        <v>43000</v>
      </c>
      <c r="D48" s="95">
        <f>'DOE25'!G49</f>
        <v>0</v>
      </c>
      <c r="E48" s="95">
        <f>'DOE25'!H49</f>
        <v>0</v>
      </c>
      <c r="F48" s="95">
        <f>'DOE25'!I49</f>
        <v>0</v>
      </c>
      <c r="G48" s="95">
        <f>'DOE25'!J49</f>
        <v>0</v>
      </c>
      <c r="H48" s="124">
        <f t="shared" si="2"/>
        <v>43000</v>
      </c>
      <c r="I48" s="124"/>
    </row>
    <row r="49" spans="1:9" ht="12" thickBot="1" x14ac:dyDescent="0.25">
      <c r="A49" s="29" t="s">
        <v>883</v>
      </c>
      <c r="B49" s="71">
        <v>770</v>
      </c>
      <c r="C49" s="95">
        <f>'DOE25'!F50</f>
        <v>133605.16</v>
      </c>
      <c r="D49" s="24" t="s">
        <v>288</v>
      </c>
      <c r="E49" s="24" t="s">
        <v>288</v>
      </c>
      <c r="F49" s="24" t="s">
        <v>288</v>
      </c>
      <c r="G49" s="24" t="s">
        <v>288</v>
      </c>
      <c r="H49" s="124">
        <f t="shared" si="2"/>
        <v>133605.16</v>
      </c>
      <c r="I49" s="124"/>
    </row>
    <row r="50" spans="1:9" ht="12.75" thickTop="1" thickBot="1" x14ac:dyDescent="0.25">
      <c r="A50" s="38" t="s">
        <v>884</v>
      </c>
      <c r="B50" s="48"/>
      <c r="C50" s="41">
        <f>SUM(C34:C49)</f>
        <v>1926177.14</v>
      </c>
      <c r="D50" s="41">
        <f>SUM(D34:D49)</f>
        <v>829089.02999999991</v>
      </c>
      <c r="E50" s="41">
        <f>SUM(E34:E49)</f>
        <v>21262.799999999999</v>
      </c>
      <c r="F50" s="41">
        <f>SUM(F34:F49)</f>
        <v>0</v>
      </c>
      <c r="G50" s="41">
        <f>SUM(G34:G49)</f>
        <v>482125.99</v>
      </c>
      <c r="H50" s="41">
        <f t="shared" si="2"/>
        <v>3258654.96</v>
      </c>
      <c r="I50" s="124"/>
    </row>
    <row r="51" spans="1:9" ht="12" thickTop="1" x14ac:dyDescent="0.2">
      <c r="A51" s="38" t="s">
        <v>885</v>
      </c>
      <c r="B51" s="2"/>
      <c r="C51" s="41">
        <f>C50+C31</f>
        <v>3059572.28</v>
      </c>
      <c r="D51" s="41">
        <f>D50+D31</f>
        <v>938058.29999999993</v>
      </c>
      <c r="E51" s="41">
        <f>E50+E31</f>
        <v>473904.6</v>
      </c>
      <c r="F51" s="41">
        <f>F50+F31</f>
        <v>0</v>
      </c>
      <c r="G51" s="41">
        <f>G50+G31</f>
        <v>508475.99</v>
      </c>
      <c r="H51" s="41">
        <f t="shared" si="2"/>
        <v>4980011.17</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59959869</v>
      </c>
      <c r="D56" s="95">
        <f>'DOE25'!G60</f>
        <v>0</v>
      </c>
      <c r="E56" s="95">
        <f>'DOE25'!H60</f>
        <v>0</v>
      </c>
      <c r="F56" s="95">
        <f>'DOE25'!I60</f>
        <v>0</v>
      </c>
      <c r="G56" s="95">
        <f>'DOE25'!J60</f>
        <v>0</v>
      </c>
      <c r="H56" s="124">
        <f t="shared" ref="H56:H63" si="3">SUM(C56:G56)</f>
        <v>59959869</v>
      </c>
      <c r="I56"/>
    </row>
    <row r="57" spans="1:9" x14ac:dyDescent="0.2">
      <c r="A57" s="1" t="s">
        <v>164</v>
      </c>
      <c r="B57" s="6" t="s">
        <v>165</v>
      </c>
      <c r="C57" s="95">
        <f>'DOE25'!F79</f>
        <v>1554041.76</v>
      </c>
      <c r="D57" s="24" t="s">
        <v>288</v>
      </c>
      <c r="E57" s="95">
        <f>'DOE25'!H79</f>
        <v>0</v>
      </c>
      <c r="F57" s="24" t="s">
        <v>288</v>
      </c>
      <c r="G57" s="24" t="s">
        <v>288</v>
      </c>
      <c r="H57" s="124">
        <f t="shared" si="3"/>
        <v>1554041.76</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2765.84</v>
      </c>
      <c r="D59" s="95">
        <f>'DOE25'!G96</f>
        <v>2.64</v>
      </c>
      <c r="E59" s="95">
        <f>'DOE25'!H96</f>
        <v>0</v>
      </c>
      <c r="F59" s="95">
        <f>'DOE25'!I96</f>
        <v>0</v>
      </c>
      <c r="G59" s="95">
        <f>'DOE25'!J96</f>
        <v>1376.73</v>
      </c>
      <c r="H59" s="124">
        <f t="shared" si="3"/>
        <v>4145.21</v>
      </c>
      <c r="I59"/>
    </row>
    <row r="60" spans="1:9" x14ac:dyDescent="0.2">
      <c r="A60" s="1" t="s">
        <v>170</v>
      </c>
      <c r="B60" s="118" t="s">
        <v>171</v>
      </c>
      <c r="C60" s="24" t="s">
        <v>288</v>
      </c>
      <c r="D60" s="95">
        <f>'DOE25'!G97</f>
        <v>323484.2</v>
      </c>
      <c r="E60" s="24" t="s">
        <v>288</v>
      </c>
      <c r="F60" s="24" t="s">
        <v>288</v>
      </c>
      <c r="G60" s="24" t="s">
        <v>288</v>
      </c>
      <c r="H60" s="124">
        <f t="shared" si="3"/>
        <v>323484.2</v>
      </c>
      <c r="I60"/>
    </row>
    <row r="61" spans="1:9" ht="12" thickBot="1" x14ac:dyDescent="0.25">
      <c r="A61" s="1" t="s">
        <v>172</v>
      </c>
      <c r="B61" s="118" t="s">
        <v>173</v>
      </c>
      <c r="C61" s="95">
        <f>SUM('DOE25'!F98:F110)</f>
        <v>75510</v>
      </c>
      <c r="D61" s="95">
        <f>SUM('DOE25'!G98:G110)</f>
        <v>28310.57</v>
      </c>
      <c r="E61" s="95">
        <f>SUM('DOE25'!H98:H110)</f>
        <v>10230</v>
      </c>
      <c r="F61" s="95">
        <f>SUM('DOE25'!I98:I110)</f>
        <v>0</v>
      </c>
      <c r="G61" s="95">
        <f>SUM('DOE25'!J98:J110)</f>
        <v>0</v>
      </c>
      <c r="H61" s="124">
        <f t="shared" si="3"/>
        <v>114050.57</v>
      </c>
      <c r="I61"/>
    </row>
    <row r="62" spans="1:9" ht="12.75" thickTop="1" thickBot="1" x14ac:dyDescent="0.25">
      <c r="A62" s="29" t="s">
        <v>174</v>
      </c>
      <c r="B62" s="6"/>
      <c r="C62" s="130">
        <f>SUM(C57:C61)</f>
        <v>1632317.6</v>
      </c>
      <c r="D62" s="130">
        <f>SUM(D57:D61)</f>
        <v>351797.41000000003</v>
      </c>
      <c r="E62" s="130">
        <f>SUM(E57:E61)</f>
        <v>10230</v>
      </c>
      <c r="F62" s="130">
        <f>SUM(F57:F61)</f>
        <v>0</v>
      </c>
      <c r="G62" s="130">
        <f>SUM(G57:G61)</f>
        <v>1376.73</v>
      </c>
      <c r="H62" s="124">
        <f t="shared" si="3"/>
        <v>1995721.7400000002</v>
      </c>
      <c r="I62"/>
    </row>
    <row r="63" spans="1:9" ht="12" thickTop="1" x14ac:dyDescent="0.2">
      <c r="A63" s="29" t="s">
        <v>175</v>
      </c>
      <c r="B63" s="6"/>
      <c r="C63" s="22">
        <f>C56+C62</f>
        <v>61592186.600000001</v>
      </c>
      <c r="D63" s="22">
        <f>D56+D62</f>
        <v>351797.41000000003</v>
      </c>
      <c r="E63" s="22">
        <f>E56+E62</f>
        <v>10230</v>
      </c>
      <c r="F63" s="22">
        <f>F56+F62</f>
        <v>0</v>
      </c>
      <c r="G63" s="22">
        <f>G56+G62</f>
        <v>1376.73</v>
      </c>
      <c r="H63" s="124">
        <f t="shared" si="3"/>
        <v>61955590.739999995</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11100823.949999999</v>
      </c>
      <c r="D66" s="24" t="s">
        <v>288</v>
      </c>
      <c r="E66" s="24" t="s">
        <v>288</v>
      </c>
      <c r="F66" s="24" t="s">
        <v>288</v>
      </c>
      <c r="G66" s="24" t="s">
        <v>288</v>
      </c>
      <c r="H66" s="124">
        <f t="shared" ref="H66:H81" si="4">SUM(C66:G66)</f>
        <v>11100823.949999999</v>
      </c>
      <c r="I66"/>
    </row>
    <row r="67" spans="1:9" x14ac:dyDescent="0.2">
      <c r="A67" s="1" t="s">
        <v>770</v>
      </c>
      <c r="B67" s="6">
        <v>3112</v>
      </c>
      <c r="C67" s="95">
        <f>'DOE25'!F118</f>
        <v>7319077</v>
      </c>
      <c r="D67" s="24"/>
      <c r="E67" s="24"/>
      <c r="F67" s="24"/>
      <c r="G67" s="24"/>
      <c r="H67" s="124">
        <f t="shared" si="4"/>
        <v>7319077</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6651.63</v>
      </c>
      <c r="D69" s="95">
        <f>'DOE25'!G120</f>
        <v>0</v>
      </c>
      <c r="E69" s="95">
        <f>'DOE25'!H120</f>
        <v>0</v>
      </c>
      <c r="F69" s="95">
        <f>'DOE25'!I120</f>
        <v>0</v>
      </c>
      <c r="G69" s="95">
        <f>'DOE25'!J120</f>
        <v>0</v>
      </c>
      <c r="H69" s="124">
        <f t="shared" si="4"/>
        <v>6651.63</v>
      </c>
      <c r="I69"/>
    </row>
    <row r="70" spans="1:9" ht="12" thickTop="1" x14ac:dyDescent="0.2">
      <c r="A70" s="29" t="s">
        <v>252</v>
      </c>
      <c r="B70" s="2"/>
      <c r="C70" s="139">
        <f>SUM(C66:C69)</f>
        <v>18426552.579999998</v>
      </c>
      <c r="D70" s="139">
        <f>D69</f>
        <v>0</v>
      </c>
      <c r="E70" s="139">
        <f>E69</f>
        <v>0</v>
      </c>
      <c r="F70" s="139">
        <f>F69</f>
        <v>0</v>
      </c>
      <c r="G70" s="139">
        <f>G69</f>
        <v>0</v>
      </c>
      <c r="H70" s="124">
        <f t="shared" si="4"/>
        <v>18426552.579999998</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473694.51</v>
      </c>
      <c r="D72" s="24" t="s">
        <v>288</v>
      </c>
      <c r="E72" s="24" t="s">
        <v>288</v>
      </c>
      <c r="F72" s="95">
        <f>'DOE25'!I123</f>
        <v>0</v>
      </c>
      <c r="G72" s="24" t="s">
        <v>288</v>
      </c>
      <c r="H72" s="124">
        <f t="shared" si="4"/>
        <v>473694.51</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445562.63</v>
      </c>
      <c r="D75" s="24" t="s">
        <v>288</v>
      </c>
      <c r="E75" s="24" t="s">
        <v>288</v>
      </c>
      <c r="F75" s="24" t="s">
        <v>288</v>
      </c>
      <c r="G75" s="24" t="s">
        <v>288</v>
      </c>
      <c r="H75" s="124">
        <f t="shared" si="4"/>
        <v>445562.63</v>
      </c>
      <c r="I75"/>
    </row>
    <row r="76" spans="1:9" x14ac:dyDescent="0.2">
      <c r="A76" s="1" t="s">
        <v>257</v>
      </c>
      <c r="B76" s="6" t="s">
        <v>179</v>
      </c>
      <c r="C76" s="95">
        <f>SUM('DOE25'!F127:F130)</f>
        <v>28490.1</v>
      </c>
      <c r="D76" s="24" t="s">
        <v>288</v>
      </c>
      <c r="E76" s="95">
        <f>SUM('DOE25'!H127:H130)</f>
        <v>3000</v>
      </c>
      <c r="F76" s="95">
        <f>SUM('DOE25'!I127:I130)</f>
        <v>0</v>
      </c>
      <c r="G76" s="24" t="s">
        <v>288</v>
      </c>
      <c r="H76" s="124">
        <f t="shared" si="4"/>
        <v>31490.1</v>
      </c>
      <c r="I76"/>
    </row>
    <row r="77" spans="1:9" ht="12" thickBot="1" x14ac:dyDescent="0.25">
      <c r="A77" s="1" t="s">
        <v>258</v>
      </c>
      <c r="B77" s="6" t="s">
        <v>180</v>
      </c>
      <c r="C77" s="95">
        <f>SUM('DOE25'!F131:F135)</f>
        <v>0</v>
      </c>
      <c r="D77" s="95">
        <f>SUM('DOE25'!G131:G135)</f>
        <v>57678.2</v>
      </c>
      <c r="E77" s="95">
        <f>SUM('DOE25'!H131:H135)</f>
        <v>0</v>
      </c>
      <c r="F77" s="95">
        <f>SUM('DOE25'!I131:I135)</f>
        <v>0</v>
      </c>
      <c r="G77" s="95">
        <f>SUM('DOE25'!J131:J135)</f>
        <v>0</v>
      </c>
      <c r="H77" s="124">
        <f t="shared" si="4"/>
        <v>57678.2</v>
      </c>
      <c r="I77"/>
    </row>
    <row r="78" spans="1:9" ht="12.75" thickTop="1" thickBot="1" x14ac:dyDescent="0.25">
      <c r="A78" s="29" t="s">
        <v>259</v>
      </c>
      <c r="B78" s="6"/>
      <c r="C78" s="130">
        <f>SUM(C72:C77)</f>
        <v>947747.24</v>
      </c>
      <c r="D78" s="130">
        <f>SUM(D72:D77)</f>
        <v>57678.2</v>
      </c>
      <c r="E78" s="130">
        <f>SUM(E72:E77)</f>
        <v>3000</v>
      </c>
      <c r="F78" s="130">
        <f>SUM(F72:F77)</f>
        <v>0</v>
      </c>
      <c r="G78" s="130">
        <f>SUM(G72:G77)</f>
        <v>0</v>
      </c>
      <c r="H78" s="124">
        <f t="shared" si="4"/>
        <v>1008425.44</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19374299.819999997</v>
      </c>
      <c r="D81" s="130">
        <f>SUM(D79:D80)+D78+D70</f>
        <v>57678.2</v>
      </c>
      <c r="E81" s="130">
        <f>SUM(E79:E80)+E78+E70</f>
        <v>3000</v>
      </c>
      <c r="F81" s="130">
        <f>SUM(F79:F80)+F78+F70</f>
        <v>0</v>
      </c>
      <c r="G81" s="130">
        <f>SUM(G79:G80)+G78+G70</f>
        <v>0</v>
      </c>
      <c r="H81" s="130">
        <f t="shared" si="4"/>
        <v>19434978.019999996</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158572.06</v>
      </c>
      <c r="D88" s="326">
        <f>SUM('DOE25'!G153:G162)</f>
        <v>2536294.1599999997</v>
      </c>
      <c r="E88" s="326">
        <f>SUM('DOE25'!H153:H162)</f>
        <v>2703534.9800000004</v>
      </c>
      <c r="F88" s="326">
        <f>SUM('DOE25'!I153:I162)</f>
        <v>0</v>
      </c>
      <c r="G88" s="24" t="s">
        <v>288</v>
      </c>
      <c r="H88" s="124">
        <f t="shared" si="5"/>
        <v>5398401.2000000002</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158572.06</v>
      </c>
      <c r="D91" s="131">
        <f>SUM(D85:D90)</f>
        <v>2536294.1599999997</v>
      </c>
      <c r="E91" s="131">
        <f>SUM(E85:E90)</f>
        <v>2703534.9800000004</v>
      </c>
      <c r="F91" s="131">
        <f>SUM(F85:F90)</f>
        <v>0</v>
      </c>
      <c r="G91" s="24" t="s">
        <v>288</v>
      </c>
      <c r="H91" s="124">
        <f t="shared" si="5"/>
        <v>5398401.2000000002</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1486.7</v>
      </c>
      <c r="E96" s="95">
        <f>'DOE25'!H180</f>
        <v>0</v>
      </c>
      <c r="F96" s="95">
        <f>'DOE25'!I180</f>
        <v>0</v>
      </c>
      <c r="G96" s="95">
        <f>'DOE25'!J180</f>
        <v>825000</v>
      </c>
      <c r="H96" s="124">
        <f t="shared" si="5"/>
        <v>826486.7</v>
      </c>
    </row>
    <row r="97" spans="1:8" x14ac:dyDescent="0.2">
      <c r="A97" t="s">
        <v>754</v>
      </c>
      <c r="B97" s="32" t="s">
        <v>188</v>
      </c>
      <c r="C97" s="95">
        <f>SUM('DOE25'!F181:F182)</f>
        <v>0</v>
      </c>
      <c r="D97" s="95">
        <f>SUM('DOE25'!G181:G182)</f>
        <v>1580</v>
      </c>
      <c r="E97" s="95">
        <f>SUM('DOE25'!H181:H182)</f>
        <v>0</v>
      </c>
      <c r="F97" s="95">
        <f>SUM('DOE25'!I181:I182)</f>
        <v>0</v>
      </c>
      <c r="G97" s="95">
        <f>SUM('DOE25'!J181:J182)</f>
        <v>0</v>
      </c>
      <c r="H97" s="124">
        <f t="shared" si="5"/>
        <v>1580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901234.30999999994</v>
      </c>
      <c r="D100" s="95">
        <f>SUM('DOE25'!G187:G188)</f>
        <v>0</v>
      </c>
      <c r="E100" s="95">
        <f>SUM('DOE25'!H187:H188)</f>
        <v>0</v>
      </c>
      <c r="F100" s="95">
        <f>SUM('DOE25'!I187:I188)</f>
        <v>0</v>
      </c>
      <c r="G100" s="24" t="s">
        <v>288</v>
      </c>
      <c r="H100" s="124">
        <f t="shared" si="5"/>
        <v>901234.30999999994</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901234.30999999994</v>
      </c>
      <c r="D103" s="86">
        <f>SUM(D93:D102)</f>
        <v>3066.7</v>
      </c>
      <c r="E103" s="86">
        <f>SUM(E93:E102)</f>
        <v>0</v>
      </c>
      <c r="F103" s="86">
        <f>SUM(F93:F102)</f>
        <v>0</v>
      </c>
      <c r="G103" s="86">
        <f>SUM(G93:G102)</f>
        <v>825000</v>
      </c>
      <c r="H103" s="86">
        <f t="shared" si="5"/>
        <v>1729301.0099999998</v>
      </c>
    </row>
    <row r="104" spans="1:8" ht="12.75" thickTop="1" thickBot="1" x14ac:dyDescent="0.25">
      <c r="A104" s="33" t="s">
        <v>761</v>
      </c>
      <c r="C104" s="86">
        <f>C63+C81+C91+C103</f>
        <v>82026292.790000007</v>
      </c>
      <c r="D104" s="86">
        <f>D63+D81+D91+D103</f>
        <v>2948836.4699999997</v>
      </c>
      <c r="E104" s="86">
        <f>E63+E81+E91+E103</f>
        <v>2716764.9800000004</v>
      </c>
      <c r="F104" s="86">
        <f>F63+F81+F91+F103</f>
        <v>0</v>
      </c>
      <c r="G104" s="86">
        <f>G63+G81+G103</f>
        <v>826376.73</v>
      </c>
      <c r="H104" s="86">
        <f t="shared" si="5"/>
        <v>88518270.970000014</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31566910.700000003</v>
      </c>
      <c r="D109" s="24" t="s">
        <v>288</v>
      </c>
      <c r="E109" s="95">
        <f>('DOE25'!L277)+('DOE25'!L296)+('DOE25'!L315)</f>
        <v>566294.49</v>
      </c>
      <c r="F109" s="24" t="s">
        <v>288</v>
      </c>
      <c r="G109" s="24" t="s">
        <v>288</v>
      </c>
      <c r="H109" s="124">
        <f t="shared" ref="H109:H115" si="6">SUM(C109:G109)</f>
        <v>32133205.190000001</v>
      </c>
    </row>
    <row r="110" spans="1:8" x14ac:dyDescent="0.2">
      <c r="A110" t="s">
        <v>198</v>
      </c>
      <c r="B110" s="32" t="s">
        <v>199</v>
      </c>
      <c r="C110" s="95">
        <f>('DOE25'!L199)+('DOE25'!L217)+('DOE25'!L235)</f>
        <v>15673234.680000002</v>
      </c>
      <c r="D110" s="24" t="s">
        <v>288</v>
      </c>
      <c r="E110" s="95">
        <f>('DOE25'!L278)+('DOE25'!L297)+('DOE25'!L316)</f>
        <v>1089492.3999999999</v>
      </c>
      <c r="F110" s="24" t="s">
        <v>288</v>
      </c>
      <c r="G110" s="24" t="s">
        <v>288</v>
      </c>
      <c r="H110" s="124">
        <f t="shared" si="6"/>
        <v>16762727.080000002</v>
      </c>
    </row>
    <row r="111" spans="1:8" x14ac:dyDescent="0.2">
      <c r="A111" t="s">
        <v>200</v>
      </c>
      <c r="B111" s="32" t="s">
        <v>165</v>
      </c>
      <c r="C111" s="95">
        <f>('DOE25'!L200)+('DOE25'!L218)+('DOE25'!L236)</f>
        <v>154193.60000000001</v>
      </c>
      <c r="D111" s="24" t="s">
        <v>288</v>
      </c>
      <c r="E111" s="95">
        <f>('DOE25'!L279)+('DOE25'!L298)+('DOE25'!L317)</f>
        <v>0</v>
      </c>
      <c r="F111" s="24" t="s">
        <v>288</v>
      </c>
      <c r="G111" s="24" t="s">
        <v>288</v>
      </c>
      <c r="H111" s="124">
        <f t="shared" si="6"/>
        <v>154193.60000000001</v>
      </c>
    </row>
    <row r="112" spans="1:8" x14ac:dyDescent="0.2">
      <c r="A112" t="s">
        <v>201</v>
      </c>
      <c r="B112" s="32" t="s">
        <v>167</v>
      </c>
      <c r="C112" s="95">
        <f>('DOE25'!L201)+('DOE25'!L219)+('DOE25'!L237)</f>
        <v>2162090.6399999997</v>
      </c>
      <c r="D112" s="24" t="s">
        <v>288</v>
      </c>
      <c r="E112" s="95">
        <f>+('DOE25'!L280)+('DOE25'!L299)+('DOE25'!L318)</f>
        <v>131970.92000000001</v>
      </c>
      <c r="F112" s="24" t="s">
        <v>288</v>
      </c>
      <c r="G112" s="24" t="s">
        <v>288</v>
      </c>
      <c r="H112" s="124">
        <f t="shared" si="6"/>
        <v>2294061.5599999996</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75614.240000000005</v>
      </c>
      <c r="D114" s="24" t="s">
        <v>288</v>
      </c>
      <c r="E114" s="95">
        <f>+ SUM('DOE25'!L334:L336)</f>
        <v>37815.979999999996</v>
      </c>
      <c r="F114" s="24" t="s">
        <v>288</v>
      </c>
      <c r="G114" s="24" t="s">
        <v>288</v>
      </c>
      <c r="H114" s="124">
        <f t="shared" si="6"/>
        <v>113430.22</v>
      </c>
    </row>
    <row r="115" spans="1:8" ht="12.75" thickTop="1" thickBot="1" x14ac:dyDescent="0.25">
      <c r="A115" s="33" t="s">
        <v>205</v>
      </c>
      <c r="C115" s="86">
        <f>SUM(C109:C114)</f>
        <v>49632043.860000007</v>
      </c>
      <c r="D115" s="86">
        <f>SUM(D109:D114)</f>
        <v>0</v>
      </c>
      <c r="E115" s="86">
        <f>SUM(E109:E114)</f>
        <v>1825573.7899999998</v>
      </c>
      <c r="F115" s="86">
        <f>SUM(F109:F114)</f>
        <v>0</v>
      </c>
      <c r="G115" s="86">
        <f>SUM(G109:G114)</f>
        <v>0</v>
      </c>
      <c r="H115" s="86">
        <f t="shared" si="6"/>
        <v>51457617.650000006</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7366392.1500000004</v>
      </c>
      <c r="D118" s="24" t="s">
        <v>288</v>
      </c>
      <c r="E118" s="95">
        <f>+('DOE25'!L282)+('DOE25'!L301)+('DOE25'!L320)</f>
        <v>210538.96999999997</v>
      </c>
      <c r="F118" s="24" t="s">
        <v>288</v>
      </c>
      <c r="G118" s="24" t="s">
        <v>288</v>
      </c>
      <c r="H118" s="124">
        <f t="shared" ref="H118:H145" si="7">SUM(C118:G118)</f>
        <v>7576931.1200000001</v>
      </c>
    </row>
    <row r="119" spans="1:8" x14ac:dyDescent="0.2">
      <c r="A119" t="s">
        <v>208</v>
      </c>
      <c r="B119" s="32" t="s">
        <v>209</v>
      </c>
      <c r="C119" s="95">
        <f>('DOE25'!L204)+('DOE25'!L222)+('DOE25'!L240)</f>
        <v>1748986.24</v>
      </c>
      <c r="D119" s="24" t="s">
        <v>288</v>
      </c>
      <c r="E119" s="95">
        <f>+('DOE25'!L283)+('DOE25'!L302)+('DOE25'!L321)</f>
        <v>67232.760000000009</v>
      </c>
      <c r="F119" s="24" t="s">
        <v>288</v>
      </c>
      <c r="G119" s="24" t="s">
        <v>288</v>
      </c>
      <c r="H119" s="124">
        <f t="shared" si="7"/>
        <v>1816219</v>
      </c>
    </row>
    <row r="120" spans="1:8" x14ac:dyDescent="0.2">
      <c r="A120" t="s">
        <v>210</v>
      </c>
      <c r="B120" s="32" t="s">
        <v>211</v>
      </c>
      <c r="C120" s="95">
        <f>('DOE25'!L205)+('DOE25'!L223)+('DOE25'!L241)</f>
        <v>1543789.86</v>
      </c>
      <c r="D120" s="24" t="s">
        <v>288</v>
      </c>
      <c r="E120" s="95">
        <f>+('DOE25'!L284)+('DOE25'!L303)+('DOE25'!L322)</f>
        <v>0</v>
      </c>
      <c r="F120" s="24" t="s">
        <v>288</v>
      </c>
      <c r="G120" s="24" t="s">
        <v>288</v>
      </c>
      <c r="H120" s="124">
        <f t="shared" si="7"/>
        <v>1543789.86</v>
      </c>
    </row>
    <row r="121" spans="1:8" x14ac:dyDescent="0.2">
      <c r="A121" t="s">
        <v>212</v>
      </c>
      <c r="B121" s="32" t="s">
        <v>213</v>
      </c>
      <c r="C121" s="95">
        <f>('DOE25'!L206)+('DOE25'!L224)+('DOE25'!L242)</f>
        <v>4130189.67</v>
      </c>
      <c r="D121" s="24" t="s">
        <v>288</v>
      </c>
      <c r="E121" s="95">
        <f>+('DOE25'!L285)+('DOE25'!L304)+('DOE25'!L323)</f>
        <v>0</v>
      </c>
      <c r="F121" s="24" t="s">
        <v>288</v>
      </c>
      <c r="G121" s="24" t="s">
        <v>288</v>
      </c>
      <c r="H121" s="124">
        <f t="shared" si="7"/>
        <v>4130189.67</v>
      </c>
    </row>
    <row r="122" spans="1:8" x14ac:dyDescent="0.2">
      <c r="A122" t="s">
        <v>214</v>
      </c>
      <c r="B122" s="32" t="s">
        <v>215</v>
      </c>
      <c r="C122" s="95">
        <f>('DOE25'!L207)+('DOE25'!L225)+('DOE25'!L243)</f>
        <v>1287301.42</v>
      </c>
      <c r="D122" s="24" t="s">
        <v>288</v>
      </c>
      <c r="E122" s="95">
        <f>+('DOE25'!L286)+('DOE25'!L305)+('DOE25'!L324)</f>
        <v>0</v>
      </c>
      <c r="F122" s="24" t="s">
        <v>288</v>
      </c>
      <c r="G122" s="24" t="s">
        <v>288</v>
      </c>
      <c r="H122" s="124">
        <f t="shared" si="7"/>
        <v>1287301.42</v>
      </c>
    </row>
    <row r="123" spans="1:8" x14ac:dyDescent="0.2">
      <c r="A123" t="s">
        <v>216</v>
      </c>
      <c r="B123" s="32" t="s">
        <v>217</v>
      </c>
      <c r="C123" s="95">
        <f>('DOE25'!L208)+('DOE25'!L226)+('DOE25'!L244)</f>
        <v>7936599.46</v>
      </c>
      <c r="D123" s="24" t="s">
        <v>288</v>
      </c>
      <c r="E123" s="95">
        <f>+('DOE25'!L287)+('DOE25'!L306)+('DOE25'!L325)</f>
        <v>565750.1399999999</v>
      </c>
      <c r="F123" s="24" t="s">
        <v>288</v>
      </c>
      <c r="G123" s="24" t="s">
        <v>288</v>
      </c>
      <c r="H123" s="124">
        <f t="shared" si="7"/>
        <v>8502349.5999999996</v>
      </c>
    </row>
    <row r="124" spans="1:8" x14ac:dyDescent="0.2">
      <c r="A124" t="s">
        <v>218</v>
      </c>
      <c r="B124" s="32" t="s">
        <v>219</v>
      </c>
      <c r="C124" s="95">
        <f>('DOE25'!L209)+('DOE25'!L227)+('DOE25'!L245+'DOE25'!L255)</f>
        <v>4920146.51</v>
      </c>
      <c r="D124" s="24" t="s">
        <v>288</v>
      </c>
      <c r="E124" s="95">
        <f>+('DOE25'!L288)+('DOE25'!L307)+('DOE25'!L326)</f>
        <v>32025.640000000003</v>
      </c>
      <c r="F124" s="24" t="s">
        <v>288</v>
      </c>
      <c r="G124" s="24" t="s">
        <v>288</v>
      </c>
      <c r="H124" s="124">
        <f t="shared" si="7"/>
        <v>4952172.1499999994</v>
      </c>
    </row>
    <row r="125" spans="1:8" x14ac:dyDescent="0.2">
      <c r="A125" t="s">
        <v>220</v>
      </c>
      <c r="B125" s="32" t="s">
        <v>221</v>
      </c>
      <c r="C125" s="95">
        <f>('DOE25'!L210)+('DOE25'!L228)+('DOE25'!L246)</f>
        <v>1774747.96</v>
      </c>
      <c r="D125" s="24" t="s">
        <v>288</v>
      </c>
      <c r="E125" s="95">
        <f>+('DOE25'!L289)+('DOE25'!L308)+('DOE25'!L327)</f>
        <v>13633.7</v>
      </c>
      <c r="F125" s="24" t="s">
        <v>288</v>
      </c>
      <c r="G125" s="24" t="s">
        <v>288</v>
      </c>
      <c r="H125" s="124">
        <f t="shared" si="7"/>
        <v>1788381.66</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2204108.2600000002</v>
      </c>
      <c r="E127" s="24" t="s">
        <v>288</v>
      </c>
      <c r="F127" s="24" t="s">
        <v>288</v>
      </c>
      <c r="G127" s="24" t="s">
        <v>288</v>
      </c>
      <c r="H127" s="124">
        <f t="shared" si="7"/>
        <v>2204108.2600000002</v>
      </c>
    </row>
    <row r="128" spans="1:8" ht="12.75" thickTop="1" thickBot="1" x14ac:dyDescent="0.25">
      <c r="A128" s="33" t="s">
        <v>226</v>
      </c>
      <c r="C128" s="86">
        <f>SUM(C118:C127)</f>
        <v>30708153.270000003</v>
      </c>
      <c r="D128" s="86">
        <f>SUM(D118:D127)</f>
        <v>2204108.2600000002</v>
      </c>
      <c r="E128" s="86">
        <f>SUM(E118:E127)</f>
        <v>889181.20999999985</v>
      </c>
      <c r="F128" s="86">
        <f>SUM(F118:F127)</f>
        <v>0</v>
      </c>
      <c r="G128" s="86">
        <f>SUM(G118:G127)</f>
        <v>0</v>
      </c>
      <c r="H128" s="86">
        <f t="shared" si="7"/>
        <v>33801442.740000002</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1610000</v>
      </c>
      <c r="D131" s="24" t="s">
        <v>288</v>
      </c>
      <c r="E131" s="129">
        <f>'DOE25'!L342</f>
        <v>0</v>
      </c>
      <c r="F131" s="24" t="s">
        <v>288</v>
      </c>
      <c r="G131" s="24" t="s">
        <v>288</v>
      </c>
      <c r="H131" s="124">
        <f t="shared" si="7"/>
        <v>1610000</v>
      </c>
    </row>
    <row r="132" spans="1:8" x14ac:dyDescent="0.2">
      <c r="A132" t="s">
        <v>230</v>
      </c>
      <c r="B132" s="32">
        <v>5120</v>
      </c>
      <c r="C132" s="95">
        <f>'DOE25'!L262</f>
        <v>296603.63</v>
      </c>
      <c r="D132" s="24" t="s">
        <v>288</v>
      </c>
      <c r="E132" s="129">
        <f>'DOE25'!L343</f>
        <v>0</v>
      </c>
      <c r="F132" s="24" t="s">
        <v>288</v>
      </c>
      <c r="G132" s="24" t="s">
        <v>288</v>
      </c>
      <c r="H132" s="124">
        <f t="shared" si="7"/>
        <v>296603.63</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901234.30999999994</v>
      </c>
      <c r="H134" s="124">
        <f t="shared" si="7"/>
        <v>901234.30999999994</v>
      </c>
    </row>
    <row r="135" spans="1:8" x14ac:dyDescent="0.2">
      <c r="A135" t="s">
        <v>233</v>
      </c>
      <c r="B135" s="32" t="s">
        <v>234</v>
      </c>
      <c r="C135" s="95">
        <f>'DOE25'!L264</f>
        <v>1486.7</v>
      </c>
      <c r="D135" s="24" t="s">
        <v>288</v>
      </c>
      <c r="E135" s="129">
        <f>'DOE25'!L346</f>
        <v>1580</v>
      </c>
      <c r="F135" s="24" t="s">
        <v>288</v>
      </c>
      <c r="G135" s="24" t="s">
        <v>288</v>
      </c>
      <c r="H135" s="124">
        <f t="shared" si="7"/>
        <v>3066.7</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825904.66999999993</v>
      </c>
      <c r="D138" s="24" t="s">
        <v>288</v>
      </c>
      <c r="E138" s="24" t="s">
        <v>288</v>
      </c>
      <c r="F138" s="24" t="s">
        <v>288</v>
      </c>
      <c r="G138" s="24" t="s">
        <v>288</v>
      </c>
      <c r="H138" s="124">
        <f t="shared" si="7"/>
        <v>825904.66999999993</v>
      </c>
    </row>
    <row r="139" spans="1:8" x14ac:dyDescent="0.2">
      <c r="A139" t="s">
        <v>239</v>
      </c>
      <c r="B139" s="32">
        <v>5252</v>
      </c>
      <c r="C139" s="95">
        <f>'DOE25'!L402</f>
        <v>472.06</v>
      </c>
      <c r="D139" s="24" t="s">
        <v>288</v>
      </c>
      <c r="E139" s="24" t="s">
        <v>288</v>
      </c>
      <c r="F139" s="24" t="s">
        <v>288</v>
      </c>
      <c r="G139" s="24" t="s">
        <v>288</v>
      </c>
      <c r="H139" s="124">
        <f t="shared" si="7"/>
        <v>472.06</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-1376.7299999999814</v>
      </c>
      <c r="D141" s="24" t="s">
        <v>288</v>
      </c>
      <c r="E141" s="24" t="s">
        <v>288</v>
      </c>
      <c r="F141" s="24" t="s">
        <v>288</v>
      </c>
      <c r="G141" s="24" t="s">
        <v>288</v>
      </c>
      <c r="H141" s="124">
        <f t="shared" si="7"/>
        <v>-1376.7299999999814</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2733090.33</v>
      </c>
      <c r="D144" s="141">
        <f>SUM(D130:D143)</f>
        <v>0</v>
      </c>
      <c r="E144" s="141">
        <f>SUM(E130:E143)</f>
        <v>1580</v>
      </c>
      <c r="F144" s="141">
        <f>SUM(F130:F143)</f>
        <v>0</v>
      </c>
      <c r="G144" s="141">
        <f>SUM(G130:G143)</f>
        <v>901234.30999999994</v>
      </c>
      <c r="H144" s="141">
        <f t="shared" si="7"/>
        <v>3635904.64</v>
      </c>
    </row>
    <row r="145" spans="1:9" ht="12.75" thickTop="1" thickBot="1" x14ac:dyDescent="0.25">
      <c r="A145" s="33" t="s">
        <v>244</v>
      </c>
      <c r="C145" s="86">
        <f>(C115+C128+C144)</f>
        <v>83073287.460000008</v>
      </c>
      <c r="D145" s="86">
        <f>(D115+D128+D144)</f>
        <v>2204108.2600000002</v>
      </c>
      <c r="E145" s="86">
        <f>(E115+E128+E144)</f>
        <v>2716334.9999999995</v>
      </c>
      <c r="F145" s="86">
        <f>(F115+F128+F144)</f>
        <v>0</v>
      </c>
      <c r="G145" s="86">
        <f>(G115+G128+G144)</f>
        <v>901234.30999999994</v>
      </c>
      <c r="H145" s="86">
        <f t="shared" si="7"/>
        <v>88894965.030000016</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10</v>
      </c>
      <c r="D151" s="153">
        <f>'DOE25'!H491</f>
        <v>12</v>
      </c>
      <c r="E151" s="153">
        <f>'DOE25'!I491</f>
        <v>10</v>
      </c>
      <c r="F151" s="153">
        <f>'DOE25'!J491</f>
        <v>0</v>
      </c>
      <c r="G151" s="24" t="s">
        <v>288</v>
      </c>
    </row>
    <row r="152" spans="1:9" x14ac:dyDescent="0.2">
      <c r="A152" s="136" t="s">
        <v>28</v>
      </c>
      <c r="B152" s="152" t="str">
        <f>'DOE25'!F492</f>
        <v>04/02</v>
      </c>
      <c r="C152" s="152" t="str">
        <f>'DOE25'!G492</f>
        <v>05/2017</v>
      </c>
      <c r="D152" s="152" t="str">
        <f>'DOE25'!H492</f>
        <v>05/14</v>
      </c>
      <c r="E152" s="152" t="str">
        <f>'DOE25'!I492</f>
        <v>07/14</v>
      </c>
      <c r="F152" s="152">
        <f>'DOE25'!J492</f>
        <v>0</v>
      </c>
      <c r="G152" s="24" t="s">
        <v>288</v>
      </c>
    </row>
    <row r="153" spans="1:9" x14ac:dyDescent="0.2">
      <c r="A153" s="136" t="s">
        <v>29</v>
      </c>
      <c r="B153" s="152" t="str">
        <f>'DOE25'!F493</f>
        <v>07/22</v>
      </c>
      <c r="C153" s="152" t="str">
        <f>'DOE25'!G493</f>
        <v>07/2028</v>
      </c>
      <c r="D153" s="152" t="str">
        <f>'DOE25'!H493</f>
        <v>08/25</v>
      </c>
      <c r="E153" s="152" t="str">
        <f>'DOE25'!I493</f>
        <v>07/24</v>
      </c>
      <c r="F153" s="152">
        <f>'DOE25'!J493</f>
        <v>0</v>
      </c>
      <c r="G153" s="24" t="s">
        <v>288</v>
      </c>
    </row>
    <row r="154" spans="1:9" x14ac:dyDescent="0.2">
      <c r="A154" s="136" t="s">
        <v>30</v>
      </c>
      <c r="B154" s="137">
        <f>'DOE25'!F494</f>
        <v>12030000</v>
      </c>
      <c r="C154" s="137">
        <f>'DOE25'!G494</f>
        <v>2720000</v>
      </c>
      <c r="D154" s="137">
        <f>'DOE25'!H494</f>
        <v>2955000</v>
      </c>
      <c r="E154" s="137">
        <f>'DOE25'!I494</f>
        <v>3895000</v>
      </c>
      <c r="F154" s="137">
        <f>'DOE25'!J494</f>
        <v>0</v>
      </c>
      <c r="G154" s="24" t="s">
        <v>288</v>
      </c>
    </row>
    <row r="155" spans="1:9" x14ac:dyDescent="0.2">
      <c r="A155" s="136" t="s">
        <v>31</v>
      </c>
      <c r="B155" s="137">
        <f>'DOE25'!F495</f>
        <v>4.57</v>
      </c>
      <c r="C155" s="137">
        <f>'DOE25'!G495</f>
        <v>2.69</v>
      </c>
      <c r="D155" s="137">
        <f>'DOE25'!H495</f>
        <v>1.94</v>
      </c>
      <c r="E155" s="137">
        <f>'DOE25'!I495</f>
        <v>2.14</v>
      </c>
      <c r="F155" s="137">
        <f>'DOE25'!J495</f>
        <v>0</v>
      </c>
      <c r="G155" s="24" t="s">
        <v>288</v>
      </c>
    </row>
    <row r="156" spans="1:9" x14ac:dyDescent="0.2">
      <c r="A156" s="22" t="s">
        <v>32</v>
      </c>
      <c r="B156" s="137">
        <f>'DOE25'!F496</f>
        <v>1330000</v>
      </c>
      <c r="C156" s="137">
        <f>'DOE25'!G496</f>
        <v>2095000</v>
      </c>
      <c r="D156" s="137">
        <f>'DOE25'!H496</f>
        <v>1375000</v>
      </c>
      <c r="E156" s="137">
        <f>'DOE25'!I496</f>
        <v>1555000</v>
      </c>
      <c r="F156" s="137">
        <f>'DOE25'!J496</f>
        <v>0</v>
      </c>
      <c r="G156" s="138">
        <f>SUM(B156:F156)</f>
        <v>6355000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665000</v>
      </c>
      <c r="C158" s="137">
        <f>'DOE25'!G498</f>
        <v>270000</v>
      </c>
      <c r="D158" s="137">
        <f>'DOE25'!H498</f>
        <v>285000</v>
      </c>
      <c r="E158" s="137">
        <f>'DOE25'!I498</f>
        <v>390000</v>
      </c>
      <c r="F158" s="137">
        <f>'DOE25'!J498</f>
        <v>0</v>
      </c>
      <c r="G158" s="138">
        <f t="shared" si="8"/>
        <v>1610000</v>
      </c>
    </row>
    <row r="159" spans="1:9" x14ac:dyDescent="0.2">
      <c r="A159" s="22" t="s">
        <v>35</v>
      </c>
      <c r="B159" s="137">
        <f>'DOE25'!F499</f>
        <v>665000</v>
      </c>
      <c r="C159" s="137">
        <f>'DOE25'!G499</f>
        <v>1825000</v>
      </c>
      <c r="D159" s="137">
        <f>'DOE25'!H499</f>
        <v>1090000</v>
      </c>
      <c r="E159" s="137">
        <f>'DOE25'!I499</f>
        <v>1165000</v>
      </c>
      <c r="F159" s="137">
        <f>'DOE25'!J499</f>
        <v>0</v>
      </c>
      <c r="G159" s="138">
        <f t="shared" si="8"/>
        <v>4745000</v>
      </c>
    </row>
    <row r="160" spans="1:9" x14ac:dyDescent="0.2">
      <c r="A160" s="22" t="s">
        <v>36</v>
      </c>
      <c r="B160" s="137">
        <f>'DOE25'!F500</f>
        <v>16625</v>
      </c>
      <c r="C160" s="137">
        <f>'DOE25'!G500</f>
        <v>169247.76</v>
      </c>
      <c r="D160" s="137">
        <f>'DOE25'!H500</f>
        <v>51006.27</v>
      </c>
      <c r="E160" s="137">
        <f>'DOE25'!I500</f>
        <v>52275</v>
      </c>
      <c r="F160" s="137">
        <f>'DOE25'!J500</f>
        <v>0</v>
      </c>
      <c r="G160" s="138">
        <f t="shared" si="8"/>
        <v>289154.03000000003</v>
      </c>
    </row>
    <row r="161" spans="1:7" x14ac:dyDescent="0.2">
      <c r="A161" s="22" t="s">
        <v>37</v>
      </c>
      <c r="B161" s="137">
        <f>'DOE25'!F501</f>
        <v>681625</v>
      </c>
      <c r="C161" s="137">
        <f>'DOE25'!G501</f>
        <v>1994247.76</v>
      </c>
      <c r="D161" s="137">
        <f>'DOE25'!H501</f>
        <v>1141006.27</v>
      </c>
      <c r="E161" s="137">
        <f>'DOE25'!I501</f>
        <v>1217275</v>
      </c>
      <c r="F161" s="137">
        <f>'DOE25'!J501</f>
        <v>0</v>
      </c>
      <c r="G161" s="138">
        <f t="shared" si="8"/>
        <v>5034154.0299999993</v>
      </c>
    </row>
    <row r="162" spans="1:7" x14ac:dyDescent="0.2">
      <c r="A162" s="22" t="s">
        <v>38</v>
      </c>
      <c r="B162" s="137">
        <f>'DOE25'!F502</f>
        <v>665000</v>
      </c>
      <c r="C162" s="137">
        <f>'DOE25'!G502</f>
        <v>270000</v>
      </c>
      <c r="D162" s="137">
        <f>'DOE25'!H502</f>
        <v>280000</v>
      </c>
      <c r="E162" s="137">
        <f>'DOE25'!I502</f>
        <v>390000</v>
      </c>
      <c r="F162" s="137">
        <f>'DOE25'!J502</f>
        <v>0</v>
      </c>
      <c r="G162" s="138">
        <f t="shared" si="8"/>
        <v>1605000</v>
      </c>
    </row>
    <row r="163" spans="1:7" x14ac:dyDescent="0.2">
      <c r="A163" s="22" t="s">
        <v>39</v>
      </c>
      <c r="B163" s="137">
        <f>'DOE25'!F503</f>
        <v>16625</v>
      </c>
      <c r="C163" s="137">
        <f>'DOE25'!G503</f>
        <v>45377.2</v>
      </c>
      <c r="D163" s="137">
        <f>'DOE25'!H503</f>
        <v>22387.5</v>
      </c>
      <c r="E163" s="137">
        <f>'DOE25'!I503</f>
        <v>29100</v>
      </c>
      <c r="F163" s="137">
        <f>'DOE25'!J503</f>
        <v>0</v>
      </c>
      <c r="G163" s="138">
        <f t="shared" si="8"/>
        <v>113489.7</v>
      </c>
    </row>
    <row r="164" spans="1:7" x14ac:dyDescent="0.2">
      <c r="A164" s="22" t="s">
        <v>246</v>
      </c>
      <c r="B164" s="137">
        <f>'DOE25'!F504</f>
        <v>681625</v>
      </c>
      <c r="C164" s="137">
        <f>'DOE25'!G504</f>
        <v>315377.2</v>
      </c>
      <c r="D164" s="137">
        <f>'DOE25'!H504</f>
        <v>302387.5</v>
      </c>
      <c r="E164" s="137">
        <f>'DOE25'!I504</f>
        <v>419100</v>
      </c>
      <c r="F164" s="137">
        <f>'DOE25'!J504</f>
        <v>0</v>
      </c>
      <c r="G164" s="138">
        <f t="shared" si="8"/>
        <v>1718489.7</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Londonderry</v>
      </c>
    </row>
    <row r="3" spans="1:4" x14ac:dyDescent="0.2">
      <c r="B3" s="187" t="s">
        <v>1799</v>
      </c>
    </row>
    <row r="4" spans="1:4" x14ac:dyDescent="0.2">
      <c r="B4" t="s">
        <v>61</v>
      </c>
      <c r="C4" s="178">
        <f>IF('DOE25'!F666+'DOE25'!F671=0,0,ROUND('DOE25'!F673,0))</f>
        <v>20602</v>
      </c>
    </row>
    <row r="5" spans="1:4" x14ac:dyDescent="0.2">
      <c r="B5" t="s">
        <v>700</v>
      </c>
      <c r="C5" s="178">
        <f>IF('DOE25'!G666+'DOE25'!G671=0,0,ROUND('DOE25'!G673,0))</f>
        <v>18144</v>
      </c>
    </row>
    <row r="6" spans="1:4" x14ac:dyDescent="0.2">
      <c r="B6" t="s">
        <v>62</v>
      </c>
      <c r="C6" s="178">
        <f>IF('DOE25'!H666+'DOE25'!H671=0,0,ROUND('DOE25'!H673,0))</f>
        <v>19585</v>
      </c>
    </row>
    <row r="7" spans="1:4" x14ac:dyDescent="0.2">
      <c r="B7" t="s">
        <v>701</v>
      </c>
      <c r="C7" s="178">
        <f>IF('DOE25'!I666+'DOE25'!I671=0,0,ROUND('DOE25'!I673,0))</f>
        <v>19680</v>
      </c>
    </row>
    <row r="9" spans="1:4" x14ac:dyDescent="0.2">
      <c r="A9" s="186" t="s">
        <v>94</v>
      </c>
      <c r="B9" s="187" t="s">
        <v>1800</v>
      </c>
      <c r="C9" s="180" t="s">
        <v>720</v>
      </c>
      <c r="D9" s="180" t="s">
        <v>721</v>
      </c>
    </row>
    <row r="10" spans="1:4" x14ac:dyDescent="0.2">
      <c r="A10">
        <v>1100</v>
      </c>
      <c r="B10" t="s">
        <v>702</v>
      </c>
      <c r="C10" s="178">
        <f>ROUND('DOE25'!L198+'DOE25'!L216+'DOE25'!L234+'DOE25'!L277+'DOE25'!L296+'DOE25'!L315,0)</f>
        <v>32133205</v>
      </c>
      <c r="D10" s="181">
        <f>ROUND((C10/$C$28)*100,1)</f>
        <v>37.700000000000003</v>
      </c>
    </row>
    <row r="11" spans="1:4" x14ac:dyDescent="0.2">
      <c r="A11">
        <v>1200</v>
      </c>
      <c r="B11" t="s">
        <v>703</v>
      </c>
      <c r="C11" s="178">
        <f>ROUND('DOE25'!L199+'DOE25'!L217+'DOE25'!L235+'DOE25'!L278+'DOE25'!L297+'DOE25'!L316,0)</f>
        <v>16762727</v>
      </c>
      <c r="D11" s="181">
        <f>ROUND((C11/$C$28)*100,1)</f>
        <v>19.7</v>
      </c>
    </row>
    <row r="12" spans="1:4" x14ac:dyDescent="0.2">
      <c r="A12">
        <v>1300</v>
      </c>
      <c r="B12" t="s">
        <v>704</v>
      </c>
      <c r="C12" s="178">
        <f>ROUND('DOE25'!L200+'DOE25'!L218+'DOE25'!L236+'DOE25'!L279+'DOE25'!L298+'DOE25'!L317,0)</f>
        <v>154194</v>
      </c>
      <c r="D12" s="181">
        <f>ROUND((C12/$C$28)*100,1)</f>
        <v>0.2</v>
      </c>
    </row>
    <row r="13" spans="1:4" x14ac:dyDescent="0.2">
      <c r="A13">
        <v>1400</v>
      </c>
      <c r="B13" t="s">
        <v>705</v>
      </c>
      <c r="C13" s="178">
        <f>ROUND('DOE25'!L201+'DOE25'!L219+'DOE25'!L237+'DOE25'!L280+'DOE25'!L299+'DOE25'!L318,0)</f>
        <v>2294062</v>
      </c>
      <c r="D13" s="181">
        <f>ROUND((C13/$C$28)*100,1)</f>
        <v>2.7</v>
      </c>
    </row>
    <row r="14" spans="1:4" x14ac:dyDescent="0.2">
      <c r="D14" s="181"/>
    </row>
    <row r="15" spans="1:4" x14ac:dyDescent="0.2">
      <c r="A15">
        <v>2100</v>
      </c>
      <c r="B15" t="s">
        <v>706</v>
      </c>
      <c r="C15" s="178">
        <f>ROUND('DOE25'!L203+'DOE25'!L221+'DOE25'!L239+'DOE25'!L282+'DOE25'!L301+'DOE25'!L320,0)</f>
        <v>7576931</v>
      </c>
      <c r="D15" s="181">
        <f t="shared" ref="D15:D27" si="0">ROUND((C15/$C$28)*100,1)</f>
        <v>8.9</v>
      </c>
    </row>
    <row r="16" spans="1:4" x14ac:dyDescent="0.2">
      <c r="A16">
        <v>2200</v>
      </c>
      <c r="B16" t="s">
        <v>707</v>
      </c>
      <c r="C16" s="178">
        <f>ROUND('DOE25'!L204+'DOE25'!L222+'DOE25'!L240+'DOE25'!L283+'DOE25'!L302+'DOE25'!L321,0)</f>
        <v>1816219</v>
      </c>
      <c r="D16" s="181">
        <f t="shared" si="0"/>
        <v>2.1</v>
      </c>
    </row>
    <row r="17" spans="1:4" x14ac:dyDescent="0.2">
      <c r="A17" s="182" t="s">
        <v>723</v>
      </c>
      <c r="B17" t="s">
        <v>738</v>
      </c>
      <c r="C17" s="178">
        <f>ROUND('DOE25'!L205+'DOE25'!L210+'DOE25'!L223+'DOE25'!L228+'DOE25'!L241+'DOE25'!L246+'DOE25'!L284+'DOE25'!L289+'DOE25'!L303+'DOE25'!L308+'DOE25'!L322+'DOE25'!L327,0)</f>
        <v>3332172</v>
      </c>
      <c r="D17" s="181">
        <f t="shared" si="0"/>
        <v>3.9</v>
      </c>
    </row>
    <row r="18" spans="1:4" x14ac:dyDescent="0.2">
      <c r="A18">
        <v>2400</v>
      </c>
      <c r="B18" t="s">
        <v>711</v>
      </c>
      <c r="C18" s="178">
        <f>ROUND('DOE25'!L206+'DOE25'!L224+'DOE25'!L242+'DOE25'!L285+'DOE25'!L304+'DOE25'!L323,0)</f>
        <v>4130190</v>
      </c>
      <c r="D18" s="181">
        <f t="shared" si="0"/>
        <v>4.8</v>
      </c>
    </row>
    <row r="19" spans="1:4" x14ac:dyDescent="0.2">
      <c r="A19">
        <v>2500</v>
      </c>
      <c r="B19" t="s">
        <v>708</v>
      </c>
      <c r="C19" s="178">
        <f>ROUND('DOE25'!L207+'DOE25'!L225+'DOE25'!L243+'DOE25'!L286+'DOE25'!L305+'DOE25'!L324,0)</f>
        <v>1287301</v>
      </c>
      <c r="D19" s="181">
        <f t="shared" si="0"/>
        <v>1.5</v>
      </c>
    </row>
    <row r="20" spans="1:4" x14ac:dyDescent="0.2">
      <c r="A20">
        <v>2600</v>
      </c>
      <c r="B20" t="s">
        <v>709</v>
      </c>
      <c r="C20" s="178">
        <f>ROUND('DOE25'!L208+'DOE25'!L226+'DOE25'!L244+'DOE25'!L287+'DOE25'!L306+'DOE25'!L325,0)</f>
        <v>8502350</v>
      </c>
      <c r="D20" s="181">
        <f t="shared" si="0"/>
        <v>10</v>
      </c>
    </row>
    <row r="21" spans="1:4" x14ac:dyDescent="0.2">
      <c r="A21">
        <v>2700</v>
      </c>
      <c r="B21" t="s">
        <v>710</v>
      </c>
      <c r="C21" s="178">
        <f>ROUND('DOE25'!L209+'DOE25'!L227+'DOE25'!L245+'DOE25'!L288+'DOE25'!L307+'DOE25'!L326,0)</f>
        <v>4952172</v>
      </c>
      <c r="D21" s="181">
        <f t="shared" si="0"/>
        <v>5.8</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113430</v>
      </c>
      <c r="D24" s="181">
        <f t="shared" si="0"/>
        <v>0.1</v>
      </c>
    </row>
    <row r="25" spans="1:4" x14ac:dyDescent="0.2">
      <c r="A25">
        <v>5120</v>
      </c>
      <c r="B25" t="s">
        <v>716</v>
      </c>
      <c r="C25" s="178">
        <f>ROUND('DOE25'!L262+'DOE25'!L343,0)</f>
        <v>296604</v>
      </c>
      <c r="D25" s="181">
        <f t="shared" si="0"/>
        <v>0.3</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1852313.23</v>
      </c>
      <c r="D27" s="181">
        <f t="shared" si="0"/>
        <v>2.2000000000000002</v>
      </c>
    </row>
    <row r="28" spans="1:4" x14ac:dyDescent="0.2">
      <c r="B28" s="186" t="s">
        <v>719</v>
      </c>
      <c r="C28" s="179">
        <f>SUM(C10:C27)</f>
        <v>85203870.230000004</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85203870.230000004</v>
      </c>
    </row>
    <row r="31" spans="1:4" x14ac:dyDescent="0.2">
      <c r="B31" s="33"/>
      <c r="C31" s="179"/>
    </row>
    <row r="32" spans="1:4" x14ac:dyDescent="0.2">
      <c r="A32">
        <v>5100</v>
      </c>
      <c r="B32" s="33" t="s">
        <v>726</v>
      </c>
      <c r="C32" s="179">
        <f>ROUND('DOE25'!L261+'DOE25'!L342,0)</f>
        <v>1610000</v>
      </c>
    </row>
    <row r="34" spans="1:4" x14ac:dyDescent="0.2">
      <c r="A34" s="186" t="s">
        <v>94</v>
      </c>
      <c r="B34" s="187" t="s">
        <v>1801</v>
      </c>
      <c r="C34" s="180" t="s">
        <v>720</v>
      </c>
      <c r="D34" s="180" t="s">
        <v>721</v>
      </c>
    </row>
    <row r="35" spans="1:4" x14ac:dyDescent="0.2">
      <c r="A35">
        <v>1100</v>
      </c>
      <c r="B35" s="184" t="s">
        <v>727</v>
      </c>
      <c r="C35" s="178">
        <f>ROUND('DOE25'!F60+'DOE25'!G60+'DOE25'!H60+'DOE25'!I60+'DOE25'!J60,0)</f>
        <v>59959869</v>
      </c>
      <c r="D35" s="181">
        <f t="shared" ref="D35:D40" si="1">ROUND((C35/$C$41)*100,1)</f>
        <v>69.400000000000006</v>
      </c>
    </row>
    <row r="36" spans="1:4" x14ac:dyDescent="0.2">
      <c r="B36" s="184" t="s">
        <v>739</v>
      </c>
      <c r="C36" s="178">
        <f>SUM('DOE25'!F112:J112)-SUM('DOE25'!G97:G110)+('DOE25'!F175+'DOE25'!F176+'DOE25'!I175+'DOE25'!I176)-C35</f>
        <v>1643926.9699999914</v>
      </c>
      <c r="D36" s="181">
        <f t="shared" si="1"/>
        <v>1.9</v>
      </c>
    </row>
    <row r="37" spans="1:4" x14ac:dyDescent="0.2">
      <c r="A37" s="182" t="s">
        <v>835</v>
      </c>
      <c r="B37" s="184" t="s">
        <v>728</v>
      </c>
      <c r="C37" s="178">
        <f>ROUND('DOE25'!F117+'DOE25'!F118,0)</f>
        <v>18419901</v>
      </c>
      <c r="D37" s="181">
        <f t="shared" si="1"/>
        <v>21.3</v>
      </c>
    </row>
    <row r="38" spans="1:4" x14ac:dyDescent="0.2">
      <c r="A38" s="182" t="s">
        <v>734</v>
      </c>
      <c r="B38" s="184" t="s">
        <v>729</v>
      </c>
      <c r="C38" s="178">
        <f>ROUND(SUM('DOE25'!F140:J140)-SUM('DOE25'!F117:F119),0)</f>
        <v>1015077</v>
      </c>
      <c r="D38" s="181">
        <f t="shared" si="1"/>
        <v>1.2</v>
      </c>
    </row>
    <row r="39" spans="1:4" x14ac:dyDescent="0.2">
      <c r="A39">
        <v>4000</v>
      </c>
      <c r="B39" s="184" t="s">
        <v>730</v>
      </c>
      <c r="C39" s="178">
        <f>ROUND('DOE25'!F170+'DOE25'!G170+'DOE25'!H170+'DOE25'!I170,0)</f>
        <v>5398401</v>
      </c>
      <c r="D39" s="181">
        <f t="shared" si="1"/>
        <v>6.2</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86437174.969999999</v>
      </c>
      <c r="D41" s="183">
        <f>SUM(D35:D40)</f>
        <v>100.00000000000001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Londonderry</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180</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41</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48</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197</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f>IFERROR(SMALL($I$4:$I$325,ROWS($I$4:I6)),"")</f>
        <v>216</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f>IFERROR(SMALL($I$4:$I$325,ROWS($I$4:I7)),"")</f>
        <v>273</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f>IF('School Level Expenditures'!$B$2='School Tables'!L44,'School Tables'!S44,"")</f>
        <v>41</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f>IF('School Level Expenditures'!$B$2='School Tables'!W51,'School Tables'!AD51,"")</f>
        <v>48</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f>IF('School Level Expenditures'!$B$2=A183,'School Tables'!H183,"")</f>
        <v>180</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f>IF('School Level Expenditures'!$B$2=A200,'School Tables'!H200,"")</f>
        <v>197</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f>IF('School Level Expenditures'!$B$2=A219,'School Tables'!H219,"")</f>
        <v>216</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f>IF('School Level Expenditures'!$B$2=A276,'School Tables'!H276,"")</f>
        <v>273</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2022-08-24T17:12:42Z</cp:lastPrinted>
  <dcterms:created xsi:type="dcterms:W3CDTF">1997-12-04T19:04:30Z</dcterms:created>
  <dcterms:modified xsi:type="dcterms:W3CDTF">2022-12-19T16:34:57Z</dcterms:modified>
</cp:coreProperties>
</file>