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F620E5B-61F3-43E0-B0BF-4CD4C848A4D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6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4"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H137" i="2" l="1"/>
  <c r="H102" i="2"/>
  <c r="H101" i="2"/>
  <c r="H100" i="2"/>
  <c r="H98" i="2"/>
  <c r="H79" i="2"/>
  <c r="H76" i="2"/>
  <c r="H73" i="2"/>
  <c r="H58" i="2"/>
  <c r="H23" i="2"/>
  <c r="H15" i="2"/>
  <c r="H11" i="2"/>
  <c r="H132" i="2"/>
  <c r="H38" i="2"/>
  <c r="H85" i="2"/>
  <c r="H97" i="2"/>
  <c r="H93" i="2"/>
  <c r="H80" i="2"/>
  <c r="H26" i="2"/>
  <c r="I409" i="1"/>
  <c r="H96" i="2"/>
  <c r="H89" i="2"/>
  <c r="H72" i="2"/>
  <c r="H99" i="2"/>
  <c r="H87" i="2"/>
  <c r="H59" i="2"/>
  <c r="H113" i="2"/>
  <c r="E120" i="2"/>
  <c r="E121" i="2"/>
  <c r="H125" i="2"/>
  <c r="H112" i="2"/>
  <c r="A40" i="12"/>
  <c r="C12" i="10"/>
  <c r="D15" i="13"/>
  <c r="C15" i="13" s="1"/>
  <c r="C121" i="2"/>
  <c r="D6" i="13"/>
  <c r="C6" i="13" s="1"/>
  <c r="E13" i="13"/>
  <c r="C13" i="13" s="1"/>
  <c r="C120" i="2"/>
  <c r="H77" i="2"/>
  <c r="H69" i="2"/>
  <c r="H61" i="2"/>
  <c r="H47" i="2"/>
  <c r="H48" i="2"/>
  <c r="H43" i="2"/>
  <c r="H42" i="2"/>
  <c r="H44" i="2"/>
  <c r="H36" i="2"/>
  <c r="H35" i="2"/>
  <c r="H34" i="2"/>
  <c r="H30" i="2"/>
  <c r="H29" i="2"/>
  <c r="H28" i="2"/>
  <c r="H27" i="2"/>
  <c r="H22" i="2"/>
  <c r="H24" i="2"/>
  <c r="H17" i="2"/>
  <c r="H13" i="2"/>
  <c r="H12" i="2"/>
  <c r="H9" i="2"/>
  <c r="H8"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16" i="2"/>
  <c r="H21" i="2"/>
  <c r="H31" i="2"/>
  <c r="H120" i="2"/>
  <c r="H134" i="2"/>
  <c r="H57" i="2"/>
  <c r="H103" i="2"/>
  <c r="D128" i="2"/>
  <c r="D145" i="2" s="1"/>
  <c r="H127" i="2"/>
  <c r="H114" i="2"/>
  <c r="H118" i="2"/>
  <c r="E115" i="2"/>
  <c r="H123" i="2"/>
  <c r="H121" i="2"/>
  <c r="E128" i="2"/>
  <c r="F661" i="1"/>
  <c r="H109" i="2"/>
  <c r="H91" i="2"/>
  <c r="C81" i="2"/>
  <c r="H81" i="2" s="1"/>
  <c r="H62" i="2"/>
  <c r="F194" i="1"/>
  <c r="G628" i="1" s="1"/>
  <c r="J628" i="1" s="1"/>
  <c r="D51" i="2"/>
  <c r="H50" i="2"/>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C144" i="2"/>
  <c r="H141" i="2"/>
  <c r="E145" i="2"/>
  <c r="H115" i="2"/>
  <c r="H673" i="1"/>
  <c r="C6" i="10" s="1"/>
  <c r="C104" i="2"/>
  <c r="H104" i="2" s="1"/>
  <c r="H63" i="2"/>
  <c r="H51"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<sst xmlns="http://schemas.openxmlformats.org/spreadsheetml/2006/main" count="6533" uniqueCount="1805">
  <si>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</si>
  <si>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</si>
  <si>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</si>
  <si>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</si>
  <si>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</si>
  <si>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</si>
  <si>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</si>
  <si>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</si>
  <si>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</si>
  <si>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</si>
  <si>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</si>
  <si>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</si>
  <si>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</si>
  <si>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</si>
  <si>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</si>
  <si>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</si>
  <si>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</si>
  <si>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</si>
  <si>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</si>
  <si>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</si>
  <si>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</si>
  <si>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</si>
  <si>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</si>
  <si>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</si>
  <si>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</si>
  <si>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</si>
  <si>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</si>
  <si>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</si>
  <si>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</si>
  <si>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</si>
  <si>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</si>
  <si>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</si>
  <si>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</si>
  <si>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</si>
  <si>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</si>
  <si>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</si>
  <si>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</si>
  <si>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</si>
  <si>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</si>
  <si>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</si>
  <si>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</si>
  <si>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</si>
  <si>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</si>
  <si>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</si>
  <si>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</si>
  <si>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</si>
  <si>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</si>
  <si>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</si>
  <si>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</si>
  <si>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</si>
  <si>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</si>
  <si>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</si>
  <si>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</si>
  <si>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</si>
  <si>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</si>
  <si>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</si>
  <si>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</si>
  <si>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</si>
  <si>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</si>
  <si>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</si>
  <si>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</si>
  <si>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</si>
  <si>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</si>
  <si>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</si>
  <si>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</si>
  <si>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</si>
  <si>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</si>
  <si>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</si>
  <si>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</si>
  <si>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</si>
  <si>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</si>
  <si>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</si>
  <si>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</si>
  <si>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</si>
  <si>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</si>
  <si>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</si>
  <si>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</si>
  <si>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</si>
  <si>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</si>
  <si>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</si>
  <si>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</si>
  <si>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</si>
  <si>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</si>
  <si>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</si>
  <si>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</si>
  <si>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</si>
  <si>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</si>
  <si>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</si>
  <si>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</si>
  <si>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</si>
  <si>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</si>
  <si>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</si>
  <si>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</si>
  <si>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</si>
  <si>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</si>
  <si>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</si>
  <si>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</si>
  <si>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</si>
  <si>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</si>
  <si>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</si>
  <si>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</si>
  <si>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</si>
  <si>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</si>
  <si>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</si>
  <si>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</si>
  <si>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</si>
  <si>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</si>
  <si>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</si>
  <si>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</si>
  <si>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</si>
  <si>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</si>
  <si>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</si>
  <si>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</si>
  <si>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</si>
  <si>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</si>
  <si>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</si>
  <si>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</si>
  <si>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</si>
  <si>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</si>
  <si>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</si>
  <si>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</si>
  <si>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</si>
  <si>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</si>
  <si>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</si>
  <si>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</si>
  <si>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</si>
  <si>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</si>
  <si>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</si>
  <si>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</si>
  <si>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</si>
  <si>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</si>
  <si>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</si>
  <si>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</si>
  <si>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</si>
  <si>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</si>
  <si>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</si>
  <si>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</si>
  <si>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</si>
  <si>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</si>
  <si>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</si>
  <si>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</si>
  <si>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</si>
  <si>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</si>
  <si>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</si>
  <si>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</si>
  <si>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</si>
  <si>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</si>
  <si>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</si>
  <si>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</si>
  <si>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</si>
  <si>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</si>
  <si>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</si>
  <si>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</si>
  <si>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</si>
  <si>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</si>
  <si>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</si>
  <si>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</si>
  <si>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</si>
  <si>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</si>
  <si>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</si>
  <si>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</si>
  <si>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</si>
  <si>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</si>
  <si>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</si>
  <si>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</si>
  <si>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</si>
  <si>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</si>
  <si>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</si>
  <si>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</si>
  <si>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</si>
  <si>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</si>
  <si>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</si>
  <si>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</si>
  <si>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</si>
  <si>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</si>
  <si>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</si>
  <si>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</si>
  <si>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</si>
  <si>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</si>
  <si>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</si>
  <si>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</si>
  <si>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</si>
  <si>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</si>
  <si>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</si>
  <si>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</si>
  <si>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</si>
  <si>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</si>
  <si>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</si>
  <si>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</si>
  <si>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</si>
  <si>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</si>
  <si>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</si>
  <si>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</si>
  <si>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</si>
  <si>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</si>
  <si>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</si>
  <si>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</si>
  <si>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</si>
  <si>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</si>
  <si>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</si>
  <si>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</si>
  <si>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</si>
  <si>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</si>
  <si>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</si>
  <si>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</si>
  <si>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</si>
  <si>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</si>
  <si>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</si>
  <si>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</si>
  <si>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</si>
  <si>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</si>
  <si>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</si>
  <si>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</si>
  <si>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</si>
  <si>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</si>
  <si>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</si>
  <si>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</si>
  <si>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</si>
  <si>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</si>
  <si>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</si>
  <si>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</si>
  <si>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</si>
  <si>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</si>
  <si>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</si>
  <si>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</si>
  <si>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</si>
  <si>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</si>
  <si>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</si>
  <si>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</si>
  <si>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</si>
  <si>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</si>
  <si>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</si>
  <si>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</si>
  <si>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</si>
  <si>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</si>
  <si>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</si>
  <si>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</si>
  <si>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</si>
  <si>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</si>
  <si>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</si>
  <si>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</si>
  <si>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</si>
  <si>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</si>
  <si>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</si>
  <si>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</si>
  <si>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</si>
  <si>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</si>
  <si>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</si>
  <si>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</si>
  <si>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</si>
  <si>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</si>
  <si>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</si>
  <si>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</si>
  <si>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</si>
  <si>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</si>
  <si>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</si>
  <si>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</si>
  <si>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</si>
  <si>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</si>
  <si>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</si>
  <si>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</si>
  <si>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</si>
  <si>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</si>
  <si>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</si>
  <si>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</si>
  <si>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</si>
  <si>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</si>
  <si>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</si>
  <si>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</si>
  <si>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</si>
  <si>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</si>
  <si>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</si>
  <si>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</si>
  <si>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</si>
  <si>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</si>
  <si>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</si>
  <si>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</si>
  <si>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</si>
  <si>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</si>
  <si>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</si>
  <si>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</si>
  <si>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</si>
  <si>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</si>
  <si>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</si>
  <si>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</si>
  <si>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</si>
  <si>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</si>
  <si>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</si>
  <si>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</si>
  <si>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</si>
  <si>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</si>
  <si>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</si>
  <si>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</si>
  <si>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</si>
  <si>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</si>
  <si>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</si>
  <si>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</si>
  <si>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</si>
  <si>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</si>
  <si>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</si>
  <si>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</si>
  <si>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</si>
  <si>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</si>
  <si>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</si>
  <si>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</si>
  <si>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</si>
  <si>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</si>
  <si>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</si>
  <si>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</si>
  <si>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</si>
  <si>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</si>
  <si>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</si>
  <si>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</si>
  <si>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</si>
  <si>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</si>
  <si>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</si>
  <si>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</si>
  <si>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</si>
  <si>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</si>
  <si>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</si>
  <si>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</si>
  <si>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</si>
  <si>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</si>
  <si>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</si>
  <si>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</si>
  <si>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</si>
  <si>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</si>
  <si>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</si>
  <si>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</si>
  <si>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</si>
  <si>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</si>
  <si>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</si>
  <si>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</si>
  <si>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</si>
  <si>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</si>
  <si>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</si>
  <si>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</si>
  <si>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</si>
  <si>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</si>
  <si>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</si>
  <si>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</si>
  <si>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</si>
  <si>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</si>
  <si>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</si>
  <si>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</si>
  <si>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</si>
  <si>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</si>
  <si>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</si>
  <si>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</si>
  <si>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</si>
  <si>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</si>
  <si>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</si>
  <si>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</si>
  <si>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</si>
  <si>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</si>
  <si>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</si>
  <si>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</si>
  <si>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</si>
  <si>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</si>
  <si>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</si>
  <si>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</si>
  <si>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</si>
  <si>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</si>
  <si>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</si>
  <si>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</si>
  <si>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</si>
  <si>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</si>
  <si>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</si>
  <si>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</si>
  <si>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</si>
  <si>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</si>
  <si>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</si>
  <si>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</si>
  <si>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</si>
  <si>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</si>
  <si>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</si>
  <si>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</si>
  <si>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</si>
  <si>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</si>
  <si>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</si>
  <si>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</si>
  <si>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</si>
  <si>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</si>
  <si>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</si>
  <si>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</si>
  <si>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</si>
  <si>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</si>
  <si>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</si>
  <si>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</si>
  <si>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</si>
  <si>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</si>
  <si>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</si>
  <si>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</si>
  <si>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</si>
  <si>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</si>
  <si>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</si>
  <si>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</si>
  <si>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</si>
  <si>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</si>
  <si>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</si>
  <si>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</si>
  <si>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</si>
  <si>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</si>
  <si>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</si>
  <si>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</si>
  <si>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</si>
  <si>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</si>
  <si>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</si>
  <si>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</si>
  <si>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</si>
  <si>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</si>
  <si>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</si>
  <si>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</si>
  <si>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</si>
  <si>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</si>
  <si>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</si>
  <si>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</si>
  <si>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</si>
  <si>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</si>
  <si>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</si>
  <si>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</si>
  <si>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</si>
  <si>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</si>
  <si>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</si>
  <si>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</si>
  <si>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</si>
  <si>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</si>
  <si>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</si>
  <si>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</si>
  <si>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</si>
  <si>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</si>
  <si>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</si>
  <si>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</si>
  <si>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</si>
  <si>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</si>
  <si>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</si>
  <si>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</si>
  <si>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</si>
  <si>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</si>
  <si>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</si>
  <si>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</si>
  <si>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</si>
  <si>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</si>
  <si>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</si>
  <si>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</si>
  <si>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</si>
  <si>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</si>
  <si>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</si>
  <si>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</si>
  <si>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</si>
  <si>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</si>
  <si>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</si>
  <si>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</si>
  <si>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</si>
  <si>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</si>
  <si>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</si>
  <si>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</si>
  <si>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</si>
  <si>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</si>
  <si>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</si>
  <si>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</si>
  <si>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</si>
  <si>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</si>
  <si>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</si>
  <si>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</si>
  <si>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</si>
  <si>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</si>
  <si>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</si>
  <si>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</si>
  <si>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</si>
  <si>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</si>
  <si>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</si>
  <si>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</si>
  <si>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</si>
  <si>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</si>
  <si>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</si>
  <si>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</si>
  <si>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</si>
  <si>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</si>
  <si>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</si>
  <si>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</si>
  <si>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</si>
  <si>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</si>
  <si>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</si>
  <si>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</si>
  <si>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</si>
  <si>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</si>
  <si>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</si>
  <si>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</si>
  <si>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</si>
  <si>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</si>
  <si>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</si>
  <si>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</si>
  <si>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</si>
  <si>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</si>
  <si>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</si>
  <si>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</si>
  <si>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</si>
  <si>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</si>
  <si>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</si>
  <si>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</si>
  <si>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</si>
  <si>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</si>
  <si>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</si>
  <si>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</si>
  <si>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</si>
  <si>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</si>
  <si>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</si>
  <si>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</si>
  <si>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</si>
  <si>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</si>
  <si>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</si>
  <si>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</si>
  <si>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</si>
  <si>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</si>
  <si>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</si>
  <si>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</si>
  <si>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</si>
  <si>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</si>
  <si>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</si>
  <si>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</si>
  <si>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</si>
  <si>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</si>
  <si>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</si>
  <si>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</si>
  <si>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</si>
  <si>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</si>
  <si>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</si>
  <si>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</si>
  <si>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</si>
  <si>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</si>
  <si>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</si>
  <si>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</si>
  <si>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</si>
  <si>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</si>
  <si>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</si>
  <si>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</si>
  <si>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</si>
  <si>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</si>
  <si>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</si>
  <si>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</si>
  <si>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</si>
  <si>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</si>
  <si>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</si>
  <si>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</si>
  <si>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</si>
  <si>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</si>
  <si>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</si>
  <si>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</si>
  <si>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</si>
  <si>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</si>
  <si>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</si>
  <si>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</si>
  <si>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</si>
  <si>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</si>
  <si>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</si>
  <si>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</si>
  <si>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</si>
  <si>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</si>
  <si>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</si>
  <si>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</si>
  <si>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</si>
  <si>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</si>
  <si>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</si>
  <si>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</si>
  <si>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</si>
  <si>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</si>
  <si>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</si>
  <si>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</si>
  <si>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</si>
  <si>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</si>
  <si>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</si>
  <si>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</si>
  <si>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</si>
  <si>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</si>
  <si>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</si>
  <si>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</si>
  <si>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</si>
  <si>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</si>
  <si>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</si>
  <si>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</si>
  <si>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</si>
  <si>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</si>
  <si>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</si>
  <si>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</si>
  <si>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</si>
  <si>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</si>
  <si>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</si>
  <si>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</si>
  <si>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</si>
  <si>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</si>
  <si>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</si>
  <si>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</si>
  <si>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</si>
  <si>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</si>
  <si>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</si>
  <si>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</si>
  <si>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</si>
  <si>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</si>
  <si>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</si>
  <si>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</si>
  <si>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</si>
  <si>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</si>
  <si>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</si>
  <si>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</si>
  <si>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</si>
  <si>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</si>
  <si>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</si>
  <si>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</si>
  <si>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</si>
  <si>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</si>
  <si>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</si>
  <si>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</si>
  <si>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</si>
  <si>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</si>
  <si>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</si>
  <si>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</si>
  <si>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</si>
  <si>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</si>
  <si>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</si>
  <si>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</si>
  <si>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</si>
  <si>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</si>
  <si>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</si>
  <si>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</si>
  <si>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</si>
  <si>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</si>
  <si>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</si>
  <si>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</si>
  <si>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</si>
  <si>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</si>
  <si>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</si>
  <si>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</si>
  <si>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</si>
  <si>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</si>
  <si>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</si>
  <si>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</si>
  <si>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</si>
  <si>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</si>
  <si>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</si>
  <si>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</si>
  <si>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</si>
  <si>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</si>
  <si>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</si>
  <si>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</si>
  <si>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</si>
  <si>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</si>
  <si>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</si>
  <si>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</si>
  <si>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</si>
  <si>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</si>
  <si>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</si>
  <si>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</si>
  <si>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</si>
  <si>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</si>
  <si>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</si>
  <si>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</si>
  <si>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</si>
  <si>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</si>
  <si>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</si>
  <si>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</si>
  <si>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</si>
  <si>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</si>
  <si>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</si>
  <si>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</si>
  <si>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</si>
  <si>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</si>
  <si>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</si>
  <si>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</si>
  <si>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</si>
  <si>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</si>
  <si>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</si>
  <si>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</si>
  <si>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</si>
  <si>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</si>
  <si>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</si>
  <si>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</si>
  <si>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</si>
  <si>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</si>
  <si>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</si>
  <si>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</si>
  <si>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</si>
  <si>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</si>
  <si>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</si>
  <si>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</si>
  <si>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</si>
  <si>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</si>
  <si>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</si>
  <si>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</si>
  <si>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</si>
  <si>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</si>
  <si>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</si>
  <si>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</si>
  <si>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</si>
  <si>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</si>
  <si>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</si>
  <si>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</si>
  <si>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</si>
  <si>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</si>
  <si>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</si>
  <si>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</si>
  <si>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</si>
  <si>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</si>
  <si>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</si>
  <si>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</si>
  <si>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</si>
  <si>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</si>
  <si>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</si>
  <si>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</si>
  <si>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</si>
  <si>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</si>
  <si>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</si>
  <si>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</si>
  <si>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</si>
  <si>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</si>
  <si>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</si>
  <si>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</si>
  <si>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</si>
  <si>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</si>
  <si>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</si>
  <si>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</si>
  <si>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</si>
  <si>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</si>
  <si>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</si>
  <si>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</si>
  <si>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</si>
  <si>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</si>
  <si>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</si>
  <si>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</si>
  <si>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</si>
  <si>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</si>
  <si>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</si>
  <si>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</si>
  <si>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</si>
  <si>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</si>
  <si>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</si>
  <si>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</si>
  <si>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</si>
  <si>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</si>
  <si>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</si>
  <si>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</si>
  <si>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</si>
  <si>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</si>
  <si>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</si>
  <si>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</si>
  <si>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</si>
  <si>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</si>
  <si>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</si>
  <si>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</si>
  <si>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</si>
  <si>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</si>
  <si>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</si>
  <si>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</si>
  <si>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</si>
  <si>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</si>
  <si>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</si>
  <si>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</si>
  <si>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</si>
  <si>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</si>
  <si>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</si>
  <si>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</si>
  <si>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</si>
  <si>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</si>
  <si>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</si>
  <si>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</si>
  <si>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</si>
  <si>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</si>
  <si>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</si>
  <si>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</si>
  <si>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</si>
  <si>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</si>
  <si>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</si>
  <si>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</si>
  <si>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</si>
  <si>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</si>
  <si>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</si>
  <si>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</si>
  <si>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</si>
  <si>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</si>
  <si>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</si>
  <si>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</si>
  <si>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</si>
  <si>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</si>
  <si>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</si>
  <si>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</si>
  <si>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</si>
  <si>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</si>
  <si>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</si>
  <si>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</si>
  <si>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</si>
  <si>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</si>
  <si>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</si>
  <si>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</si>
  <si>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</si>
  <si>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</si>
  <si>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</si>
  <si>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</si>
  <si>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</si>
  <si>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</si>
  <si>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</si>
  <si>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</si>
  <si>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</si>
  <si>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</si>
  <si>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</si>
  <si>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</si>
  <si>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</si>
  <si>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</si>
  <si>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</si>
  <si>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</si>
  <si>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</si>
  <si>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</si>
  <si>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</si>
  <si>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</si>
  <si>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</si>
  <si>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</si>
  <si>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</si>
  <si>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</si>
  <si>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</si>
  <si>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</si>
  <si>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</si>
  <si>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</si>
  <si>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</si>
  <si>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</si>
  <si>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</si>
  <si>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</si>
  <si>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</si>
  <si>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</si>
  <si>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</si>
  <si>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</si>
  <si>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</si>
  <si>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</si>
  <si>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</si>
  <si>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</si>
  <si>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</si>
  <si>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</si>
  <si>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</si>
  <si>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</si>
  <si>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</si>
  <si>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</si>
  <si>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</si>
  <si>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</si>
  <si>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</si>
  <si>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</si>
  <si>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</si>
  <si>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</si>
  <si>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</si>
  <si>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</si>
  <si>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</si>
  <si>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</si>
  <si>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</si>
  <si>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</si>
  <si>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</si>
  <si>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</si>
  <si>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</si>
  <si>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</si>
  <si>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</si>
  <si>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</si>
  <si>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</si>
  <si>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</si>
  <si>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</si>
  <si>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</si>
  <si>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</si>
  <si>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</si>
  <si>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</si>
  <si>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</si>
  <si>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</si>
  <si>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</si>
  <si>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</si>
  <si>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</si>
  <si>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</si>
  <si>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</si>
  <si>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</si>
  <si>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</si>
  <si>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</si>
  <si>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</si>
  <si>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</si>
  <si>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</si>
  <si>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</si>
  <si>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</si>
  <si>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</si>
  <si>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</si>
  <si>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</si>
  <si>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</si>
  <si>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</si>
  <si>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</si>
  <si>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</si>
  <si>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</si>
  <si>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</si>
  <si>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</si>
  <si>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</si>
  <si>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</si>
  <si>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</si>
  <si>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</si>
  <si>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</si>
  <si>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</si>
  <si>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</si>
  <si>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</si>
  <si>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</si>
  <si>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</si>
  <si>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</si>
  <si>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</si>
  <si>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</si>
  <si>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</si>
  <si>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</si>
  <si>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</si>
  <si>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</si>
  <si>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</si>
  <si>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</si>
  <si>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</si>
  <si>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</si>
  <si>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</si>
  <si>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</si>
  <si>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</si>
  <si>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</si>
  <si>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</si>
  <si>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</si>
  <si>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</si>
  <si>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</si>
  <si>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</si>
  <si>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</si>
  <si>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</si>
  <si>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</si>
  <si>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</si>
  <si>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</si>
  <si>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</si>
  <si>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</si>
  <si>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</si>
  <si>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</si>
  <si>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</si>
  <si>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</si>
  <si>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</si>
  <si>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</si>
  <si>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</si>
  <si>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</si>
  <si>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</si>
  <si>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</si>
  <si>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</si>
  <si>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</si>
  <si>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</si>
  <si>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</si>
  <si>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</si>
  <si>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</si>
  <si>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</si>
  <si>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</si>
  <si>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</si>
  <si>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</si>
  <si>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</si>
  <si>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</si>
  <si>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</si>
  <si>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</si>
  <si>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</si>
  <si>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</si>
  <si>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</si>
  <si>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</si>
  <si>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</si>
  <si>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</si>
  <si>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</si>
  <si>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</si>
  <si>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</si>
  <si>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</si>
  <si>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</si>
  <si>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</si>
  <si>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</si>
  <si>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</si>
  <si>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</si>
  <si>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</si>
  <si>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</si>
  <si>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</si>
  <si>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</si>
  <si>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</si>
  <si>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</si>
  <si>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</si>
  <si>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</si>
  <si>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</si>
  <si>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</si>
  <si>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</si>
  <si>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</si>
  <si>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</si>
  <si>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</si>
  <si>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</si>
  <si>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</si>
  <si>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</si>
  <si>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</si>
  <si>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</si>
  <si>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</si>
  <si>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</si>
  <si>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</si>
  <si>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</si>
  <si>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</si>
  <si>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</si>
  <si>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</si>
  <si>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</si>
  <si>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</si>
  <si>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</si>
  <si>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</si>
  <si>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</si>
  <si>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</si>
  <si>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</si>
  <si>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</si>
  <si>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</si>
  <si>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</si>
  <si>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</si>
  <si>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</si>
  <si>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</si>
  <si>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</si>
  <si>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</si>
  <si>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</si>
  <si>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</si>
  <si>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</si>
  <si>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</si>
  <si>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</si>
  <si>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</si>
  <si>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</si>
  <si>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</si>
  <si>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</si>
  <si>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</si>
  <si>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</si>
  <si>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</si>
  <si>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</si>
  <si>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</si>
  <si>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</si>
  <si>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</si>
  <si>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</si>
  <si>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</si>
  <si>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</si>
  <si>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</si>
  <si>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</si>
  <si>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</si>
  <si>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</si>
  <si>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</si>
  <si>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</si>
  <si>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</si>
  <si>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</si>
  <si>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</si>
  <si>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</si>
  <si>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</si>
  <si>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</si>
  <si>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</si>
  <si>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</si>
  <si>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</si>
  <si>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</si>
  <si>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</si>
  <si>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</si>
  <si>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</si>
  <si>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</si>
  <si>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</si>
  <si>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</si>
  <si>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</si>
  <si>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</si>
  <si>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</si>
  <si>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</si>
  <si>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</si>
  <si>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</si>
  <si>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</si>
  <si>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</si>
  <si>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</si>
  <si>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</si>
  <si>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</si>
  <si>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</si>
  <si>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</si>
  <si>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</si>
  <si>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</si>
  <si>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</si>
  <si>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</si>
  <si>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</si>
  <si>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</si>
  <si>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</si>
  <si>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</si>
  <si>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</si>
  <si>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</si>
  <si>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</si>
  <si>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</si>
  <si>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</si>
  <si>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</si>
  <si>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</si>
  <si>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</si>
  <si>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</si>
  <si>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</si>
  <si>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</si>
  <si>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</si>
  <si>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</si>
  <si>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</si>
  <si>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</si>
  <si>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</si>
  <si>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</si>
  <si>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</si>
  <si>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</si>
  <si>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</si>
  <si>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</si>
  <si>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</si>
  <si>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</si>
  <si>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</si>
  <si>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</si>
  <si>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</si>
  <si>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</si>
  <si>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</si>
  <si>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</si>
  <si>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</si>
  <si>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</si>
  <si>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</si>
  <si>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</si>
  <si>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</si>
  <si>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</si>
  <si>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</si>
  <si>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</si>
  <si>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</si>
  <si>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</si>
  <si>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</si>
  <si>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</si>
  <si>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</si>
  <si>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</si>
  <si>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</si>
  <si>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</si>
  <si>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</si>
  <si>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</si>
  <si>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</si>
  <si>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</si>
  <si>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</si>
  <si>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</si>
  <si>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</si>
  <si>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</si>
  <si>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</si>
  <si>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</si>
  <si>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</si>
  <si>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</si>
  <si>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</si>
  <si>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</si>
  <si>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</si>
  <si>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</si>
  <si>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</si>
  <si>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</si>
  <si>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</si>
  <si>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</si>
  <si>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</si>
  <si>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</si>
  <si>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</si>
  <si>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</si>
  <si>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</si>
  <si>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</si>
  <si>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</si>
  <si>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</si>
  <si>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</si>
  <si>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</si>
  <si>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</si>
  <si>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</si>
  <si>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</si>
  <si>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</si>
  <si>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</si>
  <si>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</si>
  <si>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</si>
  <si>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</si>
  <si>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</si>
  <si>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</si>
  <si>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</si>
  <si>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</si>
  <si>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</si>
  <si>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</si>
  <si>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</si>
  <si>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</si>
  <si>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</si>
  <si>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</si>
  <si>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</si>
  <si>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</si>
  <si>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</si>
  <si>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</si>
  <si>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</si>
  <si>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</si>
  <si>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</si>
  <si>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</si>
  <si>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</si>
  <si>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</si>
  <si>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</si>
  <si>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</si>
  <si>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</si>
  <si>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</si>
  <si>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</si>
  <si>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</si>
  <si>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</si>
  <si>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</si>
  <si>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</si>
  <si>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</si>
  <si>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</si>
  <si>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</si>
  <si>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</si>
  <si>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</si>
  <si>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</si>
  <si>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</si>
  <si>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</si>
  <si>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</si>
  <si>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</si>
  <si>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</si>
  <si>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</si>
  <si>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</si>
  <si>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</si>
  <si>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</si>
  <si>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</si>
  <si>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</si>
  <si>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</si>
  <si>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</si>
  <si>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</si>
  <si>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</si>
  <si>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</si>
  <si>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</si>
  <si>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</si>
  <si>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</si>
  <si>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</si>
  <si>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</si>
  <si>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</si>
  <si>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</si>
  <si>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</si>
  <si>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</si>
  <si>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</si>
  <si>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</si>
  <si>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</si>
  <si>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</si>
  <si>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</si>
  <si>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</si>
  <si>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</si>
  <si>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</si>
  <si>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</si>
  <si>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</si>
  <si>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</si>
  <si>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</si>
  <si>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</si>
  <si>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</si>
  <si>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</si>
  <si>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</si>
  <si>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</si>
  <si>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</si>
  <si>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</si>
  <si>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</si>
  <si>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</si>
  <si>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</si>
  <si>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</si>
  <si>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</si>
  <si>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</si>
  <si>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</si>
  <si>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</si>
  <si>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</si>
  <si>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</si>
  <si>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</si>
  <si>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</si>
  <si>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</si>
  <si>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</si>
  <si>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</si>
  <si>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</si>
  <si>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</si>
  <si>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</si>
  <si>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</si>
  <si>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</si>
  <si>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</si>
  <si>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</si>
  <si>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</si>
  <si>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</si>
  <si>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</si>
  <si>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</si>
  <si>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</si>
  <si>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</si>
  <si>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</si>
  <si>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</si>
  <si>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</si>
  <si>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</si>
  <si>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</si>
  <si>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</si>
  <si>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</si>
  <si>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</si>
  <si>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</si>
  <si>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</si>
  <si>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</si>
  <si>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</si>
  <si>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</si>
  <si>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</si>
  <si>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</si>
  <si>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</si>
  <si>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</si>
  <si>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</si>
  <si>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</si>
  <si>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</si>
  <si>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</si>
  <si>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</si>
  <si>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</si>
  <si>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</si>
  <si>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</si>
  <si>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</si>
  <si>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</si>
  <si>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</si>
  <si>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</si>
  <si>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</si>
  <si>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</si>
  <si>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</si>
  <si>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</si>
  <si>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</si>
  <si>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</si>
  <si>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</si>
  <si>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</si>
  <si>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</si>
  <si>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</si>
  <si>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</si>
  <si>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</si>
  <si>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</si>
  <si>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</si>
  <si>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</si>
  <si>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</si>
  <si>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</si>
  <si>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</si>
  <si>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</si>
  <si>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</si>
  <si>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</si>
  <si>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</si>
  <si>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</si>
  <si>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</si>
  <si>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</si>
  <si>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</si>
  <si>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</si>
  <si>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</si>
  <si>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</si>
  <si>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</si>
  <si>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</si>
  <si>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</si>
  <si>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</si>
  <si>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</si>
  <si>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</si>
  <si>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</si>
  <si>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</si>
  <si>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</si>
  <si>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</si>
  <si>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</si>
  <si>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</si>
  <si>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</si>
  <si>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</si>
  <si>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</si>
  <si>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</si>
  <si>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</si>
  <si>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</si>
  <si>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</si>
  <si>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</si>
  <si>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</si>
  <si>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</si>
  <si>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</si>
  <si>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</si>
  <si>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</si>
  <si>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</si>
  <si>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</si>
  <si>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</si>
  <si>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</si>
  <si>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</si>
  <si>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</si>
  <si>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</si>
  <si>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</si>
  <si>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</si>
  <si>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</si>
  <si>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</si>
  <si>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</si>
  <si>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</si>
  <si>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</si>
  <si>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</si>
  <si>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</si>
  <si>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</si>
  <si>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</si>
  <si>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</si>
  <si>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</si>
  <si>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</si>
  <si>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</si>
  <si>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</si>
  <si>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</si>
  <si>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</si>
  <si>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</si>
  <si>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</si>
  <si>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</si>
  <si>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</si>
  <si>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</si>
  <si>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</si>
  <si>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</si>
  <si>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</si>
  <si>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</si>
  <si>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</si>
  <si>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</si>
  <si>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</si>
  <si>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</si>
  <si>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</si>
  <si>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</si>
  <si>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</si>
  <si>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</si>
  <si>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</si>
  <si>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</si>
  <si>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</si>
  <si>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</si>
  <si>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</si>
  <si>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</si>
  <si>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</si>
  <si>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</si>
  <si>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</si>
  <si>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</si>
  <si>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</si>
  <si>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</si>
  <si>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</si>
  <si>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</si>
  <si>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</si>
  <si>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</si>
  <si>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</si>
  <si>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</si>
  <si>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</si>
  <si>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</si>
  <si>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</si>
  <si>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</si>
  <si>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</si>
  <si>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</si>
  <si>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</si>
  <si>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</si>
  <si>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</si>
  <si>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</si>
  <si>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</si>
  <si>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</si>
  <si>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</si>
  <si>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</si>
  <si>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</si>
  <si>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</si>
  <si>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</si>
  <si>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</si>
  <si>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</si>
  <si>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</si>
  <si>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</si>
  <si>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</si>
  <si>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</si>
  <si>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</si>
  <si>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</si>
  <si>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</si>
  <si>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</si>
  <si>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</si>
  <si>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</si>
  <si>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</si>
  <si>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</si>
  <si>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</si>
  <si>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</si>
  <si>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</si>
  <si>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</si>
  <si>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</si>
  <si>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</si>
  <si>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</si>
  <si>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</si>
  <si>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</si>
  <si>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</si>
  <si>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</si>
  <si>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</si>
  <si>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</si>
  <si>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</si>
  <si>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</si>
  <si>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</si>
  <si>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</si>
  <si>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</si>
  <si>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</si>
  <si>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</si>
  <si>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</si>
  <si>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</si>
  <si>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</si>
  <si>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</si>
  <si>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</si>
  <si>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</si>
  <si>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</si>
  <si>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</si>
  <si>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</si>
  <si>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</si>
  <si>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</si>
  <si>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</si>
  <si>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</si>
  <si>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</si>
  <si>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</si>
  <si>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</si>
  <si>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</si>
  <si>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</si>
  <si>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</si>
  <si>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</si>
  <si>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</si>
  <si>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</si>
  <si>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</si>
  <si>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</si>
  <si>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</si>
  <si>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</si>
  <si>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</si>
  <si>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</si>
  <si>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</si>
  <si>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</si>
  <si>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</si>
  <si>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</si>
  <si>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</si>
  <si>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</si>
  <si>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</si>
  <si>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</si>
  <si>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</si>
  <si>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</si>
  <si>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</si>
  <si>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</si>
  <si>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</si>
  <si>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</si>
  <si>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</si>
  <si>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</si>
  <si>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</si>
  <si>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</si>
  <si>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</si>
  <si>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</si>
  <si>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</si>
  <si>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</si>
  <si>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</si>
  <si>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</si>
  <si>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</si>
  <si>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</si>
  <si>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</si>
  <si>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</si>
  <si>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</si>
  <si>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</si>
  <si>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</si>
  <si>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</si>
  <si>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</si>
  <si>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</si>
  <si>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</si>
  <si>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</si>
  <si>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</si>
  <si>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</si>
  <si>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</si>
  <si>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</si>
  <si>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</si>
  <si>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</si>
  <si>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</si>
  <si>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</si>
  <si>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</si>
  <si>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</si>
  <si>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</si>
  <si>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</si>
  <si>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</si>
  <si>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</si>
  <si>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</si>
  <si>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</si>
  <si>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</si>
  <si>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</si>
  <si>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</si>
  <si>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</si>
  <si>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</si>
  <si>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</si>
  <si>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</si>
  <si>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</si>
  <si>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</si>
  <si>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</si>
  <si>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</si>
  <si>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</si>
  <si>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</si>
  <si>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</si>
  <si>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</si>
  <si>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</si>
  <si>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</si>
  <si>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</si>
  <si>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</si>
  <si>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</si>
  <si>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</si>
  <si>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</si>
  <si>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</si>
  <si>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</si>
  <si>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</si>
  <si>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</si>
  <si>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</si>
  <si>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</si>
  <si>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</si>
  <si>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</si>
  <si>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</si>
  <si>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</si>
  <si>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</si>
  <si>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</si>
  <si>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</si>
  <si>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</si>
  <si>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</si>
  <si>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</si>
  <si>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</si>
  <si>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</si>
  <si>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</si>
  <si>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</si>
  <si>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</si>
  <si>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</si>
  <si>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</si>
  <si>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</si>
  <si>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</si>
  <si>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</si>
  <si>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</si>
  <si>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</si>
  <si>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</si>
  <si>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</si>
  <si>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</si>
  <si>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</si>
  <si>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</si>
  <si>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</si>
  <si>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</si>
  <si>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</si>
  <si>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</si>
  <si>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</si>
  <si>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</si>
  <si>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</si>
  <si>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</si>
  <si>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</si>
  <si>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</si>
  <si>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</si>
  <si>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</si>
  <si>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</si>
  <si>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</si>
  <si>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</si>
  <si>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</si>
  <si>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</si>
  <si>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</si>
  <si>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</si>
  <si>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</si>
  <si>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</si>
  <si>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</si>
  <si>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</si>
  <si>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</si>
  <si>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</si>
  <si>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</si>
  <si>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</si>
  <si>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</si>
  <si>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</si>
  <si>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</si>
  <si>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</si>
  <si>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</si>
  <si>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</si>
  <si>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</si>
  <si>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</si>
  <si>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</si>
  <si>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</si>
  <si>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</si>
  <si>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</si>
  <si>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</si>
  <si>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</si>
  <si>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</si>
  <si>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</si>
  <si>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</si>
  <si>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</si>
  <si>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</si>
  <si>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</si>
  <si>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</si>
  <si>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</si>
  <si>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</si>
  <si>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</si>
  <si>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</si>
  <si>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</si>
  <si>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</si>
  <si>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</si>
  <si>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</si>
  <si>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</si>
  <si>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</si>
  <si>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</si>
  <si>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</si>
  <si>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</si>
  <si>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</si>
  <si>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</si>
  <si>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</si>
  <si>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</si>
  <si>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</si>
  <si>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</si>
  <si>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</si>
  <si>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</si>
  <si>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</si>
  <si>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</si>
  <si>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</si>
  <si>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</si>
  <si>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</si>
  <si>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</si>
  <si>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</si>
  <si>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</si>
  <si>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</si>
  <si>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</si>
  <si>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</si>
  <si>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</si>
  <si>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</si>
  <si>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</si>
  <si>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</si>
  <si>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</si>
  <si>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</si>
  <si>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</si>
  <si>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</si>
  <si>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</si>
  <si>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</si>
  <si>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</si>
  <si>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</si>
  <si>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</si>
  <si>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</si>
  <si>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</si>
  <si>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</si>
  <si>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</si>
  <si>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</si>
  <si>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</si>
  <si>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</si>
  <si>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</si>
  <si>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</si>
  <si>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</si>
  <si>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</si>
  <si>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</si>
  <si>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</si>
  <si>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</si>
  <si>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</si>
  <si>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</si>
  <si>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</si>
  <si>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</si>
  <si>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</si>
  <si>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</si>
  <si>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</si>
  <si>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</si>
  <si>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</si>
  <si>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</si>
  <si>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</si>
  <si>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</si>
  <si>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</si>
  <si>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</si>
  <si>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</si>
  <si>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</si>
  <si>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</si>
  <si>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</si>
  <si>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</si>
  <si>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</si>
  <si>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</si>
  <si>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</si>
  <si>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</si>
  <si>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</si>
  <si>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</si>
  <si>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</si>
  <si>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</si>
  <si>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</si>
  <si>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</si>
  <si>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</si>
  <si>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</si>
  <si>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</si>
  <si>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</si>
  <si>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</si>
  <si>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</si>
  <si>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</si>
  <si>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</si>
  <si>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</si>
  <si>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</si>
  <si>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</si>
  <si>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</si>
  <si>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</si>
  <si>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</si>
  <si>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</si>
  <si>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</si>
  <si>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</si>
  <si>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</si>
  <si>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</si>
  <si>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</si>
  <si>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</si>
  <si>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</si>
  <si>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</si>
  <si>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</si>
  <si>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</si>
  <si>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</si>
  <si>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</si>
  <si>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</si>
  <si>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</si>
  <si>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</si>
  <si>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</si>
  <si>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</si>
  <si>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</si>
  <si>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</si>
  <si>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</si>
  <si>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</si>
  <si>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</si>
  <si>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</si>
  <si>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</si>
  <si>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</si>
  <si>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</si>
  <si>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</si>
  <si>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</si>
  <si>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</si>
  <si>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</si>
  <si>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</si>
  <si>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</si>
  <si>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</si>
  <si>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</si>
  <si>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</si>
  <si>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</si>
  <si>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</si>
  <si>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</si>
  <si>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</si>
  <si>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</si>
  <si>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</si>
  <si>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</si>
  <si>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</si>
  <si>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</si>
  <si>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</si>
  <si>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</si>
  <si>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</si>
  <si>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</si>
  <si>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</si>
  <si>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</si>
  <si>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</si>
  <si>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</si>
  <si>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</si>
  <si>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</si>
  <si>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</si>
  <si>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</si>
  <si>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</si>
  <si>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</si>
  <si>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</si>
  <si>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</si>
  <si>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</si>
  <si>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</si>
  <si>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</si>
  <si>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</si>
  <si>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07/08</t>
  </si>
  <si>
    <t>08/28</t>
  </si>
  <si>
    <t>Audit underway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</si>
</sst>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1228</v>
      </c>
      <c r="B2" s="126">
        <f>INDEX('School Tables'!$AH$3:$AH$208,MATCH('DOE25'!A2,'School Tables'!$AJ$3:$AJ$208,0))</f>
        <v>339</v>
      </c>
      <c r="C2" s="126">
        <f>INDEX('School Tables'!$AI$3:$AI$208,MATCH('DOE25'!A2,'School Tables'!$AJ$3:$AJ$208,0))</f>
        <v>339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45888.25</v>
      </c>
      <c r="G9" s="18">
        <v>0</v>
      </c>
      <c r="H9" s="18">
        <v>45900.74</v>
      </c>
      <c r="I9" s="18">
        <v>0</v>
      </c>
      <c r="J9" s="67">
        <f>SUM(I440)</f>
        <v>493024.76</v>
      </c>
      <c r="K9" s="24" t="s">
        <v>288</v>
      </c>
      <c r="L9" s="24" t="s">
        <v>288</v>
      </c>
      <c r="M9" s="8"/>
      <c r="N9" s="265"/>
    </row>
    <row r="10" spans="1:14" s="3" customFormat="1" ht="12.2" customHeight="1" x14ac:dyDescent="0.15">
      <c r="A10" s="1" t="s">
        <v>562</v>
      </c>
      <c r="B10" s="2" t="s">
        <v>289</v>
      </c>
      <c r="C10" s="6">
        <v>2</v>
      </c>
      <c r="D10" s="2" t="s">
        <v>428</v>
      </c>
      <c r="E10" s="6">
        <v>110</v>
      </c>
      <c r="F10" s="18">
        <v>244637.46</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63914.55</v>
      </c>
      <c r="G12" s="18">
        <v>0</v>
      </c>
      <c r="H12" s="18">
        <v>2265.56</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47655.28</v>
      </c>
      <c r="G13" s="18">
        <v>37572.769999999997</v>
      </c>
      <c r="H13" s="18">
        <v>42804.22</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172.35</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7090.2</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402095.53999999992</v>
      </c>
      <c r="G19" s="41">
        <f>SUM(G9:G18)</f>
        <v>37745.119999999995</v>
      </c>
      <c r="H19" s="41">
        <f>SUM(H9:H18)</f>
        <v>98060.719999999987</v>
      </c>
      <c r="I19" s="41">
        <f>SUM(I9:I18)</f>
        <v>0</v>
      </c>
      <c r="J19" s="41">
        <f>SUM(J9:J18)</f>
        <v>493024.76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2265.56</v>
      </c>
      <c r="G22" s="18">
        <v>20197.830000000002</v>
      </c>
      <c r="H22" s="18">
        <v>43716.72</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3529.48</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3723.27</v>
      </c>
      <c r="G24" s="18">
        <v>0</v>
      </c>
      <c r="H24" s="18">
        <v>8443.26</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5085.7</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70880.44</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1242.96</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85484.45</v>
      </c>
      <c r="G32" s="41">
        <f>SUM(G22:G31)</f>
        <v>21440.79</v>
      </c>
      <c r="H32" s="41">
        <f>SUM(H22:H31)</f>
        <v>52159.98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16304.33</v>
      </c>
      <c r="H37" s="18">
        <v>4252.5</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35000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39688.759999999995</v>
      </c>
      <c r="I48" s="18">
        <v>0</v>
      </c>
      <c r="J48" s="13">
        <f>SUM(I460)</f>
        <v>493024.76</v>
      </c>
      <c r="K48" s="24" t="s">
        <v>288</v>
      </c>
      <c r="L48" s="24" t="s">
        <v>288</v>
      </c>
      <c r="M48" s="8"/>
      <c r="N48" s="265"/>
    </row>
    <row r="49" spans="1:14" s="3" customFormat="1" ht="12.2" customHeight="1" x14ac:dyDescent="0.15">
      <c r="A49" s="1" t="s">
        <v>859</v>
      </c>
      <c r="B49" s="2" t="s">
        <v>289</v>
      </c>
      <c r="C49" s="6">
        <v>34</v>
      </c>
      <c r="D49" s="2"/>
      <c r="E49" s="6">
        <v>753</v>
      </c>
      <c r="F49" s="18">
        <v>206.82</v>
      </c>
      <c r="G49" s="18">
        <v>0</v>
      </c>
      <c r="H49" s="18">
        <v>1959.48</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281404.27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316611.09000000003</v>
      </c>
      <c r="G51" s="41">
        <f>SUM(G35:G50)</f>
        <v>16304.33</v>
      </c>
      <c r="H51" s="41">
        <f>SUM(H35:H50)</f>
        <v>45900.74</v>
      </c>
      <c r="I51" s="41">
        <f>SUM(I35:I50)</f>
        <v>0</v>
      </c>
      <c r="J51" s="41">
        <f>SUM(J35:J50)</f>
        <v>493024.76</v>
      </c>
      <c r="K51" s="45" t="s">
        <v>288</v>
      </c>
      <c r="L51" s="45" t="s">
        <v>288</v>
      </c>
      <c r="N51" s="263"/>
    </row>
    <row r="52" spans="1:14" s="3" customFormat="1" ht="12.2" customHeight="1" thickTop="1" x14ac:dyDescent="0.15">
      <c r="A52" s="38" t="s">
        <v>455</v>
      </c>
      <c r="B52" s="39" t="s">
        <v>289</v>
      </c>
      <c r="C52" s="6">
        <v>37</v>
      </c>
      <c r="D52" s="39" t="s">
        <v>653</v>
      </c>
      <c r="E52" s="39"/>
      <c r="F52" s="41">
        <f>F51+F32</f>
        <v>402095.54000000004</v>
      </c>
      <c r="G52" s="41">
        <f>G51+G32</f>
        <v>37745.120000000003</v>
      </c>
      <c r="H52" s="41">
        <f>H51+H32</f>
        <v>98060.72</v>
      </c>
      <c r="I52" s="41">
        <f>I51+I32</f>
        <v>0</v>
      </c>
      <c r="J52" s="41">
        <f>J51+J32</f>
        <v>493024.76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3210723</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3210723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11879.42</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4095</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20478</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20478</v>
      </c>
      <c r="G79" s="45" t="s">
        <v>288</v>
      </c>
      <c r="H79" s="41">
        <f>SUM(H63:H78)</f>
        <v>15974.42</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1944.18</v>
      </c>
      <c r="G96" s="18">
        <v>0</v>
      </c>
      <c r="H96" s="18">
        <v>0</v>
      </c>
      <c r="I96" s="18">
        <v>0</v>
      </c>
      <c r="J96" s="18">
        <v>6546.5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4039.85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3147</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46024.34</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41471.22</v>
      </c>
      <c r="G109" s="18">
        <v>0</v>
      </c>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6658.89</v>
      </c>
      <c r="G110" s="18">
        <v>0</v>
      </c>
      <c r="H110" s="18">
        <v>184</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96098.62999999999</v>
      </c>
      <c r="G111" s="41">
        <f>SUM(G96:G110)</f>
        <v>4039.85</v>
      </c>
      <c r="H111" s="41">
        <f>SUM(H96:H110)</f>
        <v>3331</v>
      </c>
      <c r="I111" s="41">
        <f>SUM(I96:I110)</f>
        <v>0</v>
      </c>
      <c r="J111" s="41">
        <f>SUM(J96:J110)</f>
        <v>6546.5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3327299.63</v>
      </c>
      <c r="G112" s="41">
        <f>G60+G111</f>
        <v>4039.85</v>
      </c>
      <c r="H112" s="41">
        <f>H60+H79+H94+H111</f>
        <v>19305.419999999998</v>
      </c>
      <c r="I112" s="41">
        <f>I60+I111</f>
        <v>0</v>
      </c>
      <c r="J112" s="41">
        <f>J60+J111</f>
        <v>6546.5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1394691.54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373697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5751.59</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1774140.1300000001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211938.83</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38044.68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14573.47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249983.50999999998</v>
      </c>
      <c r="G136" s="41">
        <f>SUM(G123:G135)</f>
        <v>14573.47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2024123.6400000001</v>
      </c>
      <c r="G140" s="41">
        <f>G121+SUM(G136:G137)</f>
        <v>14573.47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4849.93</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83314.16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67375.53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906.95</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152187.25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59154.06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14466.13</v>
      </c>
      <c r="G161" s="18"/>
      <c r="H161" s="18">
        <v>2963.74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257199.7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14466.13</v>
      </c>
      <c r="G163" s="41">
        <f>SUM(G150:G162)</f>
        <v>152187.25</v>
      </c>
      <c r="H163" s="41">
        <f>SUM(H150:H162)</f>
        <v>475764.07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14466.13</v>
      </c>
      <c r="G170" s="41">
        <f>G147+G163+SUM(G164:G169)</f>
        <v>152187.25</v>
      </c>
      <c r="H170" s="41">
        <f>H147+H163+SUM(H164:H169)</f>
        <v>475764.07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87877.81</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87877.81</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87877.81</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5453767.209999999</v>
      </c>
      <c r="G194" s="47">
        <f>G112+G140+G170+G193</f>
        <v>170800.57</v>
      </c>
      <c r="H194" s="47">
        <f>H112+H140+H170+H193</f>
        <v>495069.49</v>
      </c>
      <c r="I194" s="47">
        <f>I112+I140+I170+I193</f>
        <v>0</v>
      </c>
      <c r="J194" s="47">
        <f>J112+J140+J193</f>
        <v>6546.5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993197.07000000007</v>
      </c>
      <c r="G198" s="18">
        <v>465650.31</v>
      </c>
      <c r="H198" s="18">
        <v>3007.8</v>
      </c>
      <c r="I198" s="18">
        <v>32911.93</v>
      </c>
      <c r="J198" s="18">
        <v>1726.79</v>
      </c>
      <c r="K198" s="18">
        <v>4244.1400000000003</v>
      </c>
      <c r="L198" s="19">
        <f>SUM(F198:K198)</f>
        <v>1500738.04</v>
      </c>
      <c r="M198" s="8"/>
      <c r="N198" s="265"/>
    </row>
    <row r="199" spans="1:14" s="3" customFormat="1" ht="12.2" customHeight="1" x14ac:dyDescent="0.15">
      <c r="A199" s="1" t="s">
        <v>439</v>
      </c>
      <c r="B199" s="2" t="s">
        <v>341</v>
      </c>
      <c r="C199" s="2" t="s">
        <v>291</v>
      </c>
      <c r="D199" s="2" t="s">
        <v>431</v>
      </c>
      <c r="E199" s="6">
        <v>1200</v>
      </c>
      <c r="F199" s="18">
        <v>319539.26999999996</v>
      </c>
      <c r="G199" s="18">
        <v>79657.52</v>
      </c>
      <c r="H199" s="18">
        <v>79500.179999999993</v>
      </c>
      <c r="I199" s="18">
        <v>1304.4000000000001</v>
      </c>
      <c r="J199" s="18">
        <v>0</v>
      </c>
      <c r="K199" s="18">
        <v>0</v>
      </c>
      <c r="L199" s="19">
        <f>SUM(F199:K199)</f>
        <v>480001.37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12706.27</v>
      </c>
      <c r="G201" s="18">
        <v>2678.9700000000003</v>
      </c>
      <c r="H201" s="18">
        <v>1200</v>
      </c>
      <c r="I201" s="18">
        <v>461.28</v>
      </c>
      <c r="J201" s="18">
        <v>2265.56</v>
      </c>
      <c r="K201" s="18">
        <v>2441</v>
      </c>
      <c r="L201" s="19">
        <f>SUM(F201:K201)</f>
        <v>21753.08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206912.08</v>
      </c>
      <c r="G203" s="18">
        <v>60167.479999999996</v>
      </c>
      <c r="H203" s="18">
        <v>1884.37</v>
      </c>
      <c r="I203" s="18">
        <v>2310.77</v>
      </c>
      <c r="J203" s="18">
        <v>4.2</v>
      </c>
      <c r="K203" s="18">
        <v>129</v>
      </c>
      <c r="L203" s="19">
        <f t="shared" ref="L203:L209" si="0">SUM(F203:K203)</f>
        <v>271407.90000000002</v>
      </c>
      <c r="M203" s="8"/>
      <c r="N203" s="265"/>
    </row>
    <row r="204" spans="1:14" s="3" customFormat="1" ht="12.2" customHeight="1" x14ac:dyDescent="0.15">
      <c r="A204" s="1" t="s">
        <v>443</v>
      </c>
      <c r="B204" s="2" t="s">
        <v>341</v>
      </c>
      <c r="C204" s="2" t="s">
        <v>295</v>
      </c>
      <c r="D204" s="2" t="s">
        <v>431</v>
      </c>
      <c r="E204" s="6">
        <v>2200</v>
      </c>
      <c r="F204" s="18">
        <v>71164.08</v>
      </c>
      <c r="G204" s="18">
        <v>45168.26</v>
      </c>
      <c r="H204" s="18">
        <v>6117.33</v>
      </c>
      <c r="I204" s="18">
        <v>7262.94</v>
      </c>
      <c r="J204" s="18">
        <v>295.3</v>
      </c>
      <c r="K204" s="18">
        <v>1226.3499999999999</v>
      </c>
      <c r="L204" s="19">
        <f t="shared" si="0"/>
        <v>131234.26</v>
      </c>
      <c r="M204" s="8"/>
      <c r="N204" s="265"/>
    </row>
    <row r="205" spans="1:14" s="3" customFormat="1" ht="12.2" customHeight="1" x14ac:dyDescent="0.15">
      <c r="A205" s="1" t="s">
        <v>444</v>
      </c>
      <c r="B205" s="2" t="s">
        <v>341</v>
      </c>
      <c r="C205" s="2" t="s">
        <v>296</v>
      </c>
      <c r="D205" s="2" t="s">
        <v>431</v>
      </c>
      <c r="E205" s="6">
        <v>2300</v>
      </c>
      <c r="F205" s="18">
        <v>8420</v>
      </c>
      <c r="G205" s="18">
        <v>681.91000000000008</v>
      </c>
      <c r="H205" s="18">
        <v>221246.95</v>
      </c>
      <c r="I205" s="18">
        <v>415.33</v>
      </c>
      <c r="J205" s="18">
        <v>0</v>
      </c>
      <c r="K205" s="18">
        <v>0</v>
      </c>
      <c r="L205" s="19">
        <f t="shared" si="0"/>
        <v>230764.19</v>
      </c>
      <c r="M205" s="8"/>
      <c r="N205" s="265"/>
    </row>
    <row r="206" spans="1:14" s="3" customFormat="1" ht="12.2" customHeight="1" x14ac:dyDescent="0.15">
      <c r="A206" s="1" t="s">
        <v>445</v>
      </c>
      <c r="B206" s="2" t="s">
        <v>341</v>
      </c>
      <c r="C206" s="2" t="s">
        <v>297</v>
      </c>
      <c r="D206" s="2" t="s">
        <v>431</v>
      </c>
      <c r="E206" s="6">
        <v>2400</v>
      </c>
      <c r="F206" s="18">
        <v>160703.07</v>
      </c>
      <c r="G206" s="18">
        <v>49447.49</v>
      </c>
      <c r="H206" s="18">
        <v>3791.4099999999994</v>
      </c>
      <c r="I206" s="18">
        <v>7777.48</v>
      </c>
      <c r="J206" s="18">
        <v>0</v>
      </c>
      <c r="K206" s="18">
        <v>0</v>
      </c>
      <c r="L206" s="19">
        <f t="shared" si="0"/>
        <v>221719.45</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124013.88</v>
      </c>
      <c r="G208" s="18">
        <v>60739.140000000007</v>
      </c>
      <c r="H208" s="18">
        <v>130864.31</v>
      </c>
      <c r="I208" s="18">
        <v>84429.07</v>
      </c>
      <c r="J208" s="18">
        <v>17961.240000000002</v>
      </c>
      <c r="K208" s="18">
        <v>0</v>
      </c>
      <c r="L208" s="19">
        <f t="shared" si="0"/>
        <v>418007.64</v>
      </c>
      <c r="M208" s="8"/>
      <c r="N208" s="265"/>
    </row>
    <row r="209" spans="1:14" s="3" customFormat="1" ht="12.2" customHeight="1" x14ac:dyDescent="0.15">
      <c r="A209" s="1" t="s">
        <v>448</v>
      </c>
      <c r="B209" s="2" t="s">
        <v>341</v>
      </c>
      <c r="C209" s="2" t="s">
        <v>300</v>
      </c>
      <c r="D209" s="2" t="s">
        <v>431</v>
      </c>
      <c r="E209" s="6">
        <v>2700</v>
      </c>
      <c r="F209" s="18">
        <v>0</v>
      </c>
      <c r="G209" s="18">
        <v>0</v>
      </c>
      <c r="H209" s="18">
        <v>147685.29999999999</v>
      </c>
      <c r="I209" s="18">
        <v>0</v>
      </c>
      <c r="J209" s="18">
        <v>0</v>
      </c>
      <c r="K209" s="18">
        <v>0</v>
      </c>
      <c r="L209" s="19">
        <f t="shared" si="0"/>
        <v>147685.29999999999</v>
      </c>
      <c r="M209" s="8"/>
      <c r="N209" s="265"/>
    </row>
    <row r="210" spans="1:14" s="3" customFormat="1" ht="12.2" customHeight="1" x14ac:dyDescent="0.15">
      <c r="A210" s="1" t="s">
        <v>449</v>
      </c>
      <c r="B210" s="2" t="s">
        <v>341</v>
      </c>
      <c r="C210" s="2" t="s">
        <v>343</v>
      </c>
      <c r="D210" s="2" t="s">
        <v>431</v>
      </c>
      <c r="E210" s="6">
        <v>2800</v>
      </c>
      <c r="F210" s="18">
        <v>0</v>
      </c>
      <c r="G210" s="18">
        <v>499</v>
      </c>
      <c r="H210" s="18">
        <v>40662.870000000003</v>
      </c>
      <c r="I210" s="18">
        <v>2692.2</v>
      </c>
      <c r="J210" s="18">
        <v>2195</v>
      </c>
      <c r="K210" s="18">
        <v>0</v>
      </c>
      <c r="L210" s="19">
        <f>SUM(F210:K210)</f>
        <v>46049.07</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1896655.7200000002</v>
      </c>
      <c r="G212" s="41">
        <f t="shared" si="1"/>
        <v>764690.08</v>
      </c>
      <c r="H212" s="41">
        <f t="shared" si="1"/>
        <v>635960.5199999999</v>
      </c>
      <c r="I212" s="41">
        <f t="shared" si="1"/>
        <v>139565.40000000002</v>
      </c>
      <c r="J212" s="41">
        <f t="shared" si="1"/>
        <v>24448.09</v>
      </c>
      <c r="K212" s="41">
        <f t="shared" si="1"/>
        <v>8040.49</v>
      </c>
      <c r="L212" s="41">
        <f t="shared" si="1"/>
        <v>3469360.3000000003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833756.16000000003</v>
      </c>
      <c r="I234" s="18">
        <v>0</v>
      </c>
      <c r="J234" s="18">
        <v>0</v>
      </c>
      <c r="K234" s="18">
        <v>0</v>
      </c>
      <c r="L234" s="19">
        <f>SUM(F234:K234)</f>
        <v>833756.16000000003</v>
      </c>
      <c r="M234" s="8"/>
      <c r="N234" s="265"/>
    </row>
    <row r="235" spans="1:14" s="3" customFormat="1" ht="12.2" customHeight="1" x14ac:dyDescent="0.15">
      <c r="A235" s="1" t="s">
        <v>439</v>
      </c>
      <c r="B235" s="2" t="s">
        <v>350</v>
      </c>
      <c r="C235" s="2" t="s">
        <v>291</v>
      </c>
      <c r="D235" s="2" t="s">
        <v>431</v>
      </c>
      <c r="E235" s="6">
        <v>1200</v>
      </c>
      <c r="F235" s="18">
        <v>0</v>
      </c>
      <c r="G235" s="18">
        <v>0</v>
      </c>
      <c r="H235" s="18">
        <v>341569.46</v>
      </c>
      <c r="I235" s="18">
        <v>0</v>
      </c>
      <c r="J235" s="18">
        <v>0</v>
      </c>
      <c r="K235" s="18">
        <v>0</v>
      </c>
      <c r="L235" s="19">
        <f>SUM(F235:K235)</f>
        <v>341569.46</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90531.87</v>
      </c>
      <c r="I245" s="18">
        <v>0</v>
      </c>
      <c r="J245" s="18">
        <v>0</v>
      </c>
      <c r="K245" s="18">
        <v>0</v>
      </c>
      <c r="L245" s="19">
        <f t="shared" si="4"/>
        <v>90531.87</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1265857.4900000002</v>
      </c>
      <c r="I248" s="41">
        <f t="shared" si="5"/>
        <v>0</v>
      </c>
      <c r="J248" s="41">
        <f t="shared" si="5"/>
        <v>0</v>
      </c>
      <c r="K248" s="41">
        <f t="shared" si="5"/>
        <v>0</v>
      </c>
      <c r="L248" s="41">
        <f t="shared" si="5"/>
        <v>1265857.4900000002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1896655.7200000002</v>
      </c>
      <c r="G258" s="41">
        <f t="shared" si="8"/>
        <v>764690.08</v>
      </c>
      <c r="H258" s="41">
        <f t="shared" si="8"/>
        <v>1901818.0100000002</v>
      </c>
      <c r="I258" s="41">
        <f t="shared" si="8"/>
        <v>139565.40000000002</v>
      </c>
      <c r="J258" s="41">
        <f t="shared" si="8"/>
        <v>24448.09</v>
      </c>
      <c r="K258" s="41">
        <f t="shared" si="8"/>
        <v>8040.49</v>
      </c>
      <c r="L258" s="41">
        <f t="shared" si="8"/>
        <v>4735217.790000001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452395.84</v>
      </c>
      <c r="L261" s="19">
        <f>SUM(F261:K261)</f>
        <v>452395.84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321885.40999999997</v>
      </c>
      <c r="L262" s="19">
        <f>SUM(F262:K262)</f>
        <v>321885.40999999997</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774281.25</v>
      </c>
      <c r="L271" s="41">
        <f t="shared" si="9"/>
        <v>774281.25</v>
      </c>
      <c r="M271" s="8"/>
      <c r="N271" s="265"/>
    </row>
    <row r="272" spans="1:14" s="34" customFormat="1" ht="12.2" customHeight="1" thickTop="1" x14ac:dyDescent="0.2">
      <c r="A272" s="43" t="s">
        <v>464</v>
      </c>
      <c r="B272" s="40">
        <v>10</v>
      </c>
      <c r="C272" s="40">
        <v>18</v>
      </c>
      <c r="D272" s="39" t="s">
        <v>431</v>
      </c>
      <c r="E272" s="40"/>
      <c r="F272" s="42">
        <f t="shared" ref="F272:L272" si="11">F258+F271</f>
        <v>1896655.7200000002</v>
      </c>
      <c r="G272" s="42">
        <f t="shared" si="11"/>
        <v>764690.08</v>
      </c>
      <c r="H272" s="42">
        <f t="shared" si="11"/>
        <v>1901818.0100000002</v>
      </c>
      <c r="I272" s="42">
        <f t="shared" si="11"/>
        <v>139565.40000000002</v>
      </c>
      <c r="J272" s="42">
        <f t="shared" si="11"/>
        <v>24448.09</v>
      </c>
      <c r="K272" s="42">
        <f t="shared" si="11"/>
        <v>782321.74</v>
      </c>
      <c r="L272" s="42">
        <f t="shared" si="11"/>
        <v>5509499.040000001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64731.92</v>
      </c>
      <c r="G277" s="18">
        <v>8437.1</v>
      </c>
      <c r="H277" s="18">
        <v>2200</v>
      </c>
      <c r="I277" s="18">
        <v>43686.31</v>
      </c>
      <c r="J277" s="18">
        <v>154839.56</v>
      </c>
      <c r="K277" s="18">
        <v>0</v>
      </c>
      <c r="L277" s="19">
        <f>SUM(F277:K277)</f>
        <v>273894.89</v>
      </c>
      <c r="M277" s="8"/>
      <c r="N277" s="265"/>
    </row>
    <row r="278" spans="1:14" s="3" customFormat="1" ht="12.2" customHeight="1" x14ac:dyDescent="0.15">
      <c r="A278" s="1" t="s">
        <v>439</v>
      </c>
      <c r="B278" s="2" t="s">
        <v>357</v>
      </c>
      <c r="C278" s="2" t="s">
        <v>291</v>
      </c>
      <c r="D278" s="2" t="s">
        <v>431</v>
      </c>
      <c r="E278" s="6">
        <v>1200</v>
      </c>
      <c r="F278" s="18">
        <v>36296.160000000003</v>
      </c>
      <c r="G278" s="18">
        <v>3086.48</v>
      </c>
      <c r="H278" s="18">
        <v>0</v>
      </c>
      <c r="I278" s="18">
        <v>11746.09</v>
      </c>
      <c r="J278" s="18">
        <v>936.93000000000006</v>
      </c>
      <c r="K278" s="18">
        <v>0</v>
      </c>
      <c r="L278" s="19">
        <f>SUM(F278:K278)</f>
        <v>52065.660000000011</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17511.77</v>
      </c>
      <c r="G280" s="18">
        <v>3324.16</v>
      </c>
      <c r="H280" s="18">
        <v>4832.76</v>
      </c>
      <c r="I280" s="18">
        <v>18571.490000000002</v>
      </c>
      <c r="J280" s="18">
        <v>230.77</v>
      </c>
      <c r="K280" s="18">
        <v>0</v>
      </c>
      <c r="L280" s="19">
        <f>SUM(F280:K280)</f>
        <v>44470.950000000004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1751.75</v>
      </c>
      <c r="G282" s="18">
        <v>509.58000000000004</v>
      </c>
      <c r="H282" s="18">
        <v>0</v>
      </c>
      <c r="I282" s="18">
        <v>2048.66</v>
      </c>
      <c r="J282" s="18">
        <v>0</v>
      </c>
      <c r="K282" s="18">
        <v>4573.6900000000005</v>
      </c>
      <c r="L282" s="19">
        <f t="shared" ref="L282:L288" si="12">SUM(F282:K282)</f>
        <v>8883.68</v>
      </c>
      <c r="M282" s="8"/>
      <c r="N282" s="265"/>
    </row>
    <row r="283" spans="1:14" s="3" customFormat="1" ht="12.2" customHeight="1" x14ac:dyDescent="0.15">
      <c r="A283" s="1" t="s">
        <v>443</v>
      </c>
      <c r="B283" s="2" t="s">
        <v>357</v>
      </c>
      <c r="C283" s="2" t="s">
        <v>295</v>
      </c>
      <c r="D283" s="2" t="s">
        <v>431</v>
      </c>
      <c r="E283" s="6">
        <v>2200</v>
      </c>
      <c r="F283" s="18">
        <v>10493.130000000001</v>
      </c>
      <c r="G283" s="18">
        <v>2910.0699999999997</v>
      </c>
      <c r="H283" s="18">
        <v>69590.540000000008</v>
      </c>
      <c r="I283" s="18">
        <v>666.46</v>
      </c>
      <c r="J283" s="18">
        <v>0</v>
      </c>
      <c r="K283" s="18">
        <v>0</v>
      </c>
      <c r="L283" s="19">
        <f t="shared" si="12"/>
        <v>83660.200000000012</v>
      </c>
      <c r="M283" s="8"/>
      <c r="N283" s="265"/>
    </row>
    <row r="284" spans="1:14" s="3" customFormat="1" ht="12.2" customHeight="1" x14ac:dyDescent="0.15">
      <c r="A284" s="1" t="s">
        <v>444</v>
      </c>
      <c r="B284" s="2" t="s">
        <v>357</v>
      </c>
      <c r="C284" s="2" t="s">
        <v>296</v>
      </c>
      <c r="D284" s="2" t="s">
        <v>431</v>
      </c>
      <c r="E284" s="6">
        <v>2300</v>
      </c>
      <c r="F284" s="18">
        <v>1512.12</v>
      </c>
      <c r="G284" s="18">
        <v>172.78</v>
      </c>
      <c r="H284" s="18">
        <v>243.16</v>
      </c>
      <c r="I284" s="18">
        <v>0</v>
      </c>
      <c r="J284" s="18">
        <v>0</v>
      </c>
      <c r="K284" s="18">
        <v>0</v>
      </c>
      <c r="L284" s="19">
        <f t="shared" si="12"/>
        <v>1928.06</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16820.649999999998</v>
      </c>
      <c r="L286" s="19">
        <f t="shared" si="12"/>
        <v>16820.649999999998</v>
      </c>
      <c r="M286" s="8"/>
      <c r="N286" s="265"/>
    </row>
    <row r="287" spans="1:14" s="3" customFormat="1" ht="12.2" customHeight="1" x14ac:dyDescent="0.15">
      <c r="A287" s="1" t="s">
        <v>447</v>
      </c>
      <c r="B287" s="2" t="s">
        <v>357</v>
      </c>
      <c r="C287" s="2" t="s">
        <v>299</v>
      </c>
      <c r="D287" s="2" t="s">
        <v>431</v>
      </c>
      <c r="E287" s="6">
        <v>2600</v>
      </c>
      <c r="F287" s="18">
        <v>0</v>
      </c>
      <c r="G287" s="18">
        <v>0</v>
      </c>
      <c r="H287" s="18">
        <v>4975.68</v>
      </c>
      <c r="I287" s="18">
        <v>274.5</v>
      </c>
      <c r="J287" s="18">
        <v>0</v>
      </c>
      <c r="K287" s="18">
        <v>0</v>
      </c>
      <c r="L287" s="19">
        <f t="shared" si="12"/>
        <v>5250.18</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132296.85</v>
      </c>
      <c r="G291" s="42">
        <f t="shared" si="13"/>
        <v>18440.169999999998</v>
      </c>
      <c r="H291" s="42">
        <f t="shared" si="13"/>
        <v>81842.140000000014</v>
      </c>
      <c r="I291" s="42">
        <f t="shared" si="13"/>
        <v>76993.510000000009</v>
      </c>
      <c r="J291" s="42">
        <f t="shared" si="13"/>
        <v>156007.25999999998</v>
      </c>
      <c r="K291" s="42">
        <f t="shared" si="13"/>
        <v>21394.339999999997</v>
      </c>
      <c r="L291" s="41">
        <f t="shared" si="13"/>
        <v>486974.27000000008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132296.85</v>
      </c>
      <c r="G339" s="41">
        <f t="shared" si="20"/>
        <v>18440.169999999998</v>
      </c>
      <c r="H339" s="41">
        <f t="shared" si="20"/>
        <v>81842.140000000014</v>
      </c>
      <c r="I339" s="41">
        <f t="shared" si="20"/>
        <v>76993.510000000009</v>
      </c>
      <c r="J339" s="41">
        <f t="shared" si="20"/>
        <v>156007.25999999998</v>
      </c>
      <c r="K339" s="41">
        <f t="shared" si="20"/>
        <v>21394.339999999997</v>
      </c>
      <c r="L339" s="41">
        <f t="shared" si="20"/>
        <v>486974.27000000008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132296.85</v>
      </c>
      <c r="G353" s="41">
        <f>G339</f>
        <v>18440.169999999998</v>
      </c>
      <c r="H353" s="41">
        <f>H339</f>
        <v>81842.140000000014</v>
      </c>
      <c r="I353" s="41">
        <f>I339</f>
        <v>76993.510000000009</v>
      </c>
      <c r="J353" s="41">
        <f>J339</f>
        <v>156007.25999999998</v>
      </c>
      <c r="K353" s="47">
        <f>K339+K352</f>
        <v>21394.339999999997</v>
      </c>
      <c r="L353" s="41">
        <f>L339+L352</f>
        <v>486974.27000000008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43027.26</v>
      </c>
      <c r="G359" s="18">
        <v>30141.820000000003</v>
      </c>
      <c r="H359" s="18">
        <v>6600.8</v>
      </c>
      <c r="I359" s="18">
        <v>74726.36</v>
      </c>
      <c r="J359" s="18">
        <v>0</v>
      </c>
      <c r="K359" s="18">
        <v>0</v>
      </c>
      <c r="L359" s="13">
        <f>SUM(F359:K359)</f>
        <v>154496.24</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43027.26</v>
      </c>
      <c r="G363" s="47">
        <f t="shared" si="22"/>
        <v>30141.820000000003</v>
      </c>
      <c r="H363" s="47">
        <f t="shared" si="22"/>
        <v>6600.8</v>
      </c>
      <c r="I363" s="47">
        <f t="shared" si="22"/>
        <v>74726.36</v>
      </c>
      <c r="J363" s="47">
        <f t="shared" si="22"/>
        <v>0</v>
      </c>
      <c r="K363" s="47">
        <f t="shared" si="22"/>
        <v>0</v>
      </c>
      <c r="L363" s="47">
        <f t="shared" si="22"/>
        <v>154496.24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72236</v>
      </c>
      <c r="G368" s="18">
        <v>0</v>
      </c>
      <c r="H368" s="18">
        <v>0</v>
      </c>
      <c r="I368" s="56">
        <f>SUM(F368:H368)</f>
        <v>72236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2165.36+325</f>
        <v>2490.36</v>
      </c>
      <c r="G369" s="63">
        <v>0</v>
      </c>
      <c r="H369" s="63">
        <v>0</v>
      </c>
      <c r="I369" s="56">
        <f>SUM(F369:H369)</f>
        <v>2490.36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74726.36</v>
      </c>
      <c r="G370" s="47">
        <f>SUM(G368:G369)</f>
        <v>0</v>
      </c>
      <c r="H370" s="47">
        <f>SUM(H368:H369)</f>
        <v>0</v>
      </c>
      <c r="I370" s="47">
        <f>SUM(I368:I369)</f>
        <v>74726.36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4055.87</v>
      </c>
      <c r="I390" s="18"/>
      <c r="J390" s="24" t="s">
        <v>288</v>
      </c>
      <c r="K390" s="24" t="s">
        <v>288</v>
      </c>
      <c r="L390" s="56">
        <f t="shared" si="25"/>
        <v>4055.87</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4055.87</v>
      </c>
      <c r="I394" s="65">
        <f>SUM(I388:I393)</f>
        <v>0</v>
      </c>
      <c r="J394" s="45" t="s">
        <v>288</v>
      </c>
      <c r="K394" s="45" t="s">
        <v>288</v>
      </c>
      <c r="L394" s="47">
        <f>SUM(L388:L393)</f>
        <v>4055.87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2468.8200000000002</v>
      </c>
      <c r="I398" s="18"/>
      <c r="J398" s="24" t="s">
        <v>288</v>
      </c>
      <c r="K398" s="24" t="s">
        <v>288</v>
      </c>
      <c r="L398" s="56">
        <f t="shared" si="26"/>
        <v>2468.8200000000002</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21.81</v>
      </c>
      <c r="I401" s="18"/>
      <c r="J401" s="24" t="s">
        <v>288</v>
      </c>
      <c r="K401" s="24" t="s">
        <v>288</v>
      </c>
      <c r="L401" s="56">
        <f t="shared" si="26"/>
        <v>21.81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2490.63</v>
      </c>
      <c r="I402" s="47">
        <f>SUM(I396:I401)</f>
        <v>0</v>
      </c>
      <c r="J402" s="45" t="s">
        <v>288</v>
      </c>
      <c r="K402" s="45" t="s">
        <v>288</v>
      </c>
      <c r="L402" s="47">
        <f>SUM(L396:L401)</f>
        <v>2490.63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6546.5</v>
      </c>
      <c r="I409" s="47">
        <f>I394+I402+I408</f>
        <v>0</v>
      </c>
      <c r="J409" s="24" t="s">
        <v>288</v>
      </c>
      <c r="K409" s="24" t="s">
        <v>288</v>
      </c>
      <c r="L409" s="47">
        <f>L394+L402+L408</f>
        <v>6546.5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103472.49</v>
      </c>
      <c r="I416" s="18"/>
      <c r="J416" s="18"/>
      <c r="K416" s="18"/>
      <c r="L416" s="56">
        <f t="shared" si="27"/>
        <v>103472.49</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103472.49</v>
      </c>
      <c r="I420" s="139">
        <f t="shared" si="28"/>
        <v>0</v>
      </c>
      <c r="J420" s="139">
        <f t="shared" si="28"/>
        <v>0</v>
      </c>
      <c r="K420" s="139">
        <f t="shared" si="28"/>
        <v>0</v>
      </c>
      <c r="L420" s="47">
        <f t="shared" si="28"/>
        <v>103472.49</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v>11892.39</v>
      </c>
      <c r="I424" s="18"/>
      <c r="J424" s="18"/>
      <c r="K424" s="18"/>
      <c r="L424" s="56">
        <f t="shared" si="29"/>
        <v>11892.39</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v>104.76</v>
      </c>
      <c r="I427" s="18"/>
      <c r="J427" s="18"/>
      <c r="K427" s="18"/>
      <c r="L427" s="56">
        <f t="shared" si="29"/>
        <v>104.76</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11997.15</v>
      </c>
      <c r="I428" s="47">
        <f t="shared" si="30"/>
        <v>0</v>
      </c>
      <c r="J428" s="47">
        <f t="shared" si="30"/>
        <v>0</v>
      </c>
      <c r="K428" s="47">
        <f t="shared" si="30"/>
        <v>0</v>
      </c>
      <c r="L428" s="47">
        <f t="shared" si="30"/>
        <v>11997.15</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115469.64</v>
      </c>
      <c r="I435" s="47">
        <f t="shared" si="32"/>
        <v>0</v>
      </c>
      <c r="J435" s="47">
        <f t="shared" si="32"/>
        <v>0</v>
      </c>
      <c r="K435" s="47">
        <f t="shared" si="32"/>
        <v>0</v>
      </c>
      <c r="L435" s="47">
        <f t="shared" si="32"/>
        <v>115469.64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258537.44</v>
      </c>
      <c r="G440" s="18">
        <v>234487.32</v>
      </c>
      <c r="H440" s="18"/>
      <c r="I440" s="56">
        <f t="shared" ref="I440:I446" si="33">SUM(F440:H440)</f>
        <v>493024.76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258537.44</v>
      </c>
      <c r="G447" s="13">
        <f>SUM(G440:G446)</f>
        <v>234487.32</v>
      </c>
      <c r="H447" s="13">
        <f>SUM(H440:H446)</f>
        <v>0</v>
      </c>
      <c r="I447" s="13">
        <f>SUM(I440:I446)</f>
        <v>493024.76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258537.44</v>
      </c>
      <c r="G460" s="18">
        <v>234487.32</v>
      </c>
      <c r="H460" s="18"/>
      <c r="I460" s="56">
        <f t="shared" si="34"/>
        <v>493024.76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258537.44</v>
      </c>
      <c r="G461" s="83">
        <f>SUM(G455:G460)</f>
        <v>234487.32</v>
      </c>
      <c r="H461" s="83">
        <f>SUM(H455:H460)</f>
        <v>0</v>
      </c>
      <c r="I461" s="83">
        <f>SUM(I455:I460)</f>
        <v>493024.76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258537.44</v>
      </c>
      <c r="G462" s="42">
        <f>G453+G461</f>
        <v>234487.32</v>
      </c>
      <c r="H462" s="42">
        <f>H453+H461</f>
        <v>0</v>
      </c>
      <c r="I462" s="42">
        <f>I453+I461</f>
        <v>493024.76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372342.92</v>
      </c>
      <c r="G466" s="18">
        <v>0</v>
      </c>
      <c r="H466" s="18">
        <v>37805.519999999997</v>
      </c>
      <c r="I466" s="18">
        <v>0</v>
      </c>
      <c r="J466" s="18">
        <v>601947.9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5453767.21</v>
      </c>
      <c r="G469" s="18">
        <v>170800.57</v>
      </c>
      <c r="H469" s="18">
        <v>495069.49</v>
      </c>
      <c r="I469" s="18">
        <v>0</v>
      </c>
      <c r="J469" s="18">
        <v>6546.5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5453767.21</v>
      </c>
      <c r="G471" s="53">
        <f>SUM(G469:G470)</f>
        <v>170800.57</v>
      </c>
      <c r="H471" s="53">
        <f>SUM(H469:H470)</f>
        <v>495069.49</v>
      </c>
      <c r="I471" s="53">
        <f>SUM(I469:I470)</f>
        <v>0</v>
      </c>
      <c r="J471" s="53">
        <f>SUM(J469:J470)</f>
        <v>6546.5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5509499.040000001</v>
      </c>
      <c r="G473" s="18">
        <v>154496.24</v>
      </c>
      <c r="H473" s="18">
        <v>486974.2699999999</v>
      </c>
      <c r="I473" s="18">
        <v>0</v>
      </c>
      <c r="J473" s="18">
        <v>115469.64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5509499.040000001</v>
      </c>
      <c r="G475" s="53">
        <f>SUM(G473:G474)</f>
        <v>154496.24</v>
      </c>
      <c r="H475" s="53">
        <f>SUM(H473:H474)</f>
        <v>486974.2699999999</v>
      </c>
      <c r="I475" s="53">
        <f>SUM(I473:I474)</f>
        <v>0</v>
      </c>
      <c r="J475" s="53">
        <f>SUM(J473:J474)</f>
        <v>115469.64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316611.08999999892</v>
      </c>
      <c r="G477" s="53">
        <f>(G466+G471)- G475</f>
        <v>16304.330000000016</v>
      </c>
      <c r="H477" s="53">
        <f>(H466+H471)- H475</f>
        <v>45900.740000000107</v>
      </c>
      <c r="I477" s="53">
        <f>(I466+I471)- I475</f>
        <v>0</v>
      </c>
      <c r="J477" s="53">
        <f>(J466+J471)- J475</f>
        <v>493024.76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10960000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4.33</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3114366.71</v>
      </c>
      <c r="G496" s="18"/>
      <c r="H496" s="18"/>
      <c r="I496" s="18"/>
      <c r="J496" s="18"/>
      <c r="K496" s="53">
        <f>SUM(F496:J496)</f>
        <v>3114366.71</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452395.84</v>
      </c>
      <c r="G498" s="18"/>
      <c r="H498" s="18"/>
      <c r="I498" s="18"/>
      <c r="J498" s="18"/>
      <c r="K498" s="53">
        <f t="shared" si="35"/>
        <v>452395.84</v>
      </c>
      <c r="L498" s="24" t="s">
        <v>288</v>
      </c>
      <c r="N498" s="264"/>
    </row>
    <row r="499" spans="1:14" s="52" customFormat="1" ht="12.2" customHeight="1" x14ac:dyDescent="0.2">
      <c r="A499" s="199" t="s">
        <v>622</v>
      </c>
      <c r="B499" s="200">
        <v>20</v>
      </c>
      <c r="C499" s="201">
        <v>9</v>
      </c>
      <c r="D499" s="202" t="s">
        <v>432</v>
      </c>
      <c r="E499" s="201"/>
      <c r="F499" s="203">
        <v>2661970.87</v>
      </c>
      <c r="G499" s="203"/>
      <c r="H499" s="203"/>
      <c r="I499" s="203"/>
      <c r="J499" s="203"/>
      <c r="K499" s="204">
        <f t="shared" si="35"/>
        <v>2661970.87</v>
      </c>
      <c r="L499" s="205" t="s">
        <v>288</v>
      </c>
      <c r="N499" s="264"/>
    </row>
    <row r="500" spans="1:14" s="52" customFormat="1" ht="12.2" customHeight="1" thickBot="1" x14ac:dyDescent="0.25">
      <c r="A500" s="22" t="s">
        <v>623</v>
      </c>
      <c r="B500" s="75">
        <v>20</v>
      </c>
      <c r="C500" s="115">
        <v>10</v>
      </c>
      <c r="D500" s="2" t="s">
        <v>432</v>
      </c>
      <c r="E500" s="115"/>
      <c r="F500" s="18">
        <v>2562077.9</v>
      </c>
      <c r="G500" s="18"/>
      <c r="H500" s="18"/>
      <c r="I500" s="18"/>
      <c r="J500" s="18"/>
      <c r="K500" s="53">
        <f t="shared" si="35"/>
        <v>2562077.9</v>
      </c>
      <c r="L500" s="24" t="s">
        <v>288</v>
      </c>
      <c r="N500" s="264"/>
    </row>
    <row r="501" spans="1:14" s="52" customFormat="1" ht="12.2" customHeight="1" thickTop="1" x14ac:dyDescent="0.2">
      <c r="A501" s="139" t="s">
        <v>624</v>
      </c>
      <c r="B501" s="44">
        <v>20</v>
      </c>
      <c r="C501" s="194">
        <v>11</v>
      </c>
      <c r="D501" s="39" t="s">
        <v>432</v>
      </c>
      <c r="E501" s="194"/>
      <c r="F501" s="42">
        <f>SUM(F499:F500)</f>
        <v>5224048.7699999996</v>
      </c>
      <c r="G501" s="42">
        <f>SUM(G499:G500)</f>
        <v>0</v>
      </c>
      <c r="H501" s="42">
        <f>SUM(H499:H500)</f>
        <v>0</v>
      </c>
      <c r="I501" s="42">
        <f>SUM(I499:I500)</f>
        <v>0</v>
      </c>
      <c r="J501" s="42">
        <f>SUM(J499:J500)</f>
        <v>0</v>
      </c>
      <c r="K501" s="42">
        <f t="shared" si="35"/>
        <v>5224048.7699999996</v>
      </c>
      <c r="L501" s="45" t="s">
        <v>288</v>
      </c>
      <c r="N501" s="264"/>
    </row>
    <row r="502" spans="1:14" s="52" customFormat="1" ht="12.2" customHeight="1" x14ac:dyDescent="0.2">
      <c r="A502" s="199" t="s">
        <v>651</v>
      </c>
      <c r="B502" s="200">
        <v>20</v>
      </c>
      <c r="C502" s="201">
        <v>12</v>
      </c>
      <c r="D502" s="202" t="s">
        <v>432</v>
      </c>
      <c r="E502" s="201"/>
      <c r="F502" s="203">
        <v>432519</v>
      </c>
      <c r="G502" s="203"/>
      <c r="H502" s="203"/>
      <c r="I502" s="203"/>
      <c r="J502" s="203"/>
      <c r="K502" s="204">
        <f t="shared" si="35"/>
        <v>432519</v>
      </c>
      <c r="L502" s="205" t="s">
        <v>288</v>
      </c>
      <c r="N502" s="264"/>
    </row>
    <row r="503" spans="1:14" s="52" customFormat="1" ht="12.2" customHeight="1" thickBot="1" x14ac:dyDescent="0.25">
      <c r="A503" s="22" t="s">
        <v>625</v>
      </c>
      <c r="B503" s="75">
        <v>20</v>
      </c>
      <c r="C503" s="115">
        <v>13</v>
      </c>
      <c r="D503" s="2" t="s">
        <v>432</v>
      </c>
      <c r="E503" s="115"/>
      <c r="F503" s="18">
        <v>339707</v>
      </c>
      <c r="G503" s="18"/>
      <c r="H503" s="18"/>
      <c r="I503" s="18"/>
      <c r="J503" s="18"/>
      <c r="K503" s="53">
        <f t="shared" si="35"/>
        <v>339707</v>
      </c>
      <c r="L503" s="24" t="s">
        <v>288</v>
      </c>
      <c r="N503" s="264"/>
    </row>
    <row r="504" spans="1:14" s="52" customFormat="1" ht="12.2" customHeight="1" thickTop="1" x14ac:dyDescent="0.2">
      <c r="A504" s="139" t="s">
        <v>626</v>
      </c>
      <c r="B504" s="44">
        <v>20</v>
      </c>
      <c r="C504" s="194">
        <v>14</v>
      </c>
      <c r="D504" s="39" t="s">
        <v>432</v>
      </c>
      <c r="E504" s="194"/>
      <c r="F504" s="42">
        <f>SUM(F502:F503)</f>
        <v>772226</v>
      </c>
      <c r="G504" s="42">
        <f>SUM(G502:G503)</f>
        <v>0</v>
      </c>
      <c r="H504" s="42">
        <f>SUM(H502:H503)</f>
        <v>0</v>
      </c>
      <c r="I504" s="42">
        <f>SUM(I502:I503)</f>
        <v>0</v>
      </c>
      <c r="J504" s="42">
        <f>SUM(J502:J503)</f>
        <v>0</v>
      </c>
      <c r="K504" s="42">
        <f t="shared" si="35"/>
        <v>772226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355835.43</v>
      </c>
      <c r="G522" s="18">
        <v>82743.999999999985</v>
      </c>
      <c r="H522" s="18">
        <v>79500.179999999993</v>
      </c>
      <c r="I522" s="18">
        <v>13050.489999999998</v>
      </c>
      <c r="J522" s="18">
        <v>936.93000000000006</v>
      </c>
      <c r="K522" s="18">
        <v>0</v>
      </c>
      <c r="L522" s="88">
        <f>SUM(F522:K522)</f>
        <v>532067.03</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0</v>
      </c>
      <c r="G524" s="18">
        <v>0</v>
      </c>
      <c r="H524" s="18">
        <v>341569.46</v>
      </c>
      <c r="I524" s="18">
        <v>0</v>
      </c>
      <c r="J524" s="18">
        <v>0</v>
      </c>
      <c r="K524" s="18">
        <v>0</v>
      </c>
      <c r="L524" s="88">
        <f>SUM(F524:K524)</f>
        <v>341569.46</v>
      </c>
      <c r="N524" s="264"/>
    </row>
    <row r="525" spans="1:14" s="52" customFormat="1" ht="12.2" customHeight="1" thickTop="1" x14ac:dyDescent="0.2">
      <c r="A525" s="139" t="s">
        <v>63</v>
      </c>
      <c r="B525" s="107">
        <v>21</v>
      </c>
      <c r="C525" s="194">
        <v>4</v>
      </c>
      <c r="D525" s="195" t="s">
        <v>432</v>
      </c>
      <c r="E525" s="194"/>
      <c r="F525" s="108">
        <f>SUM(F522:F524)</f>
        <v>355835.43</v>
      </c>
      <c r="G525" s="108">
        <f t="shared" ref="G525:L525" si="36">SUM(G522:G524)</f>
        <v>82743.999999999985</v>
      </c>
      <c r="H525" s="108">
        <f t="shared" si="36"/>
        <v>421069.64</v>
      </c>
      <c r="I525" s="108">
        <f t="shared" si="36"/>
        <v>13050.489999999998</v>
      </c>
      <c r="J525" s="108">
        <f t="shared" si="36"/>
        <v>936.93000000000006</v>
      </c>
      <c r="K525" s="108">
        <f t="shared" si="36"/>
        <v>0</v>
      </c>
      <c r="L525" s="89">
        <f t="shared" si="36"/>
        <v>873636.49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114901.31</v>
      </c>
      <c r="G527" s="18">
        <v>45106.86</v>
      </c>
      <c r="H527" s="18">
        <v>5384.37</v>
      </c>
      <c r="I527" s="18">
        <v>471.52</v>
      </c>
      <c r="J527" s="18">
        <v>4.2</v>
      </c>
      <c r="K527" s="18">
        <v>0</v>
      </c>
      <c r="L527" s="88">
        <f>SUM(F527:K527)</f>
        <v>165868.25999999998</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114901.31</v>
      </c>
      <c r="G530" s="89">
        <f t="shared" ref="G530:L530" si="37">SUM(G527:G529)</f>
        <v>45106.86</v>
      </c>
      <c r="H530" s="89">
        <f t="shared" si="37"/>
        <v>5384.37</v>
      </c>
      <c r="I530" s="89">
        <f t="shared" si="37"/>
        <v>471.52</v>
      </c>
      <c r="J530" s="89">
        <f t="shared" si="37"/>
        <v>4.2</v>
      </c>
      <c r="K530" s="89">
        <f t="shared" si="37"/>
        <v>0</v>
      </c>
      <c r="L530" s="89">
        <f t="shared" si="37"/>
        <v>165868.25999999998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20685</v>
      </c>
      <c r="I532" s="18">
        <v>0</v>
      </c>
      <c r="J532" s="18">
        <v>0</v>
      </c>
      <c r="K532" s="18">
        <v>2137.9500000000003</v>
      </c>
      <c r="L532" s="88">
        <f>SUM(F532:K532)</f>
        <v>22822.95</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20685</v>
      </c>
      <c r="I535" s="89">
        <f t="shared" si="38"/>
        <v>0</v>
      </c>
      <c r="J535" s="89">
        <f t="shared" si="38"/>
        <v>0</v>
      </c>
      <c r="K535" s="89">
        <f t="shared" si="38"/>
        <v>2137.9500000000003</v>
      </c>
      <c r="L535" s="89">
        <f t="shared" si="38"/>
        <v>22822.95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22648.63</v>
      </c>
      <c r="I542" s="18">
        <v>0</v>
      </c>
      <c r="J542" s="18">
        <v>0</v>
      </c>
      <c r="K542" s="18">
        <v>0</v>
      </c>
      <c r="L542" s="88">
        <f>SUM(F542:K542)</f>
        <v>22648.63</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55338.6</v>
      </c>
      <c r="I544" s="18">
        <v>0</v>
      </c>
      <c r="J544" s="18">
        <v>0</v>
      </c>
      <c r="K544" s="18">
        <v>0</v>
      </c>
      <c r="L544" s="88">
        <f>SUM(F544:K544)</f>
        <v>55338.6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77987.23</v>
      </c>
      <c r="I545" s="192">
        <f t="shared" si="40"/>
        <v>0</v>
      </c>
      <c r="J545" s="192">
        <f t="shared" si="40"/>
        <v>0</v>
      </c>
      <c r="K545" s="192">
        <f t="shared" si="40"/>
        <v>0</v>
      </c>
      <c r="L545" s="192">
        <f t="shared" si="40"/>
        <v>77987.23</v>
      </c>
      <c r="M545" s="8"/>
      <c r="N545" s="265"/>
    </row>
    <row r="546" spans="1:14" s="3" customFormat="1" ht="12.2" customHeight="1" thickTop="1" x14ac:dyDescent="0.15">
      <c r="A546" s="98" t="s">
        <v>72</v>
      </c>
      <c r="B546" s="107">
        <v>21</v>
      </c>
      <c r="C546" s="107">
        <v>21</v>
      </c>
      <c r="D546" s="158" t="s">
        <v>432</v>
      </c>
      <c r="E546" s="107"/>
      <c r="F546" s="89">
        <f>F525+F530+F535+F540+F545</f>
        <v>470736.74</v>
      </c>
      <c r="G546" s="89">
        <f t="shared" ref="G546:L546" si="41">G525+G530+G535+G540+G545</f>
        <v>127850.85999999999</v>
      </c>
      <c r="H546" s="89">
        <f t="shared" si="41"/>
        <v>525126.24</v>
      </c>
      <c r="I546" s="89">
        <f t="shared" si="41"/>
        <v>13522.009999999998</v>
      </c>
      <c r="J546" s="89">
        <f t="shared" si="41"/>
        <v>941.13000000000011</v>
      </c>
      <c r="K546" s="89">
        <f t="shared" si="41"/>
        <v>2137.9500000000003</v>
      </c>
      <c r="L546" s="89">
        <f t="shared" si="41"/>
        <v>1140314.93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532067.03</v>
      </c>
      <c r="G550" s="87">
        <f>L527</f>
        <v>165868.25999999998</v>
      </c>
      <c r="H550" s="87">
        <f>L532</f>
        <v>22822.95</v>
      </c>
      <c r="I550" s="87">
        <f>L537</f>
        <v>0</v>
      </c>
      <c r="J550" s="87">
        <f>L542</f>
        <v>22648.63</v>
      </c>
      <c r="K550" s="87">
        <f>SUM(F550:J550)</f>
        <v>743406.87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341569.46</v>
      </c>
      <c r="G552" s="87">
        <f>L529</f>
        <v>0</v>
      </c>
      <c r="H552" s="87">
        <f>L534</f>
        <v>0</v>
      </c>
      <c r="I552" s="87">
        <f>L539</f>
        <v>0</v>
      </c>
      <c r="J552" s="87">
        <f>L544</f>
        <v>55338.6</v>
      </c>
      <c r="K552" s="87">
        <f>SUM(F552:J552)</f>
        <v>396908.06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873636.49</v>
      </c>
      <c r="G553" s="89">
        <f t="shared" si="42"/>
        <v>165868.25999999998</v>
      </c>
      <c r="H553" s="89">
        <f t="shared" si="42"/>
        <v>22822.95</v>
      </c>
      <c r="I553" s="89">
        <f t="shared" si="42"/>
        <v>0</v>
      </c>
      <c r="J553" s="89">
        <f t="shared" si="42"/>
        <v>77987.23</v>
      </c>
      <c r="K553" s="89">
        <f t="shared" si="42"/>
        <v>1140314.93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833756.16000000003</v>
      </c>
      <c r="I576" s="87">
        <f>SUM(F576:H576)</f>
        <v>833756.16000000003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0</v>
      </c>
      <c r="H580" s="18">
        <v>265601</v>
      </c>
      <c r="I580" s="87">
        <f t="shared" si="47"/>
        <v>265601</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76643.31</v>
      </c>
      <c r="G583" s="18">
        <v>0</v>
      </c>
      <c r="H583" s="18">
        <v>75968.460000000006</v>
      </c>
      <c r="I583" s="87">
        <f t="shared" si="47"/>
        <v>152611.77000000002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121042.23</v>
      </c>
      <c r="I592" s="18">
        <v>0</v>
      </c>
      <c r="J592" s="18">
        <v>35193.269999999997</v>
      </c>
      <c r="K592" s="104">
        <f t="shared" ref="K592:K598" si="48">SUM(H592:J592)</f>
        <v>156235.5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22648.63</v>
      </c>
      <c r="I593" s="18">
        <v>0</v>
      </c>
      <c r="J593" s="18">
        <v>55338.6</v>
      </c>
      <c r="K593" s="104">
        <f t="shared" si="48"/>
        <v>77987.23</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2429.98</v>
      </c>
      <c r="I595" s="18">
        <v>0</v>
      </c>
      <c r="J595" s="18">
        <v>0</v>
      </c>
      <c r="K595" s="104">
        <f t="shared" si="48"/>
        <v>2429.98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1564.46</v>
      </c>
      <c r="I596" s="18">
        <v>0</v>
      </c>
      <c r="J596" s="18">
        <v>0</v>
      </c>
      <c r="K596" s="104">
        <f t="shared" si="48"/>
        <v>1564.46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147685.29999999999</v>
      </c>
      <c r="I599" s="108">
        <f>SUM(I592:I598)</f>
        <v>0</v>
      </c>
      <c r="J599" s="108">
        <f>SUM(J592:J598)</f>
        <v>90531.87</v>
      </c>
      <c r="K599" s="108">
        <f>SUM(K592:K598)</f>
        <v>238217.16999999998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180455.34999999998</v>
      </c>
      <c r="I605" s="18">
        <v>0</v>
      </c>
      <c r="J605" s="18">
        <v>0</v>
      </c>
      <c r="K605" s="104">
        <f>SUM(H605:J605)</f>
        <v>180455.34999999998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180455.34999999998</v>
      </c>
      <c r="I606" s="108">
        <f>SUM(I603:I605)</f>
        <v>0</v>
      </c>
      <c r="J606" s="108">
        <f>SUM(J603:J605)</f>
        <v>0</v>
      </c>
      <c r="K606" s="108">
        <f>SUM(K603:K605)</f>
        <v>180455.34999999998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20649.61</v>
      </c>
      <c r="G612" s="18">
        <v>4197.9500000000007</v>
      </c>
      <c r="H612" s="18">
        <v>4832.76</v>
      </c>
      <c r="I612" s="18">
        <v>18571.490000000002</v>
      </c>
      <c r="J612" s="18">
        <v>0</v>
      </c>
      <c r="K612" s="18">
        <v>0</v>
      </c>
      <c r="L612" s="88">
        <f>SUM(F612:K612)</f>
        <v>48251.81</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20649.61</v>
      </c>
      <c r="G615" s="108">
        <f t="shared" si="49"/>
        <v>4197.9500000000007</v>
      </c>
      <c r="H615" s="108">
        <f t="shared" si="49"/>
        <v>4832.76</v>
      </c>
      <c r="I615" s="108">
        <f t="shared" si="49"/>
        <v>18571.490000000002</v>
      </c>
      <c r="J615" s="108">
        <f t="shared" si="49"/>
        <v>0</v>
      </c>
      <c r="K615" s="108">
        <f t="shared" si="49"/>
        <v>0</v>
      </c>
      <c r="L615" s="89">
        <f t="shared" si="49"/>
        <v>48251.81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402095.53999999992</v>
      </c>
      <c r="H618" s="109">
        <f>SUM(F52)</f>
        <v>402095.54000000004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37745.119999999995</v>
      </c>
      <c r="H619" s="109">
        <f>SUM(G52)</f>
        <v>37745.120000000003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98060.719999999987</v>
      </c>
      <c r="H620" s="109">
        <f>SUM(H52)</f>
        <v>98060.72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493024.76</v>
      </c>
      <c r="H622" s="109">
        <f>SUM(J52)</f>
        <v>493024.76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316611.09000000003</v>
      </c>
      <c r="H623" s="109">
        <f>F477</f>
        <v>316611.08999999892</v>
      </c>
      <c r="I623" s="121" t="s">
        <v>101</v>
      </c>
      <c r="J623" s="109">
        <f t="shared" ref="J623:J656" si="50">G623-H623</f>
        <v>1.1059455573558807E-9</v>
      </c>
      <c r="K623" s="109"/>
      <c r="L623" s="109"/>
      <c r="M623" s="8"/>
    </row>
    <row r="624" spans="1:14" s="3" customFormat="1" ht="12.2" customHeight="1" x14ac:dyDescent="0.15">
      <c r="A624" s="97"/>
      <c r="B624" s="105"/>
      <c r="C624" s="119"/>
      <c r="D624" s="119"/>
      <c r="E624" s="119"/>
      <c r="F624" s="119" t="s">
        <v>866</v>
      </c>
      <c r="G624" s="109">
        <f>G51</f>
        <v>16304.33</v>
      </c>
      <c r="H624" s="109">
        <f>G477</f>
        <v>16304.330000000016</v>
      </c>
      <c r="I624" s="121" t="s">
        <v>102</v>
      </c>
      <c r="J624" s="109">
        <f t="shared" si="50"/>
        <v>-1.6370904631912708E-11</v>
      </c>
      <c r="K624" s="109"/>
      <c r="L624" s="109"/>
      <c r="M624" s="8"/>
    </row>
    <row r="625" spans="1:13" s="3" customFormat="1" ht="12.2" customHeight="1" x14ac:dyDescent="0.15">
      <c r="A625" s="97"/>
      <c r="B625" s="105"/>
      <c r="C625" s="105"/>
      <c r="D625" s="105"/>
      <c r="E625" s="105"/>
      <c r="F625" s="120" t="s">
        <v>867</v>
      </c>
      <c r="G625" s="109">
        <f>H51</f>
        <v>45900.74</v>
      </c>
      <c r="H625" s="109">
        <f>H477</f>
        <v>45900.740000000107</v>
      </c>
      <c r="I625" s="121" t="s">
        <v>103</v>
      </c>
      <c r="J625" s="109">
        <f t="shared" si="50"/>
        <v>-1.0913936421275139E-10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493024.76</v>
      </c>
      <c r="H627" s="109">
        <f>J477</f>
        <v>493024.76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5453767.209999999</v>
      </c>
      <c r="H628" s="104">
        <f>SUM(F469)</f>
        <v>5453767.21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170800.57</v>
      </c>
      <c r="H629" s="104">
        <f>SUM(G469)</f>
        <v>170800.57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495069.49</v>
      </c>
      <c r="H630" s="104">
        <f>SUM(H469)</f>
        <v>495069.49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6546.5</v>
      </c>
      <c r="H632" s="104">
        <f>SUM(J469)</f>
        <v>6546.5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5509499.040000001</v>
      </c>
      <c r="H633" s="104">
        <f>SUM(F473)</f>
        <v>5509499.040000001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486974.27000000008</v>
      </c>
      <c r="H634" s="104">
        <f>SUM(H473)</f>
        <v>486974.2699999999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74726.36</v>
      </c>
      <c r="H635" s="104">
        <f>I370</f>
        <v>74726.36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154496.24</v>
      </c>
      <c r="H636" s="104">
        <f>SUM(G473)</f>
        <v>154496.24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6546.5</v>
      </c>
      <c r="H638" s="164">
        <f>SUM(J469)</f>
        <v>6546.5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115469.64</v>
      </c>
      <c r="H639" s="164">
        <f>SUM(J473)</f>
        <v>115469.64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258537.44</v>
      </c>
      <c r="H640" s="104">
        <f>SUM(F462)</f>
        <v>258537.44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234487.32</v>
      </c>
      <c r="H641" s="104">
        <f>SUM(G462)</f>
        <v>234487.32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493024.76</v>
      </c>
      <c r="H643" s="104">
        <f>SUM(I462)</f>
        <v>493024.76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6546.5</v>
      </c>
      <c r="H645" s="104">
        <f>H409</f>
        <v>6546.5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6546.5</v>
      </c>
      <c r="H647" s="104">
        <f>L409</f>
        <v>6546.5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238217.16999999998</v>
      </c>
      <c r="H648" s="104">
        <f>L209+L227+L245</f>
        <v>238217.16999999998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180455.34999999998</v>
      </c>
      <c r="H649" s="104">
        <f>(J258+J339)-(J256+J337)</f>
        <v>180455.34999999998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147685.29999999999</v>
      </c>
      <c r="H650" s="104">
        <f>H599</f>
        <v>147685.29999999999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90531.87</v>
      </c>
      <c r="H652" s="104">
        <f>J599</f>
        <v>90531.87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4110830.8100000005</v>
      </c>
      <c r="G661" s="19">
        <f>(L230+L310+L360)</f>
        <v>0</v>
      </c>
      <c r="H661" s="19">
        <f>(L248+L329+L361)</f>
        <v>1265857.4900000002</v>
      </c>
      <c r="I661" s="19">
        <f>SUM(F661:H661)</f>
        <v>5376688.3000000007</v>
      </c>
      <c r="J661" s="13"/>
      <c r="K661" s="13"/>
      <c r="L661" s="13"/>
      <c r="M661" s="9"/>
    </row>
    <row r="662" spans="1:13" s="3" customFormat="1" ht="12.2" customHeight="1" x14ac:dyDescent="0.2">
      <c r="A662" s="1" t="s">
        <v>127</v>
      </c>
      <c r="F662" s="19">
        <f>(L359/IF(SUM(L359:L361)=0,1,SUM(L359:L361))*(SUM(G97:G110)))</f>
        <v>4039.85</v>
      </c>
      <c r="G662" s="19">
        <f>(L360/IF(SUM(L359:L361)=0,1,SUM(L359:L361))*(SUM(G97:G110)))</f>
        <v>0</v>
      </c>
      <c r="H662" s="19">
        <f>(L361/IF(SUM(L359:L361)=0,1,SUM(L359:L361))*(SUM(G97:G110)))</f>
        <v>0</v>
      </c>
      <c r="I662" s="19">
        <f>SUM(F662:H662)</f>
        <v>4039.85</v>
      </c>
      <c r="J662"/>
      <c r="K662" s="13"/>
      <c r="L662" s="13"/>
      <c r="M662" s="8"/>
    </row>
    <row r="663" spans="1:13" s="3" customFormat="1" ht="12.2" customHeight="1" x14ac:dyDescent="0.2">
      <c r="A663" s="1" t="s">
        <v>128</v>
      </c>
      <c r="F663" s="19">
        <f>(L209+L288)-(J209+J288)</f>
        <v>147685.29999999999</v>
      </c>
      <c r="G663" s="19">
        <f>(L227+L307)-(J227+J307)</f>
        <v>0</v>
      </c>
      <c r="H663" s="19">
        <f>(L245+L326)-(J245+J326)</f>
        <v>90531.87</v>
      </c>
      <c r="I663" s="19">
        <f>SUM(F663:H663)</f>
        <v>238217.16999999998</v>
      </c>
      <c r="J663"/>
      <c r="K663" s="13"/>
      <c r="L663" s="13"/>
      <c r="M663" s="9"/>
    </row>
    <row r="664" spans="1:13" s="3" customFormat="1" ht="12.2" customHeight="1" x14ac:dyDescent="0.15">
      <c r="A664" s="197" t="s">
        <v>129</v>
      </c>
      <c r="B664" s="169"/>
      <c r="C664" s="169"/>
      <c r="D664" s="169"/>
      <c r="E664" s="169"/>
      <c r="F664" s="198">
        <f>SUM(F576:F588)+SUM(H603:H605)+SUM(L612)</f>
        <v>305350.46999999997</v>
      </c>
      <c r="G664" s="198">
        <f>SUM(G576:G588)+SUM(I603:I605)+L613</f>
        <v>0</v>
      </c>
      <c r="H664" s="198">
        <f>SUM(H576:H588)+SUM(J603:J605)+L614</f>
        <v>1175325.6200000001</v>
      </c>
      <c r="I664" s="19">
        <f>SUM(F664:H664)</f>
        <v>1480676.09</v>
      </c>
      <c r="J664" s="13"/>
      <c r="K664" s="13"/>
      <c r="L664" s="13"/>
      <c r="M664" s="9"/>
    </row>
    <row r="665" spans="1:13" s="3" customFormat="1" ht="12.2" customHeight="1" x14ac:dyDescent="0.15">
      <c r="A665" s="1" t="s">
        <v>130</v>
      </c>
      <c r="F665" s="19">
        <f>F661-SUM(F662:F664)</f>
        <v>3653755.1900000004</v>
      </c>
      <c r="G665" s="19">
        <f>G661-SUM(G662:G664)</f>
        <v>0</v>
      </c>
      <c r="H665" s="19">
        <f>H661-SUM(H662:H664)</f>
        <v>0</v>
      </c>
      <c r="I665" s="19">
        <f>I661-SUM(I662:I664)</f>
        <v>3653755.1900000004</v>
      </c>
      <c r="J665" s="13"/>
      <c r="K665" s="13"/>
      <c r="L665" s="13"/>
      <c r="M665" s="8"/>
    </row>
    <row r="666" spans="1:13" s="3" customFormat="1" ht="12.2" customHeight="1" x14ac:dyDescent="0.2">
      <c r="A666" s="1" t="s">
        <v>131</v>
      </c>
      <c r="F666" s="245">
        <v>153.1</v>
      </c>
      <c r="G666" s="246"/>
      <c r="H666" s="246"/>
      <c r="I666" s="19">
        <f>SUM(F666:H666)</f>
        <v>153.1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23865.15</v>
      </c>
      <c r="G668" s="19" t="e">
        <f>ROUND(G665/G666,2)</f>
        <v>#DIV/0!</v>
      </c>
      <c r="H668" s="19" t="e">
        <f>ROUND(H665/H666,2)</f>
        <v>#DIV/0!</v>
      </c>
      <c r="I668" s="19">
        <f>ROUND(I665/I666,2)</f>
        <v>23865.15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23865.15</v>
      </c>
      <c r="G673" s="19" t="e">
        <f>ROUND((G665+G670)/(G666+G671),2)</f>
        <v>#DIV/0!</v>
      </c>
      <c r="H673" s="19" t="e">
        <f>ROUND((H665+H670)/(H666+H671),2)</f>
        <v>#DIV/0!</v>
      </c>
      <c r="I673" s="19">
        <f>ROUND((I665+I670)/(I666+I671),2)</f>
        <v>23865.15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5" sqref="H15"/>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67375.53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18884.66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13986.24</v>
      </c>
      <c r="F13" s="349" t="s">
        <v>1646</v>
      </c>
    </row>
    <row r="14" spans="2:8" x14ac:dyDescent="0.25">
      <c r="B14" s="348"/>
      <c r="C14" s="348"/>
      <c r="D14" s="349"/>
      <c r="E14" s="348"/>
      <c r="F14" s="348"/>
    </row>
    <row r="15" spans="2:8" x14ac:dyDescent="0.25">
      <c r="B15" s="348"/>
      <c r="C15" s="349" t="s">
        <v>1640</v>
      </c>
      <c r="D15" s="349" t="s">
        <v>1653</v>
      </c>
      <c r="E15" s="336">
        <v>34504.629999999997</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4849.93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Marlborough</v>
      </c>
      <c r="C5" s="375"/>
      <c r="D5" s="375"/>
      <c r="E5" s="375"/>
      <c r="F5" s="375"/>
    </row>
    <row r="8" spans="1:9" ht="18" x14ac:dyDescent="0.25">
      <c r="A8" s="312" t="s">
        <v>1568</v>
      </c>
      <c r="F8" s="319" t="s">
        <v>1586</v>
      </c>
    </row>
    <row r="9" spans="1:9" ht="15" x14ac:dyDescent="0.2">
      <c r="A9" s="310" t="s">
        <v>1569</v>
      </c>
      <c r="B9" s="313">
        <f>'DOE25'!G97</f>
        <v>4039.85</v>
      </c>
      <c r="F9" s="310" t="s">
        <v>1582</v>
      </c>
    </row>
    <row r="10" spans="1:9" ht="15" x14ac:dyDescent="0.2">
      <c r="A10" s="310" t="s">
        <v>1570</v>
      </c>
      <c r="B10" s="313">
        <f>'DOE25'!G112-'DOE25'!G97</f>
        <v>0</v>
      </c>
      <c r="F10" s="310" t="s">
        <v>1583</v>
      </c>
    </row>
    <row r="11" spans="1:9" ht="15" x14ac:dyDescent="0.2">
      <c r="A11" s="310" t="s">
        <v>1571</v>
      </c>
      <c r="B11" s="313">
        <f>'DOE25'!G140</f>
        <v>14573.47</v>
      </c>
      <c r="F11" s="310" t="s">
        <v>1584</v>
      </c>
    </row>
    <row r="12" spans="1:9" ht="15" x14ac:dyDescent="0.2">
      <c r="A12" s="310" t="s">
        <v>1572</v>
      </c>
      <c r="B12" s="313">
        <f>'DOE25'!G170</f>
        <v>152187.25</v>
      </c>
      <c r="F12" s="310" t="s">
        <v>1585</v>
      </c>
    </row>
    <row r="13" spans="1:9" ht="15" x14ac:dyDescent="0.2">
      <c r="A13" s="310" t="s">
        <v>1573</v>
      </c>
      <c r="B13" s="313">
        <f>'DOE25'!G193-'DOE25'!G180</f>
        <v>0</v>
      </c>
      <c r="F13" s="310" t="s">
        <v>1595</v>
      </c>
    </row>
    <row r="14" spans="1:9" ht="18" x14ac:dyDescent="0.25">
      <c r="A14" s="312" t="s">
        <v>732</v>
      </c>
      <c r="B14" s="314">
        <f>SUM(B9:B13)</f>
        <v>170800.57</v>
      </c>
    </row>
    <row r="16" spans="1:9" ht="18" x14ac:dyDescent="0.25">
      <c r="A16" s="312" t="s">
        <v>786</v>
      </c>
      <c r="F16" s="319" t="s">
        <v>1587</v>
      </c>
    </row>
    <row r="17" spans="1:6" ht="15" x14ac:dyDescent="0.2">
      <c r="A17" s="310" t="s">
        <v>1574</v>
      </c>
      <c r="B17" s="313">
        <f>'DOE25'!L363-'DOE25'!L362</f>
        <v>154496.24</v>
      </c>
      <c r="F17" s="310" t="s">
        <v>1588</v>
      </c>
    </row>
    <row r="18" spans="1:6" ht="15" x14ac:dyDescent="0.2">
      <c r="A18" s="310" t="s">
        <v>1575</v>
      </c>
      <c r="B18" s="323"/>
      <c r="F18" s="319" t="s">
        <v>1612</v>
      </c>
    </row>
    <row r="19" spans="1:6" ht="18" x14ac:dyDescent="0.25">
      <c r="A19" s="312" t="s">
        <v>725</v>
      </c>
      <c r="B19" s="314">
        <f>SUM(B17:B18)</f>
        <v>154496.24</v>
      </c>
    </row>
    <row r="21" spans="1:6" ht="18.75" thickBot="1" x14ac:dyDescent="0.3">
      <c r="A21" s="312" t="s">
        <v>1576</v>
      </c>
    </row>
    <row r="22" spans="1:6" ht="18.75" thickTop="1" x14ac:dyDescent="0.25">
      <c r="A22" s="312" t="s">
        <v>1577</v>
      </c>
      <c r="B22" s="318">
        <f>B14-B19</f>
        <v>16304.330000000016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16304.330000000016</v>
      </c>
      <c r="F33" s="310" t="s">
        <v>1593</v>
      </c>
    </row>
    <row r="36" spans="1:6" ht="15" x14ac:dyDescent="0.2">
      <c r="A36" s="310" t="s">
        <v>1579</v>
      </c>
      <c r="B36" s="324">
        <v>10091.69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24" sqref="G2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Marlborough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1057928.99</v>
      </c>
      <c r="C9" s="228">
        <f>'DOE25'!G198+'DOE25'!G216+'DOE25'!G234+'DOE25'!G277+'DOE25'!G296+'DOE25'!G315</f>
        <v>474087.41</v>
      </c>
    </row>
    <row r="10" spans="1:3" x14ac:dyDescent="0.2">
      <c r="A10" t="s">
        <v>775</v>
      </c>
      <c r="B10" s="239">
        <v>975519.46</v>
      </c>
      <c r="C10" s="239">
        <v>454016.02494115767</v>
      </c>
    </row>
    <row r="11" spans="1:3" x14ac:dyDescent="0.2">
      <c r="A11" t="s">
        <v>776</v>
      </c>
      <c r="B11" s="239">
        <v>44789.42</v>
      </c>
      <c r="C11" s="239">
        <v>20071.38505884237</v>
      </c>
    </row>
    <row r="12" spans="1:3" x14ac:dyDescent="0.2">
      <c r="A12" t="s">
        <v>777</v>
      </c>
      <c r="B12" s="239">
        <v>37620.11</v>
      </c>
      <c r="C12" s="239"/>
    </row>
    <row r="13" spans="1:3" x14ac:dyDescent="0.2">
      <c r="A13" t="str">
        <f>IF(B9=B13,IF(C9=C13,"Check Total OK","Check Total Error"),"Check Total Error")</f>
        <v>Check Total OK</v>
      </c>
      <c r="B13" s="230">
        <f>SUM(B10:B12)</f>
        <v>1057928.99</v>
      </c>
      <c r="C13" s="230">
        <f>SUM(C10:C12)</f>
        <v>474087.41000000003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355835.42999999993</v>
      </c>
      <c r="C18" s="228">
        <f>'DOE25'!G199+'DOE25'!G217+'DOE25'!G235+'DOE25'!G278+'DOE25'!G297+'DOE25'!G316</f>
        <v>82744</v>
      </c>
    </row>
    <row r="19" spans="1:3" x14ac:dyDescent="0.2">
      <c r="A19" t="s">
        <v>775</v>
      </c>
      <c r="B19" s="239">
        <v>154351.98000000001</v>
      </c>
      <c r="C19" s="239">
        <v>63642.677590368105</v>
      </c>
    </row>
    <row r="20" spans="1:3" x14ac:dyDescent="0.2">
      <c r="A20" t="s">
        <v>776</v>
      </c>
      <c r="B20" s="239">
        <v>82144.050000000017</v>
      </c>
      <c r="C20" s="239">
        <v>19101.322409631892</v>
      </c>
    </row>
    <row r="21" spans="1:3" x14ac:dyDescent="0.2">
      <c r="A21" t="s">
        <v>777</v>
      </c>
      <c r="B21" s="239">
        <v>119339.4</v>
      </c>
      <c r="C21" s="239"/>
    </row>
    <row r="22" spans="1:3" x14ac:dyDescent="0.2">
      <c r="A22" t="str">
        <f>IF(B18=B22,IF(C18=C22,"Check Total OK","Check Total Error"),"Check Total Error")</f>
        <v>Check Total OK</v>
      </c>
      <c r="B22" s="230">
        <f>SUM(B19:B21)</f>
        <v>355835.43000000005</v>
      </c>
      <c r="C22" s="230">
        <f>SUM(C19:C21)</f>
        <v>82744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30218.04</v>
      </c>
      <c r="C36" s="234">
        <f>'DOE25'!G201+'DOE25'!G219+'DOE25'!G237+'DOE25'!G280+'DOE25'!G299+'DOE25'!G318</f>
        <v>6003.13</v>
      </c>
    </row>
    <row r="37" spans="1:3" x14ac:dyDescent="0.2">
      <c r="A37" t="s">
        <v>775</v>
      </c>
      <c r="B37" s="239">
        <v>23421.040000000001</v>
      </c>
      <c r="C37" s="239">
        <v>4757.1315381540307</v>
      </c>
    </row>
    <row r="38" spans="1:3" x14ac:dyDescent="0.2">
      <c r="A38" t="s">
        <v>776</v>
      </c>
      <c r="B38" s="239">
        <v>6272</v>
      </c>
      <c r="C38" s="239">
        <v>1245.9984618459703</v>
      </c>
    </row>
    <row r="39" spans="1:3" x14ac:dyDescent="0.2">
      <c r="A39" t="s">
        <v>777</v>
      </c>
      <c r="B39" s="239">
        <v>525</v>
      </c>
      <c r="C39" s="239"/>
    </row>
    <row r="40" spans="1:3" x14ac:dyDescent="0.2">
      <c r="A40" t="str">
        <f>IF(B36=B40,IF(C36=C40,"Check Total OK","Check Total Error"),"Check Total Error")</f>
        <v>Check Total OK</v>
      </c>
      <c r="B40" s="230">
        <f>SUM(B37:B39)</f>
        <v>30218.04</v>
      </c>
      <c r="C40" s="230">
        <f>SUM(C37:C39)</f>
        <v>6003.130000000001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Marlborough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3177818.1100000003</v>
      </c>
      <c r="D5" s="20">
        <f>SUM('DOE25'!L198:L201)+SUM('DOE25'!L216:L219)+SUM('DOE25'!L234:L237)-F5-G5-H5</f>
        <v>3167140.62</v>
      </c>
      <c r="E5" s="242"/>
      <c r="F5" s="243"/>
      <c r="G5" s="53">
        <f>SUM('DOE25'!J198:J201)+SUM('DOE25'!J216:J219)+SUM('DOE25'!J234:J237)</f>
        <v>3992.35</v>
      </c>
      <c r="H5" s="53">
        <f>SUM('DOE25'!K198:K201)+SUM('DOE25'!K216:K219)+SUM('DOE25'!K234:K237)</f>
        <v>6685.14</v>
      </c>
      <c r="I5" s="255"/>
    </row>
    <row r="6" spans="1:9" x14ac:dyDescent="0.2">
      <c r="A6" s="32">
        <v>2100</v>
      </c>
      <c r="B6" t="s">
        <v>796</v>
      </c>
      <c r="C6" s="274">
        <f t="shared" si="0"/>
        <v>271407.90000000002</v>
      </c>
      <c r="D6" s="20">
        <f>'DOE25'!L203+'DOE25'!L221+'DOE25'!L239-F6-G6-H6</f>
        <v>271274.7</v>
      </c>
      <c r="E6" s="242"/>
      <c r="F6" s="243"/>
      <c r="G6" s="53">
        <f>'DOE25'!J203+'DOE25'!J221+'DOE25'!J239</f>
        <v>4.2</v>
      </c>
      <c r="H6" s="53">
        <f>'DOE25'!K203+'DOE25'!K221+'DOE25'!K239</f>
        <v>129</v>
      </c>
      <c r="I6" s="255"/>
    </row>
    <row r="7" spans="1:9" x14ac:dyDescent="0.2">
      <c r="A7" s="32">
        <v>2200</v>
      </c>
      <c r="B7" t="s">
        <v>821</v>
      </c>
      <c r="C7" s="274">
        <f t="shared" si="0"/>
        <v>131234.26</v>
      </c>
      <c r="D7" s="20">
        <f>'DOE25'!L204+'DOE25'!L222+'DOE25'!L240-F7-G7-H7</f>
        <v>129712.61</v>
      </c>
      <c r="E7" s="242"/>
      <c r="F7" s="243"/>
      <c r="G7" s="53">
        <f>'DOE25'!J204+'DOE25'!J222+'DOE25'!J240</f>
        <v>295.3</v>
      </c>
      <c r="H7" s="53">
        <f>'DOE25'!K204+'DOE25'!K222+'DOE25'!K240</f>
        <v>1226.3499999999999</v>
      </c>
      <c r="I7" s="255"/>
    </row>
    <row r="8" spans="1:9" x14ac:dyDescent="0.2">
      <c r="A8" s="32">
        <v>2300</v>
      </c>
      <c r="B8" t="s">
        <v>797</v>
      </c>
      <c r="C8" s="274">
        <f t="shared" si="0"/>
        <v>169228</v>
      </c>
      <c r="D8" s="242"/>
      <c r="E8" s="20">
        <f>'DOE25'!L205+'DOE25'!L223+'DOE25'!L241-F8-G8-H8-D9-D11</f>
        <v>169228</v>
      </c>
      <c r="F8" s="243"/>
      <c r="G8" s="53">
        <f>'DOE25'!J205+'DOE25'!J223+'DOE25'!J241</f>
        <v>0</v>
      </c>
      <c r="H8" s="53">
        <f>'DOE25'!K205+'DOE25'!K223+'DOE25'!K241</f>
        <v>0</v>
      </c>
      <c r="I8" s="255"/>
    </row>
    <row r="9" spans="1:9" ht="14.25" x14ac:dyDescent="0.2">
      <c r="A9" s="32">
        <v>2310</v>
      </c>
      <c r="B9" s="184" t="s">
        <v>888</v>
      </c>
      <c r="C9" s="274">
        <f t="shared" si="0"/>
        <v>21135.19</v>
      </c>
      <c r="D9" s="243">
        <v>21135.19</v>
      </c>
      <c r="E9" s="242"/>
      <c r="F9" s="252"/>
      <c r="G9" s="252"/>
      <c r="H9" s="252"/>
      <c r="I9" s="255"/>
    </row>
    <row r="10" spans="1:9" ht="14.25" x14ac:dyDescent="0.2">
      <c r="A10" s="32">
        <v>2317</v>
      </c>
      <c r="B10" s="184" t="s">
        <v>889</v>
      </c>
      <c r="C10" s="274">
        <f t="shared" si="0"/>
        <v>11000</v>
      </c>
      <c r="D10" s="242"/>
      <c r="E10" s="243">
        <v>11000</v>
      </c>
      <c r="F10" s="252"/>
      <c r="G10" s="252"/>
      <c r="H10" s="252"/>
      <c r="I10" s="255"/>
    </row>
    <row r="11" spans="1:9" ht="14.25" x14ac:dyDescent="0.2">
      <c r="A11" s="32">
        <v>2321</v>
      </c>
      <c r="B11" s="184" t="s">
        <v>890</v>
      </c>
      <c r="C11" s="274">
        <f t="shared" si="0"/>
        <v>40401</v>
      </c>
      <c r="D11" s="243">
        <v>40401</v>
      </c>
      <c r="E11" s="242"/>
      <c r="F11" s="252"/>
      <c r="G11" s="252"/>
      <c r="H11" s="252"/>
      <c r="I11" s="255"/>
    </row>
    <row r="12" spans="1:9" x14ac:dyDescent="0.2">
      <c r="A12" s="32">
        <v>2400</v>
      </c>
      <c r="B12" t="s">
        <v>711</v>
      </c>
      <c r="C12" s="274">
        <f t="shared" si="0"/>
        <v>221719.45</v>
      </c>
      <c r="D12" s="20">
        <f>'DOE25'!L206+'DOE25'!L224+'DOE25'!L242-F12-G12-H12</f>
        <v>221719.45</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418007.64</v>
      </c>
      <c r="D14" s="20">
        <f>'DOE25'!L208+'DOE25'!L226+'DOE25'!L244-F14-G14-H14</f>
        <v>385485.55000000005</v>
      </c>
      <c r="E14" s="242"/>
      <c r="F14" s="243">
        <v>14560.85</v>
      </c>
      <c r="G14" s="53">
        <f>'DOE25'!J208+'DOE25'!J226+'DOE25'!J244</f>
        <v>17961.240000000002</v>
      </c>
      <c r="H14" s="53">
        <f>'DOE25'!K208+'DOE25'!K226+'DOE25'!K244</f>
        <v>0</v>
      </c>
      <c r="I14" s="255"/>
    </row>
    <row r="15" spans="1:9" x14ac:dyDescent="0.2">
      <c r="A15" s="32">
        <v>2700</v>
      </c>
      <c r="B15" t="s">
        <v>799</v>
      </c>
      <c r="C15" s="274">
        <f t="shared" si="0"/>
        <v>238217.16999999998</v>
      </c>
      <c r="D15" s="20">
        <f>'DOE25'!L209+'DOE25'!L227+'DOE25'!L245-F15-G15-H15</f>
        <v>70033.37</v>
      </c>
      <c r="E15" s="242"/>
      <c r="F15" s="243">
        <v>168183.8</v>
      </c>
      <c r="G15" s="53">
        <f>'DOE25'!J209+'DOE25'!J227+'DOE25'!J245</f>
        <v>0</v>
      </c>
      <c r="H15" s="53">
        <f>'DOE25'!K209+'DOE25'!K227+'DOE25'!K245</f>
        <v>0</v>
      </c>
      <c r="I15" s="255"/>
    </row>
    <row r="16" spans="1:9" x14ac:dyDescent="0.2">
      <c r="A16" s="32">
        <v>2800</v>
      </c>
      <c r="B16" t="s">
        <v>800</v>
      </c>
      <c r="C16" s="274">
        <f t="shared" si="0"/>
        <v>46049.07</v>
      </c>
      <c r="D16" s="242"/>
      <c r="E16" s="20">
        <f>'DOE25'!L210+'DOE25'!L228+'DOE25'!L246-F16-G16-H16</f>
        <v>43854.07</v>
      </c>
      <c r="F16" s="243"/>
      <c r="G16" s="53">
        <f>'DOE25'!J210+'DOE25'!J228+'DOE25'!J246</f>
        <v>2195</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774281.25</v>
      </c>
      <c r="D25" s="242"/>
      <c r="E25" s="242"/>
      <c r="F25" s="254"/>
      <c r="G25" s="252"/>
      <c r="H25" s="252"/>
      <c r="I25" s="253">
        <f>'DOE25'!L261+'DOE25'!L262+'DOE25'!L342+'DOE25'!L343</f>
        <v>774281.25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82260.239999999991</v>
      </c>
      <c r="D29" s="282">
        <f>'DOE25'!L359+'DOE25'!L360+'DOE25'!L361-'DOE25'!I368-F29-G29-H29</f>
        <v>82260.239999999991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486974.27000000014</v>
      </c>
      <c r="D31" s="20">
        <f>'DOE25'!L291+'DOE25'!L310+'DOE25'!L329+'DOE25'!L334+'DOE25'!L335+'DOE25'!L336-F31-G31-H31</f>
        <v>309572.67000000016</v>
      </c>
      <c r="E31" s="242"/>
      <c r="F31" s="243"/>
      <c r="G31" s="53">
        <f>'DOE25'!J291+'DOE25'!J310+'DOE25'!J329+'DOE25'!J334+'DOE25'!J335+'DOE25'!J336</f>
        <v>156007.25999999998</v>
      </c>
      <c r="H31" s="53">
        <f>'DOE25'!K291+'DOE25'!K310+'DOE25'!K329+'DOE25'!K334+'DOE25'!K335+'DOE25'!K336</f>
        <v>21394.339999999997</v>
      </c>
      <c r="I31" s="255"/>
    </row>
    <row r="32" spans="1:9" ht="12" thickBot="1" x14ac:dyDescent="0.25">
      <c r="C32" s="275"/>
      <c r="G32" s="250"/>
      <c r="H32" s="250"/>
      <c r="I32" s="257"/>
    </row>
    <row r="33" spans="1:9" ht="12" thickTop="1" x14ac:dyDescent="0.2">
      <c r="B33" t="s">
        <v>809</v>
      </c>
      <c r="D33" s="244">
        <f t="shared" ref="D33:I33" si="1">SUM(D5:D31)</f>
        <v>4698735.4000000004</v>
      </c>
      <c r="E33" s="244">
        <f t="shared" si="1"/>
        <v>224082.07</v>
      </c>
      <c r="F33" s="244">
        <f t="shared" si="1"/>
        <v>182744.65</v>
      </c>
      <c r="G33" s="244">
        <f t="shared" si="1"/>
        <v>180455.34999999998</v>
      </c>
      <c r="H33" s="244">
        <f t="shared" si="1"/>
        <v>29434.829999999994</v>
      </c>
      <c r="I33" s="244">
        <f t="shared" si="1"/>
        <v>774281.25</v>
      </c>
    </row>
    <row r="35" spans="1:9" ht="12" thickBot="1" x14ac:dyDescent="0.25">
      <c r="B35" s="250" t="s">
        <v>831</v>
      </c>
      <c r="D35" s="251">
        <f>E33</f>
        <v>224082.07</v>
      </c>
      <c r="E35" s="247"/>
      <c r="F35" s="328" t="s">
        <v>1617</v>
      </c>
      <c r="G35" s="329"/>
      <c r="H35" s="329"/>
      <c r="I35" s="329"/>
    </row>
    <row r="36" spans="1:9" ht="12" thickTop="1" x14ac:dyDescent="0.2">
      <c r="B36" t="s">
        <v>810</v>
      </c>
      <c r="D36" s="20">
        <f>D33</f>
        <v>4698735.4000000004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C32" sqref="C3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Marlborough</v>
      </c>
      <c r="B2" s="126">
        <f>'DOE25'!B2</f>
        <v>339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3956334.57</v>
      </c>
      <c r="G4" s="299">
        <f>'DOE25'!L212+'DOE25'!L291</f>
        <v>3956334.5700000003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Marlborough Elementary School</v>
      </c>
      <c r="B6" s="300">
        <f>IFERROR(VLOOKUP(A6,'School Tables'!$C$3:$D$365,2,FALSE),"")</f>
        <v>21210</v>
      </c>
      <c r="C6" s="293" t="str">
        <f>IFERROR(INDEX('School Tables'!$B$3:$B$365,MATCH('School Level Expenditures'!B6,'School Tables'!$D$3:$D$365,0)),"")</f>
        <v>Marlborough</v>
      </c>
      <c r="D6" s="290">
        <v>3480570.5</v>
      </c>
      <c r="E6" s="290">
        <v>475764.07</v>
      </c>
      <c r="F6" s="303">
        <f t="shared" ref="F6:F20" si="0">D6+E6</f>
        <v>3956334.57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3480570.5</v>
      </c>
      <c r="E21" s="338">
        <f>SUM(E5:E20)</f>
        <v>475764.07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1265857.49</v>
      </c>
      <c r="G36" s="299">
        <f>'DOE25'!L248+'DOE25'!L329</f>
        <v>1265857.4900000002</v>
      </c>
      <c r="H36" s="340">
        <f>F36-G36</f>
        <v>0</v>
      </c>
      <c r="I36" s="383" t="str">
        <f>IF(H36=0,"","ISSUES!! Please review page 9 and 13 totals in comparison with total on this page")</f>
        <v/>
      </c>
      <c r="N36"/>
    </row>
    <row r="37" spans="1:14" x14ac:dyDescent="0.2">
      <c r="A37" s="126" t="s">
        <v>1548</v>
      </c>
      <c r="B37" s="300">
        <v>99999</v>
      </c>
      <c r="C37" s="293" t="s">
        <v>1548</v>
      </c>
      <c r="D37" s="290">
        <v>1265857.49</v>
      </c>
      <c r="E37" s="290"/>
      <c r="F37" s="303">
        <f t="shared" ref="F37:F42" si="2">D37+E37</f>
        <v>1265857.49</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1265857.49</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Marlborough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45888.25</v>
      </c>
      <c r="D8" s="95">
        <f>'DOE25'!G9</f>
        <v>0</v>
      </c>
      <c r="E8" s="95">
        <f>'DOE25'!H9</f>
        <v>45900.74</v>
      </c>
      <c r="F8" s="95">
        <f>'DOE25'!I9</f>
        <v>0</v>
      </c>
      <c r="G8" s="95">
        <f>'DOE25'!J9</f>
        <v>493024.76</v>
      </c>
      <c r="H8" s="124">
        <f>SUM(C8:G8)</f>
        <v>584813.75</v>
      </c>
      <c r="I8" s="124"/>
    </row>
    <row r="9" spans="1:9" x14ac:dyDescent="0.2">
      <c r="A9" s="1" t="s">
        <v>140</v>
      </c>
      <c r="B9" s="6">
        <v>110</v>
      </c>
      <c r="C9" s="95">
        <f>'DOE25'!F10</f>
        <v>244637.46</v>
      </c>
      <c r="D9" s="95">
        <f>'DOE25'!G10</f>
        <v>0</v>
      </c>
      <c r="E9" s="95">
        <f>'DOE25'!H10</f>
        <v>0</v>
      </c>
      <c r="F9" s="95">
        <f>'DOE25'!I10</f>
        <v>0</v>
      </c>
      <c r="G9" s="95">
        <f>'DOE25'!J10</f>
        <v>0</v>
      </c>
      <c r="H9" s="124">
        <f t="shared" ref="H9:H18" si="0">SUM(C9:G9)</f>
        <v>244637.46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63914.55</v>
      </c>
      <c r="D11" s="95">
        <f>'DOE25'!G12</f>
        <v>0</v>
      </c>
      <c r="E11" s="95">
        <f>'DOE25'!H12</f>
        <v>2265.56</v>
      </c>
      <c r="F11" s="95">
        <f>'DOE25'!I12</f>
        <v>0</v>
      </c>
      <c r="G11" s="95">
        <f>'DOE25'!J12</f>
        <v>0</v>
      </c>
      <c r="H11" s="124">
        <f t="shared" si="0"/>
        <v>66180.11</v>
      </c>
      <c r="I11" s="124"/>
    </row>
    <row r="12" spans="1:9" x14ac:dyDescent="0.2">
      <c r="A12" s="1" t="s">
        <v>143</v>
      </c>
      <c r="B12" s="6">
        <v>140</v>
      </c>
      <c r="C12" s="95">
        <f>'DOE25'!F13</f>
        <v>47655.28</v>
      </c>
      <c r="D12" s="95">
        <f>'DOE25'!G13</f>
        <v>37572.769999999997</v>
      </c>
      <c r="E12" s="95">
        <f>'DOE25'!H13</f>
        <v>42804.22</v>
      </c>
      <c r="F12" s="95">
        <f>'DOE25'!I13</f>
        <v>0</v>
      </c>
      <c r="G12" s="95">
        <f>'DOE25'!J13</f>
        <v>0</v>
      </c>
      <c r="H12" s="124">
        <f t="shared" si="0"/>
        <v>128032.26999999999</v>
      </c>
      <c r="I12" s="124"/>
    </row>
    <row r="13" spans="1:9" x14ac:dyDescent="0.2">
      <c r="A13" s="1" t="s">
        <v>144</v>
      </c>
      <c r="B13" s="6">
        <v>150</v>
      </c>
      <c r="C13" s="95">
        <f>'DOE25'!F14</f>
        <v>0</v>
      </c>
      <c r="D13" s="95">
        <f>'DOE25'!G14</f>
        <v>172.35</v>
      </c>
      <c r="E13" s="95">
        <f>'DOE25'!H14</f>
        <v>0</v>
      </c>
      <c r="F13" s="95">
        <f>'DOE25'!I14</f>
        <v>0</v>
      </c>
      <c r="G13" s="95">
        <f>'DOE25'!J14</f>
        <v>0</v>
      </c>
      <c r="H13" s="124">
        <f t="shared" si="0"/>
        <v>172.35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7090.2</v>
      </c>
      <c r="F16" s="95">
        <f>'DOE25'!I17</f>
        <v>0</v>
      </c>
      <c r="G16" s="95">
        <f>'DOE25'!J17</f>
        <v>0</v>
      </c>
      <c r="H16" s="124">
        <f t="shared" si="0"/>
        <v>7090.2</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402095.53999999992</v>
      </c>
      <c r="D18" s="41">
        <f>SUM(D8:D17)</f>
        <v>37745.119999999995</v>
      </c>
      <c r="E18" s="41">
        <f>SUM(E8:E17)</f>
        <v>98060.719999999987</v>
      </c>
      <c r="F18" s="41">
        <f>SUM(F8:F17)</f>
        <v>0</v>
      </c>
      <c r="G18" s="41">
        <f>SUM(G8:G17)</f>
        <v>493024.76</v>
      </c>
      <c r="H18" s="41">
        <f t="shared" si="0"/>
        <v>1030926.1399999999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2265.56</v>
      </c>
      <c r="D21" s="95">
        <f>'DOE25'!G22</f>
        <v>20197.830000000002</v>
      </c>
      <c r="E21" s="95">
        <f>'DOE25'!H22</f>
        <v>43716.72</v>
      </c>
      <c r="F21" s="95">
        <f>'DOE25'!I22</f>
        <v>0</v>
      </c>
      <c r="G21" s="95">
        <f>'DOE25'!J22</f>
        <v>0</v>
      </c>
      <c r="H21" s="124">
        <f t="shared" ref="H21:H31" si="1">SUM(C21:G21)</f>
        <v>66180.11</v>
      </c>
      <c r="I21" s="124"/>
    </row>
    <row r="22" spans="1:9" x14ac:dyDescent="0.2">
      <c r="A22" s="1" t="s">
        <v>151</v>
      </c>
      <c r="B22" s="6">
        <v>410</v>
      </c>
      <c r="C22" s="95">
        <f>'DOE25'!F23</f>
        <v>3529.48</v>
      </c>
      <c r="D22" s="95">
        <f>'DOE25'!G23</f>
        <v>0</v>
      </c>
      <c r="E22" s="95">
        <f>'DOE25'!H23</f>
        <v>0</v>
      </c>
      <c r="F22" s="95">
        <f>'DOE25'!I23</f>
        <v>0</v>
      </c>
      <c r="G22" s="95">
        <f>'DOE25'!J23</f>
        <v>0</v>
      </c>
      <c r="H22" s="124">
        <f t="shared" si="1"/>
        <v>3529.48</v>
      </c>
      <c r="I22" s="124"/>
    </row>
    <row r="23" spans="1:9" x14ac:dyDescent="0.2">
      <c r="A23" s="1" t="s">
        <v>152</v>
      </c>
      <c r="B23" s="6">
        <v>420</v>
      </c>
      <c r="C23" s="95">
        <f>'DOE25'!F24</f>
        <v>3723.27</v>
      </c>
      <c r="D23" s="95">
        <f>'DOE25'!G24</f>
        <v>0</v>
      </c>
      <c r="E23" s="95">
        <f>'DOE25'!H24</f>
        <v>8443.26</v>
      </c>
      <c r="F23" s="95">
        <f>'DOE25'!I24</f>
        <v>0</v>
      </c>
      <c r="G23" s="95">
        <f>'DOE25'!J24</f>
        <v>0</v>
      </c>
      <c r="H23" s="124">
        <f t="shared" si="1"/>
        <v>12166.53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5085.7</v>
      </c>
      <c r="D27" s="95">
        <f>'DOE25'!G28</f>
        <v>0</v>
      </c>
      <c r="E27" s="95">
        <f>'DOE25'!H28</f>
        <v>0</v>
      </c>
      <c r="F27" s="95">
        <f>'DOE25'!I28</f>
        <v>0</v>
      </c>
      <c r="G27" s="24" t="s">
        <v>288</v>
      </c>
      <c r="H27" s="124">
        <f t="shared" si="1"/>
        <v>5085.7</v>
      </c>
      <c r="I27" s="124"/>
    </row>
    <row r="28" spans="1:9" x14ac:dyDescent="0.2">
      <c r="A28" s="1" t="s">
        <v>157</v>
      </c>
      <c r="B28" s="6">
        <v>470</v>
      </c>
      <c r="C28" s="95">
        <f>'DOE25'!F29</f>
        <v>70880.44</v>
      </c>
      <c r="D28" s="95">
        <f>'DOE25'!G29</f>
        <v>0</v>
      </c>
      <c r="E28" s="95">
        <f>'DOE25'!H29</f>
        <v>0</v>
      </c>
      <c r="F28" s="95">
        <f>'DOE25'!I29</f>
        <v>0</v>
      </c>
      <c r="G28" s="24" t="s">
        <v>288</v>
      </c>
      <c r="H28" s="124">
        <f t="shared" si="1"/>
        <v>70880.44</v>
      </c>
      <c r="I28" s="124"/>
    </row>
    <row r="29" spans="1:9" x14ac:dyDescent="0.2">
      <c r="A29" s="1" t="s">
        <v>158</v>
      </c>
      <c r="B29" s="6">
        <v>480</v>
      </c>
      <c r="C29" s="95">
        <f>'DOE25'!F30</f>
        <v>0</v>
      </c>
      <c r="D29" s="95">
        <f>'DOE25'!G30</f>
        <v>1242.96</v>
      </c>
      <c r="E29" s="95">
        <f>'DOE25'!H30</f>
        <v>0</v>
      </c>
      <c r="F29" s="95">
        <f>'DOE25'!I30</f>
        <v>0</v>
      </c>
      <c r="G29" s="24" t="s">
        <v>288</v>
      </c>
      <c r="H29" s="124">
        <f t="shared" si="1"/>
        <v>1242.96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85484.45</v>
      </c>
      <c r="D31" s="41">
        <f>SUM(D21:D30)</f>
        <v>21440.79</v>
      </c>
      <c r="E31" s="41">
        <f>SUM(E21:E30)</f>
        <v>52159.98</v>
      </c>
      <c r="F31" s="41">
        <f>SUM(F21:F30)</f>
        <v>0</v>
      </c>
      <c r="G31" s="41">
        <f>SUM(G21:G30)</f>
        <v>0</v>
      </c>
      <c r="H31" s="41">
        <f t="shared" si="1"/>
        <v>159085.22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16304.33</v>
      </c>
      <c r="E36" s="95">
        <f>'DOE25'!H37</f>
        <v>4252.5</v>
      </c>
      <c r="F36" s="95">
        <f>'DOE25'!I37</f>
        <v>0</v>
      </c>
      <c r="G36" s="95">
        <f>'DOE25'!J37</f>
        <v>0</v>
      </c>
      <c r="H36" s="124">
        <f t="shared" si="2"/>
        <v>20556.830000000002</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35000</v>
      </c>
      <c r="D43" s="95">
        <f>'DOE25'!G44</f>
        <v>0</v>
      </c>
      <c r="E43" s="95">
        <f>'DOE25'!H44</f>
        <v>0</v>
      </c>
      <c r="F43" s="95">
        <f>'DOE25'!I44</f>
        <v>0</v>
      </c>
      <c r="G43" s="24" t="s">
        <v>288</v>
      </c>
      <c r="H43" s="124">
        <f t="shared" si="2"/>
        <v>35000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39688.759999999995</v>
      </c>
      <c r="F47" s="95">
        <f>'DOE25'!I48</f>
        <v>0</v>
      </c>
      <c r="G47" s="95">
        <f>'DOE25'!J48</f>
        <v>493024.76</v>
      </c>
      <c r="H47" s="124">
        <f t="shared" si="2"/>
        <v>532713.52</v>
      </c>
      <c r="I47" s="124"/>
    </row>
    <row r="48" spans="1:9" x14ac:dyDescent="0.2">
      <c r="A48" s="1" t="s">
        <v>882</v>
      </c>
      <c r="B48" s="6">
        <v>753</v>
      </c>
      <c r="C48" s="95">
        <f>'DOE25'!F49</f>
        <v>206.82</v>
      </c>
      <c r="D48" s="95">
        <f>'DOE25'!G49</f>
        <v>0</v>
      </c>
      <c r="E48" s="95">
        <f>'DOE25'!H49</f>
        <v>1959.48</v>
      </c>
      <c r="F48" s="95">
        <f>'DOE25'!I49</f>
        <v>0</v>
      </c>
      <c r="G48" s="95">
        <f>'DOE25'!J49</f>
        <v>0</v>
      </c>
      <c r="H48" s="124">
        <f t="shared" si="2"/>
        <v>2166.3000000000002</v>
      </c>
      <c r="I48" s="124"/>
    </row>
    <row r="49" spans="1:9" ht="12" thickBot="1" x14ac:dyDescent="0.25">
      <c r="A49" s="29" t="s">
        <v>883</v>
      </c>
      <c r="B49" s="71">
        <v>770</v>
      </c>
      <c r="C49" s="95">
        <f>'DOE25'!F50</f>
        <v>281404.27</v>
      </c>
      <c r="D49" s="24" t="s">
        <v>288</v>
      </c>
      <c r="E49" s="24" t="s">
        <v>288</v>
      </c>
      <c r="F49" s="24" t="s">
        <v>288</v>
      </c>
      <c r="G49" s="24" t="s">
        <v>288</v>
      </c>
      <c r="H49" s="124">
        <f t="shared" si="2"/>
        <v>281404.27</v>
      </c>
      <c r="I49" s="124"/>
    </row>
    <row r="50" spans="1:9" ht="12.75" thickTop="1" thickBot="1" x14ac:dyDescent="0.25">
      <c r="A50" s="38" t="s">
        <v>884</v>
      </c>
      <c r="B50" s="48"/>
      <c r="C50" s="41">
        <f>SUM(C34:C49)</f>
        <v>316611.09000000003</v>
      </c>
      <c r="D50" s="41">
        <f>SUM(D34:D49)</f>
        <v>16304.33</v>
      </c>
      <c r="E50" s="41">
        <f>SUM(E34:E49)</f>
        <v>45900.74</v>
      </c>
      <c r="F50" s="41">
        <f>SUM(F34:F49)</f>
        <v>0</v>
      </c>
      <c r="G50" s="41">
        <f>SUM(G34:G49)</f>
        <v>493024.76</v>
      </c>
      <c r="H50" s="41">
        <f t="shared" si="2"/>
        <v>871840.92</v>
      </c>
      <c r="I50" s="124"/>
    </row>
    <row r="51" spans="1:9" ht="12" thickTop="1" x14ac:dyDescent="0.2">
      <c r="A51" s="38" t="s">
        <v>885</v>
      </c>
      <c r="B51" s="2"/>
      <c r="C51" s="41">
        <f>C50+C31</f>
        <v>402095.54000000004</v>
      </c>
      <c r="D51" s="41">
        <f>D50+D31</f>
        <v>37745.120000000003</v>
      </c>
      <c r="E51" s="41">
        <f>E50+E31</f>
        <v>98060.72</v>
      </c>
      <c r="F51" s="41">
        <f>F50+F31</f>
        <v>0</v>
      </c>
      <c r="G51" s="41">
        <f>G50+G31</f>
        <v>493024.76</v>
      </c>
      <c r="H51" s="41">
        <f t="shared" si="2"/>
        <v>1030926.14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3210723</v>
      </c>
      <c r="D56" s="95">
        <f>'DOE25'!G60</f>
        <v>0</v>
      </c>
      <c r="E56" s="95">
        <f>'DOE25'!H60</f>
        <v>0</v>
      </c>
      <c r="F56" s="95">
        <f>'DOE25'!I60</f>
        <v>0</v>
      </c>
      <c r="G56" s="95">
        <f>'DOE25'!J60</f>
        <v>0</v>
      </c>
      <c r="H56" s="124">
        <f t="shared" ref="H56:H63" si="3">SUM(C56:G56)</f>
        <v>3210723</v>
      </c>
      <c r="I56"/>
    </row>
    <row r="57" spans="1:9" x14ac:dyDescent="0.2">
      <c r="A57" s="1" t="s">
        <v>164</v>
      </c>
      <c r="B57" s="6" t="s">
        <v>165</v>
      </c>
      <c r="C57" s="95">
        <f>'DOE25'!F79</f>
        <v>20478</v>
      </c>
      <c r="D57" s="24" t="s">
        <v>288</v>
      </c>
      <c r="E57" s="95">
        <f>'DOE25'!H79</f>
        <v>15974.42</v>
      </c>
      <c r="F57" s="24" t="s">
        <v>288</v>
      </c>
      <c r="G57" s="24" t="s">
        <v>288</v>
      </c>
      <c r="H57" s="124">
        <f t="shared" si="3"/>
        <v>36452.42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1944.18</v>
      </c>
      <c r="D59" s="95">
        <f>'DOE25'!G96</f>
        <v>0</v>
      </c>
      <c r="E59" s="95">
        <f>'DOE25'!H96</f>
        <v>0</v>
      </c>
      <c r="F59" s="95">
        <f>'DOE25'!I96</f>
        <v>0</v>
      </c>
      <c r="G59" s="95">
        <f>'DOE25'!J96</f>
        <v>6546.5</v>
      </c>
      <c r="H59" s="124">
        <f t="shared" si="3"/>
        <v>8490.68</v>
      </c>
      <c r="I59"/>
    </row>
    <row r="60" spans="1:9" x14ac:dyDescent="0.2">
      <c r="A60" s="1" t="s">
        <v>170</v>
      </c>
      <c r="B60" s="118" t="s">
        <v>171</v>
      </c>
      <c r="C60" s="24" t="s">
        <v>288</v>
      </c>
      <c r="D60" s="95">
        <f>'DOE25'!G97</f>
        <v>4039.85</v>
      </c>
      <c r="E60" s="24" t="s">
        <v>288</v>
      </c>
      <c r="F60" s="24" t="s">
        <v>288</v>
      </c>
      <c r="G60" s="24" t="s">
        <v>288</v>
      </c>
      <c r="H60" s="124">
        <f t="shared" si="3"/>
        <v>4039.85</v>
      </c>
      <c r="I60"/>
    </row>
    <row r="61" spans="1:9" ht="12" thickBot="1" x14ac:dyDescent="0.25">
      <c r="A61" s="1" t="s">
        <v>172</v>
      </c>
      <c r="B61" s="118" t="s">
        <v>173</v>
      </c>
      <c r="C61" s="95">
        <f>SUM('DOE25'!F98:F110)</f>
        <v>94154.45</v>
      </c>
      <c r="D61" s="95">
        <f>SUM('DOE25'!G98:G110)</f>
        <v>0</v>
      </c>
      <c r="E61" s="95">
        <f>SUM('DOE25'!H98:H110)</f>
        <v>3331</v>
      </c>
      <c r="F61" s="95">
        <f>SUM('DOE25'!I98:I110)</f>
        <v>0</v>
      </c>
      <c r="G61" s="95">
        <f>SUM('DOE25'!J98:J110)</f>
        <v>0</v>
      </c>
      <c r="H61" s="124">
        <f t="shared" si="3"/>
        <v>97485.45</v>
      </c>
      <c r="I61"/>
    </row>
    <row r="62" spans="1:9" ht="12.75" thickTop="1" thickBot="1" x14ac:dyDescent="0.25">
      <c r="A62" s="29" t="s">
        <v>174</v>
      </c>
      <c r="B62" s="6"/>
      <c r="C62" s="130">
        <f>SUM(C57:C61)</f>
        <v>116576.63</v>
      </c>
      <c r="D62" s="130">
        <f>SUM(D57:D61)</f>
        <v>4039.85</v>
      </c>
      <c r="E62" s="130">
        <f>SUM(E57:E61)</f>
        <v>19305.419999999998</v>
      </c>
      <c r="F62" s="130">
        <f>SUM(F57:F61)</f>
        <v>0</v>
      </c>
      <c r="G62" s="130">
        <f>SUM(G57:G61)</f>
        <v>6546.5</v>
      </c>
      <c r="H62" s="124">
        <f t="shared" si="3"/>
        <v>146468.40000000002</v>
      </c>
      <c r="I62"/>
    </row>
    <row r="63" spans="1:9" ht="12" thickTop="1" x14ac:dyDescent="0.2">
      <c r="A63" s="29" t="s">
        <v>175</v>
      </c>
      <c r="B63" s="6"/>
      <c r="C63" s="22">
        <f>C56+C62</f>
        <v>3327299.63</v>
      </c>
      <c r="D63" s="22">
        <f>D56+D62</f>
        <v>4039.85</v>
      </c>
      <c r="E63" s="22">
        <f>E56+E62</f>
        <v>19305.419999999998</v>
      </c>
      <c r="F63" s="22">
        <f>F56+F62</f>
        <v>0</v>
      </c>
      <c r="G63" s="22">
        <f>G56+G62</f>
        <v>6546.5</v>
      </c>
      <c r="H63" s="124">
        <f t="shared" si="3"/>
        <v>3357191.4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1394691.54</v>
      </c>
      <c r="D66" s="24" t="s">
        <v>288</v>
      </c>
      <c r="E66" s="24" t="s">
        <v>288</v>
      </c>
      <c r="F66" s="24" t="s">
        <v>288</v>
      </c>
      <c r="G66" s="24" t="s">
        <v>288</v>
      </c>
      <c r="H66" s="124">
        <f t="shared" ref="H66:H81" si="4">SUM(C66:G66)</f>
        <v>1394691.54</v>
      </c>
      <c r="I66"/>
    </row>
    <row r="67" spans="1:9" x14ac:dyDescent="0.2">
      <c r="A67" s="1" t="s">
        <v>770</v>
      </c>
      <c r="B67" s="6">
        <v>3112</v>
      </c>
      <c r="C67" s="95">
        <f>'DOE25'!F118</f>
        <v>373697</v>
      </c>
      <c r="D67" s="24"/>
      <c r="E67" s="24"/>
      <c r="F67" s="24"/>
      <c r="G67" s="24"/>
      <c r="H67" s="124">
        <f t="shared" si="4"/>
        <v>373697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5751.59</v>
      </c>
      <c r="D69" s="95">
        <f>'DOE25'!G120</f>
        <v>0</v>
      </c>
      <c r="E69" s="95">
        <f>'DOE25'!H120</f>
        <v>0</v>
      </c>
      <c r="F69" s="95">
        <f>'DOE25'!I120</f>
        <v>0</v>
      </c>
      <c r="G69" s="95">
        <f>'DOE25'!J120</f>
        <v>0</v>
      </c>
      <c r="H69" s="124">
        <f t="shared" si="4"/>
        <v>5751.59</v>
      </c>
      <c r="I69"/>
    </row>
    <row r="70" spans="1:9" ht="12" thickTop="1" x14ac:dyDescent="0.2">
      <c r="A70" s="29" t="s">
        <v>252</v>
      </c>
      <c r="B70" s="2"/>
      <c r="C70" s="139">
        <f>SUM(C66:C69)</f>
        <v>1774140.1300000001</v>
      </c>
      <c r="D70" s="139">
        <f>D69</f>
        <v>0</v>
      </c>
      <c r="E70" s="139">
        <f>E69</f>
        <v>0</v>
      </c>
      <c r="F70" s="139">
        <f>F69</f>
        <v>0</v>
      </c>
      <c r="G70" s="139">
        <f>G69</f>
        <v>0</v>
      </c>
      <c r="H70" s="124">
        <f t="shared" si="4"/>
        <v>1774140.1300000001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211938.83</v>
      </c>
      <c r="D72" s="24" t="s">
        <v>288</v>
      </c>
      <c r="E72" s="24" t="s">
        <v>288</v>
      </c>
      <c r="F72" s="95">
        <f>'DOE25'!I123</f>
        <v>0</v>
      </c>
      <c r="G72" s="24" t="s">
        <v>288</v>
      </c>
      <c r="H72" s="124">
        <f t="shared" si="4"/>
        <v>211938.83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38044.68</v>
      </c>
      <c r="D75" s="24" t="s">
        <v>288</v>
      </c>
      <c r="E75" s="24" t="s">
        <v>288</v>
      </c>
      <c r="F75" s="24" t="s">
        <v>288</v>
      </c>
      <c r="G75" s="24" t="s">
        <v>288</v>
      </c>
      <c r="H75" s="124">
        <f t="shared" si="4"/>
        <v>38044.68</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14573.47</v>
      </c>
      <c r="E77" s="95">
        <f>SUM('DOE25'!H131:H135)</f>
        <v>0</v>
      </c>
      <c r="F77" s="95">
        <f>SUM('DOE25'!I131:I135)</f>
        <v>0</v>
      </c>
      <c r="G77" s="95">
        <f>SUM('DOE25'!J131:J135)</f>
        <v>0</v>
      </c>
      <c r="H77" s="124">
        <f t="shared" si="4"/>
        <v>14573.47</v>
      </c>
      <c r="I77"/>
    </row>
    <row r="78" spans="1:9" ht="12.75" thickTop="1" thickBot="1" x14ac:dyDescent="0.25">
      <c r="A78" s="29" t="s">
        <v>259</v>
      </c>
      <c r="B78" s="6"/>
      <c r="C78" s="130">
        <f>SUM(C72:C77)</f>
        <v>249983.50999999998</v>
      </c>
      <c r="D78" s="130">
        <f>SUM(D72:D77)</f>
        <v>14573.47</v>
      </c>
      <c r="E78" s="130">
        <f>SUM(E72:E77)</f>
        <v>0</v>
      </c>
      <c r="F78" s="130">
        <f>SUM(F72:F77)</f>
        <v>0</v>
      </c>
      <c r="G78" s="130">
        <f>SUM(G72:G77)</f>
        <v>0</v>
      </c>
      <c r="H78" s="124">
        <f t="shared" si="4"/>
        <v>264556.98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2024123.6400000001</v>
      </c>
      <c r="D81" s="130">
        <f>SUM(D79:D80)+D78+D70</f>
        <v>14573.47</v>
      </c>
      <c r="E81" s="130">
        <f>SUM(E79:E80)+E78+E70</f>
        <v>0</v>
      </c>
      <c r="F81" s="130">
        <f>SUM(F79:F80)+F78+F70</f>
        <v>0</v>
      </c>
      <c r="G81" s="130">
        <f>SUM(G79:G80)+G78+G70</f>
        <v>0</v>
      </c>
      <c r="H81" s="130">
        <f t="shared" si="4"/>
        <v>2038697.11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4849.93</v>
      </c>
      <c r="F87" s="95">
        <f>SUM('DOE25'!I149:I152)</f>
        <v>0</v>
      </c>
      <c r="G87" s="24" t="s">
        <v>288</v>
      </c>
      <c r="H87" s="124">
        <f t="shared" si="5"/>
        <v>4849.93</v>
      </c>
    </row>
    <row r="88" spans="1:9" x14ac:dyDescent="0.2">
      <c r="A88" s="287" t="s">
        <v>747</v>
      </c>
      <c r="B88" s="325" t="s">
        <v>184</v>
      </c>
      <c r="C88" s="326">
        <f>SUM('DOE25'!F153:F162)</f>
        <v>14466.13</v>
      </c>
      <c r="D88" s="326">
        <f>SUM('DOE25'!G153:G162)</f>
        <v>152187.25</v>
      </c>
      <c r="E88" s="326">
        <f>SUM('DOE25'!H153:H162)</f>
        <v>470914.14</v>
      </c>
      <c r="F88" s="326">
        <f>SUM('DOE25'!I153:I162)</f>
        <v>0</v>
      </c>
      <c r="G88" s="24" t="s">
        <v>288</v>
      </c>
      <c r="H88" s="124">
        <f t="shared" si="5"/>
        <v>637567.52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14466.13</v>
      </c>
      <c r="D91" s="131">
        <f>SUM(D85:D90)</f>
        <v>152187.25</v>
      </c>
      <c r="E91" s="131">
        <f>SUM(E85:E90)</f>
        <v>475764.07</v>
      </c>
      <c r="F91" s="131">
        <f>SUM(F85:F90)</f>
        <v>0</v>
      </c>
      <c r="G91" s="24" t="s">
        <v>288</v>
      </c>
      <c r="H91" s="124">
        <f t="shared" si="5"/>
        <v>642417.44999999995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87877.81</v>
      </c>
      <c r="D99" s="95">
        <f>'DOE25'!G186</f>
        <v>0</v>
      </c>
      <c r="E99" s="95">
        <f>'DOE25'!H186</f>
        <v>0</v>
      </c>
      <c r="F99" s="95">
        <f>'DOE25'!I186</f>
        <v>0</v>
      </c>
      <c r="G99" s="24" t="s">
        <v>288</v>
      </c>
      <c r="H99" s="124">
        <f t="shared" si="5"/>
        <v>87877.81</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87877.81</v>
      </c>
      <c r="D103" s="86">
        <f>SUM(D93:D102)</f>
        <v>0</v>
      </c>
      <c r="E103" s="86">
        <f>SUM(E93:E102)</f>
        <v>0</v>
      </c>
      <c r="F103" s="86">
        <f>SUM(F93:F102)</f>
        <v>0</v>
      </c>
      <c r="G103" s="86">
        <f>SUM(G93:G102)</f>
        <v>0</v>
      </c>
      <c r="H103" s="86">
        <f t="shared" si="5"/>
        <v>87877.81</v>
      </c>
    </row>
    <row r="104" spans="1:8" ht="12.75" thickTop="1" thickBot="1" x14ac:dyDescent="0.25">
      <c r="A104" s="33" t="s">
        <v>761</v>
      </c>
      <c r="C104" s="86">
        <f>C63+C81+C91+C103</f>
        <v>5453767.209999999</v>
      </c>
      <c r="D104" s="86">
        <f>D63+D81+D91+D103</f>
        <v>170800.57</v>
      </c>
      <c r="E104" s="86">
        <f>E63+E81+E91+E103</f>
        <v>495069.49</v>
      </c>
      <c r="F104" s="86">
        <f>F63+F81+F91+F103</f>
        <v>0</v>
      </c>
      <c r="G104" s="86">
        <f>G63+G81+G103</f>
        <v>6546.5</v>
      </c>
      <c r="H104" s="86">
        <f t="shared" si="5"/>
        <v>6126183.7699999996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2334494.2000000002</v>
      </c>
      <c r="D109" s="24" t="s">
        <v>288</v>
      </c>
      <c r="E109" s="95">
        <f>('DOE25'!L277)+('DOE25'!L296)+('DOE25'!L315)</f>
        <v>273894.89</v>
      </c>
      <c r="F109" s="24" t="s">
        <v>288</v>
      </c>
      <c r="G109" s="24" t="s">
        <v>288</v>
      </c>
      <c r="H109" s="124">
        <f t="shared" ref="H109:H115" si="6">SUM(C109:G109)</f>
        <v>2608389.0900000003</v>
      </c>
    </row>
    <row r="110" spans="1:8" x14ac:dyDescent="0.2">
      <c r="A110" t="s">
        <v>198</v>
      </c>
      <c r="B110" s="32" t="s">
        <v>199</v>
      </c>
      <c r="C110" s="95">
        <f>('DOE25'!L199)+('DOE25'!L217)+('DOE25'!L235)</f>
        <v>821570.83000000007</v>
      </c>
      <c r="D110" s="24" t="s">
        <v>288</v>
      </c>
      <c r="E110" s="95">
        <f>('DOE25'!L278)+('DOE25'!L297)+('DOE25'!L316)</f>
        <v>52065.660000000011</v>
      </c>
      <c r="F110" s="24" t="s">
        <v>288</v>
      </c>
      <c r="G110" s="24" t="s">
        <v>288</v>
      </c>
      <c r="H110" s="124">
        <f t="shared" si="6"/>
        <v>873636.49000000011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21753.08</v>
      </c>
      <c r="D112" s="24" t="s">
        <v>288</v>
      </c>
      <c r="E112" s="95">
        <f>+('DOE25'!L280)+('DOE25'!L299)+('DOE25'!L318)</f>
        <v>44470.950000000004</v>
      </c>
      <c r="F112" s="24" t="s">
        <v>288</v>
      </c>
      <c r="G112" s="24" t="s">
        <v>288</v>
      </c>
      <c r="H112" s="124">
        <f t="shared" si="6"/>
        <v>66224.03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3177818.1100000003</v>
      </c>
      <c r="D115" s="86">
        <f>SUM(D109:D114)</f>
        <v>0</v>
      </c>
      <c r="E115" s="86">
        <f>SUM(E109:E114)</f>
        <v>370431.50000000006</v>
      </c>
      <c r="F115" s="86">
        <f>SUM(F109:F114)</f>
        <v>0</v>
      </c>
      <c r="G115" s="86">
        <f>SUM(G109:G114)</f>
        <v>0</v>
      </c>
      <c r="H115" s="86">
        <f t="shared" si="6"/>
        <v>3548249.6100000003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271407.90000000002</v>
      </c>
      <c r="D118" s="24" t="s">
        <v>288</v>
      </c>
      <c r="E118" s="95">
        <f>+('DOE25'!L282)+('DOE25'!L301)+('DOE25'!L320)</f>
        <v>8883.68</v>
      </c>
      <c r="F118" s="24" t="s">
        <v>288</v>
      </c>
      <c r="G118" s="24" t="s">
        <v>288</v>
      </c>
      <c r="H118" s="124">
        <f t="shared" ref="H118:H145" si="7">SUM(C118:G118)</f>
        <v>280291.58</v>
      </c>
    </row>
    <row r="119" spans="1:8" x14ac:dyDescent="0.2">
      <c r="A119" t="s">
        <v>208</v>
      </c>
      <c r="B119" s="32" t="s">
        <v>209</v>
      </c>
      <c r="C119" s="95">
        <f>('DOE25'!L204)+('DOE25'!L222)+('DOE25'!L240)</f>
        <v>131234.26</v>
      </c>
      <c r="D119" s="24" t="s">
        <v>288</v>
      </c>
      <c r="E119" s="95">
        <f>+('DOE25'!L283)+('DOE25'!L302)+('DOE25'!L321)</f>
        <v>83660.200000000012</v>
      </c>
      <c r="F119" s="24" t="s">
        <v>288</v>
      </c>
      <c r="G119" s="24" t="s">
        <v>288</v>
      </c>
      <c r="H119" s="124">
        <f t="shared" si="7"/>
        <v>214894.46000000002</v>
      </c>
    </row>
    <row r="120" spans="1:8" x14ac:dyDescent="0.2">
      <c r="A120" t="s">
        <v>210</v>
      </c>
      <c r="B120" s="32" t="s">
        <v>211</v>
      </c>
      <c r="C120" s="95">
        <f>('DOE25'!L205)+('DOE25'!L223)+('DOE25'!L241)</f>
        <v>230764.19</v>
      </c>
      <c r="D120" s="24" t="s">
        <v>288</v>
      </c>
      <c r="E120" s="95">
        <f>+('DOE25'!L284)+('DOE25'!L303)+('DOE25'!L322)</f>
        <v>1928.06</v>
      </c>
      <c r="F120" s="24" t="s">
        <v>288</v>
      </c>
      <c r="G120" s="24" t="s">
        <v>288</v>
      </c>
      <c r="H120" s="124">
        <f t="shared" si="7"/>
        <v>232692.25</v>
      </c>
    </row>
    <row r="121" spans="1:8" x14ac:dyDescent="0.2">
      <c r="A121" t="s">
        <v>212</v>
      </c>
      <c r="B121" s="32" t="s">
        <v>213</v>
      </c>
      <c r="C121" s="95">
        <f>('DOE25'!L206)+('DOE25'!L224)+('DOE25'!L242)</f>
        <v>221719.45</v>
      </c>
      <c r="D121" s="24" t="s">
        <v>288</v>
      </c>
      <c r="E121" s="95">
        <f>+('DOE25'!L285)+('DOE25'!L304)+('DOE25'!L323)</f>
        <v>0</v>
      </c>
      <c r="F121" s="24" t="s">
        <v>288</v>
      </c>
      <c r="G121" s="24" t="s">
        <v>288</v>
      </c>
      <c r="H121" s="124">
        <f t="shared" si="7"/>
        <v>221719.45</v>
      </c>
    </row>
    <row r="122" spans="1:8" x14ac:dyDescent="0.2">
      <c r="A122" t="s">
        <v>214</v>
      </c>
      <c r="B122" s="32" t="s">
        <v>215</v>
      </c>
      <c r="C122" s="95">
        <f>('DOE25'!L207)+('DOE25'!L225)+('DOE25'!L243)</f>
        <v>0</v>
      </c>
      <c r="D122" s="24" t="s">
        <v>288</v>
      </c>
      <c r="E122" s="95">
        <f>+('DOE25'!L286)+('DOE25'!L305)+('DOE25'!L324)</f>
        <v>16820.649999999998</v>
      </c>
      <c r="F122" s="24" t="s">
        <v>288</v>
      </c>
      <c r="G122" s="24" t="s">
        <v>288</v>
      </c>
      <c r="H122" s="124">
        <f t="shared" si="7"/>
        <v>16820.649999999998</v>
      </c>
    </row>
    <row r="123" spans="1:8" x14ac:dyDescent="0.2">
      <c r="A123" t="s">
        <v>216</v>
      </c>
      <c r="B123" s="32" t="s">
        <v>217</v>
      </c>
      <c r="C123" s="95">
        <f>('DOE25'!L208)+('DOE25'!L226)+('DOE25'!L244)</f>
        <v>418007.64</v>
      </c>
      <c r="D123" s="24" t="s">
        <v>288</v>
      </c>
      <c r="E123" s="95">
        <f>+('DOE25'!L287)+('DOE25'!L306)+('DOE25'!L325)</f>
        <v>5250.18</v>
      </c>
      <c r="F123" s="24" t="s">
        <v>288</v>
      </c>
      <c r="G123" s="24" t="s">
        <v>288</v>
      </c>
      <c r="H123" s="124">
        <f t="shared" si="7"/>
        <v>423257.82</v>
      </c>
    </row>
    <row r="124" spans="1:8" x14ac:dyDescent="0.2">
      <c r="A124" t="s">
        <v>218</v>
      </c>
      <c r="B124" s="32" t="s">
        <v>219</v>
      </c>
      <c r="C124" s="95">
        <f>('DOE25'!L209)+('DOE25'!L227)+('DOE25'!L245+'DOE25'!L255)</f>
        <v>238217.16999999998</v>
      </c>
      <c r="D124" s="24" t="s">
        <v>288</v>
      </c>
      <c r="E124" s="95">
        <f>+('DOE25'!L288)+('DOE25'!L307)+('DOE25'!L326)</f>
        <v>0</v>
      </c>
      <c r="F124" s="24" t="s">
        <v>288</v>
      </c>
      <c r="G124" s="24" t="s">
        <v>288</v>
      </c>
      <c r="H124" s="124">
        <f t="shared" si="7"/>
        <v>238217.16999999998</v>
      </c>
    </row>
    <row r="125" spans="1:8" x14ac:dyDescent="0.2">
      <c r="A125" t="s">
        <v>220</v>
      </c>
      <c r="B125" s="32" t="s">
        <v>221</v>
      </c>
      <c r="C125" s="95">
        <f>('DOE25'!L210)+('DOE25'!L228)+('DOE25'!L246)</f>
        <v>46049.07</v>
      </c>
      <c r="D125" s="24" t="s">
        <v>288</v>
      </c>
      <c r="E125" s="95">
        <f>+('DOE25'!L289)+('DOE25'!L308)+('DOE25'!L327)</f>
        <v>0</v>
      </c>
      <c r="F125" s="24" t="s">
        <v>288</v>
      </c>
      <c r="G125" s="24" t="s">
        <v>288</v>
      </c>
      <c r="H125" s="124">
        <f t="shared" si="7"/>
        <v>46049.07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154496.24</v>
      </c>
      <c r="E127" s="24" t="s">
        <v>288</v>
      </c>
      <c r="F127" s="24" t="s">
        <v>288</v>
      </c>
      <c r="G127" s="24" t="s">
        <v>288</v>
      </c>
      <c r="H127" s="124">
        <f t="shared" si="7"/>
        <v>154496.24</v>
      </c>
    </row>
    <row r="128" spans="1:8" ht="12.75" thickTop="1" thickBot="1" x14ac:dyDescent="0.25">
      <c r="A128" s="33" t="s">
        <v>226</v>
      </c>
      <c r="C128" s="86">
        <f>SUM(C118:C127)</f>
        <v>1557399.68</v>
      </c>
      <c r="D128" s="86">
        <f>SUM(D118:D127)</f>
        <v>154496.24</v>
      </c>
      <c r="E128" s="86">
        <f>SUM(E118:E127)</f>
        <v>116542.76999999999</v>
      </c>
      <c r="F128" s="86">
        <f>SUM(F118:F127)</f>
        <v>0</v>
      </c>
      <c r="G128" s="86">
        <f>SUM(G118:G127)</f>
        <v>0</v>
      </c>
      <c r="H128" s="86">
        <f t="shared" si="7"/>
        <v>1828438.69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452395.84</v>
      </c>
      <c r="D131" s="24" t="s">
        <v>288</v>
      </c>
      <c r="E131" s="129">
        <f>'DOE25'!L342</f>
        <v>0</v>
      </c>
      <c r="F131" s="24" t="s">
        <v>288</v>
      </c>
      <c r="G131" s="24" t="s">
        <v>288</v>
      </c>
      <c r="H131" s="124">
        <f t="shared" si="7"/>
        <v>452395.84</v>
      </c>
    </row>
    <row r="132" spans="1:8" x14ac:dyDescent="0.2">
      <c r="A132" t="s">
        <v>230</v>
      </c>
      <c r="B132" s="32">
        <v>5120</v>
      </c>
      <c r="C132" s="95">
        <f>'DOE25'!L262</f>
        <v>321885.40999999997</v>
      </c>
      <c r="D132" s="24" t="s">
        <v>288</v>
      </c>
      <c r="E132" s="129">
        <f>'DOE25'!L343</f>
        <v>0</v>
      </c>
      <c r="F132" s="24" t="s">
        <v>288</v>
      </c>
      <c r="G132" s="24" t="s">
        <v>288</v>
      </c>
      <c r="H132" s="124">
        <f t="shared" si="7"/>
        <v>321885.40999999997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4055.87</v>
      </c>
      <c r="D138" s="24" t="s">
        <v>288</v>
      </c>
      <c r="E138" s="24" t="s">
        <v>288</v>
      </c>
      <c r="F138" s="24" t="s">
        <v>288</v>
      </c>
      <c r="G138" s="24" t="s">
        <v>288</v>
      </c>
      <c r="H138" s="124">
        <f t="shared" si="7"/>
        <v>4055.87</v>
      </c>
    </row>
    <row r="139" spans="1:8" x14ac:dyDescent="0.2">
      <c r="A139" t="s">
        <v>239</v>
      </c>
      <c r="B139" s="32">
        <v>5252</v>
      </c>
      <c r="C139" s="95">
        <f>'DOE25'!L402</f>
        <v>2490.63</v>
      </c>
      <c r="D139" s="24" t="s">
        <v>288</v>
      </c>
      <c r="E139" s="24" t="s">
        <v>288</v>
      </c>
      <c r="F139" s="24" t="s">
        <v>288</v>
      </c>
      <c r="G139" s="24" t="s">
        <v>288</v>
      </c>
      <c r="H139" s="124">
        <f t="shared" si="7"/>
        <v>2490.63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-6546.5</v>
      </c>
      <c r="D141" s="24" t="s">
        <v>288</v>
      </c>
      <c r="E141" s="24" t="s">
        <v>288</v>
      </c>
      <c r="F141" s="24" t="s">
        <v>288</v>
      </c>
      <c r="G141" s="24" t="s">
        <v>288</v>
      </c>
      <c r="H141" s="124">
        <f t="shared" si="7"/>
        <v>-6546.5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774281.25</v>
      </c>
      <c r="D144" s="141">
        <f>SUM(D130:D143)</f>
        <v>0</v>
      </c>
      <c r="E144" s="141">
        <f>SUM(E130:E143)</f>
        <v>0</v>
      </c>
      <c r="F144" s="141">
        <f>SUM(F130:F143)</f>
        <v>0</v>
      </c>
      <c r="G144" s="141">
        <f>SUM(G130:G143)</f>
        <v>0</v>
      </c>
      <c r="H144" s="141">
        <f t="shared" si="7"/>
        <v>774281.25</v>
      </c>
    </row>
    <row r="145" spans="1:9" ht="12.75" thickTop="1" thickBot="1" x14ac:dyDescent="0.25">
      <c r="A145" s="33" t="s">
        <v>244</v>
      </c>
      <c r="C145" s="86">
        <f>(C115+C128+C144)</f>
        <v>5509499.04</v>
      </c>
      <c r="D145" s="86">
        <f>(D115+D128+D144)</f>
        <v>154496.24</v>
      </c>
      <c r="E145" s="86">
        <f>(E115+E128+E144)</f>
        <v>486974.27</v>
      </c>
      <c r="F145" s="86">
        <f>(F115+F128+F144)</f>
        <v>0</v>
      </c>
      <c r="G145" s="86">
        <f>(G115+G128+G144)</f>
        <v>0</v>
      </c>
      <c r="H145" s="86">
        <f t="shared" si="7"/>
        <v>6150969.5500000007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07/08</v>
      </c>
      <c r="C152" s="152">
        <f>'DOE25'!G492</f>
        <v>0</v>
      </c>
      <c r="D152" s="152">
        <f>'DOE25'!H492</f>
        <v>0</v>
      </c>
      <c r="E152" s="152">
        <f>'DOE25'!I492</f>
        <v>0</v>
      </c>
      <c r="F152" s="152">
        <f>'DOE25'!J492</f>
        <v>0</v>
      </c>
      <c r="G152" s="24" t="s">
        <v>288</v>
      </c>
    </row>
    <row r="153" spans="1:9" x14ac:dyDescent="0.2">
      <c r="A153" s="136" t="s">
        <v>29</v>
      </c>
      <c r="B153" s="152" t="str">
        <f>'DOE25'!F493</f>
        <v>08/28</v>
      </c>
      <c r="C153" s="152">
        <f>'DOE25'!G493</f>
        <v>0</v>
      </c>
      <c r="D153" s="152">
        <f>'DOE25'!H493</f>
        <v>0</v>
      </c>
      <c r="E153" s="152">
        <f>'DOE25'!I493</f>
        <v>0</v>
      </c>
      <c r="F153" s="152">
        <f>'DOE25'!J493</f>
        <v>0</v>
      </c>
      <c r="G153" s="24" t="s">
        <v>288</v>
      </c>
    </row>
    <row r="154" spans="1:9" x14ac:dyDescent="0.2">
      <c r="A154" s="136" t="s">
        <v>30</v>
      </c>
      <c r="B154" s="137">
        <f>'DOE25'!F494</f>
        <v>10960000</v>
      </c>
      <c r="C154" s="137">
        <f>'DOE25'!G494</f>
        <v>0</v>
      </c>
      <c r="D154" s="137">
        <f>'DOE25'!H494</f>
        <v>0</v>
      </c>
      <c r="E154" s="137">
        <f>'DOE25'!I494</f>
        <v>0</v>
      </c>
      <c r="F154" s="137">
        <f>'DOE25'!J494</f>
        <v>0</v>
      </c>
      <c r="G154" s="24" t="s">
        <v>288</v>
      </c>
    </row>
    <row r="155" spans="1:9" x14ac:dyDescent="0.2">
      <c r="A155" s="136" t="s">
        <v>31</v>
      </c>
      <c r="B155" s="137">
        <f>'DOE25'!F495</f>
        <v>4.33</v>
      </c>
      <c r="C155" s="137">
        <f>'DOE25'!G495</f>
        <v>0</v>
      </c>
      <c r="D155" s="137">
        <f>'DOE25'!H495</f>
        <v>0</v>
      </c>
      <c r="E155" s="137">
        <f>'DOE25'!I495</f>
        <v>0</v>
      </c>
      <c r="F155" s="137">
        <f>'DOE25'!J495</f>
        <v>0</v>
      </c>
      <c r="G155" s="24" t="s">
        <v>288</v>
      </c>
    </row>
    <row r="156" spans="1:9" x14ac:dyDescent="0.2">
      <c r="A156" s="22" t="s">
        <v>32</v>
      </c>
      <c r="B156" s="137">
        <f>'DOE25'!F496</f>
        <v>3114366.71</v>
      </c>
      <c r="C156" s="137">
        <f>'DOE25'!G496</f>
        <v>0</v>
      </c>
      <c r="D156" s="137">
        <f>'DOE25'!H496</f>
        <v>0</v>
      </c>
      <c r="E156" s="137">
        <f>'DOE25'!I496</f>
        <v>0</v>
      </c>
      <c r="F156" s="137">
        <f>'DOE25'!J496</f>
        <v>0</v>
      </c>
      <c r="G156" s="138">
        <f>SUM(B156:F156)</f>
        <v>3114366.71</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452395.84</v>
      </c>
      <c r="C158" s="137">
        <f>'DOE25'!G498</f>
        <v>0</v>
      </c>
      <c r="D158" s="137">
        <f>'DOE25'!H498</f>
        <v>0</v>
      </c>
      <c r="E158" s="137">
        <f>'DOE25'!I498</f>
        <v>0</v>
      </c>
      <c r="F158" s="137">
        <f>'DOE25'!J498</f>
        <v>0</v>
      </c>
      <c r="G158" s="138">
        <f t="shared" si="8"/>
        <v>452395.84</v>
      </c>
    </row>
    <row r="159" spans="1:9" x14ac:dyDescent="0.2">
      <c r="A159" s="22" t="s">
        <v>35</v>
      </c>
      <c r="B159" s="137">
        <f>'DOE25'!F499</f>
        <v>2661970.87</v>
      </c>
      <c r="C159" s="137">
        <f>'DOE25'!G499</f>
        <v>0</v>
      </c>
      <c r="D159" s="137">
        <f>'DOE25'!H499</f>
        <v>0</v>
      </c>
      <c r="E159" s="137">
        <f>'DOE25'!I499</f>
        <v>0</v>
      </c>
      <c r="F159" s="137">
        <f>'DOE25'!J499</f>
        <v>0</v>
      </c>
      <c r="G159" s="138">
        <f t="shared" si="8"/>
        <v>2661970.87</v>
      </c>
    </row>
    <row r="160" spans="1:9" x14ac:dyDescent="0.2">
      <c r="A160" s="22" t="s">
        <v>36</v>
      </c>
      <c r="B160" s="137">
        <f>'DOE25'!F500</f>
        <v>2562077.9</v>
      </c>
      <c r="C160" s="137">
        <f>'DOE25'!G500</f>
        <v>0</v>
      </c>
      <c r="D160" s="137">
        <f>'DOE25'!H500</f>
        <v>0</v>
      </c>
      <c r="E160" s="137">
        <f>'DOE25'!I500</f>
        <v>0</v>
      </c>
      <c r="F160" s="137">
        <f>'DOE25'!J500</f>
        <v>0</v>
      </c>
      <c r="G160" s="138">
        <f t="shared" si="8"/>
        <v>2562077.9</v>
      </c>
    </row>
    <row r="161" spans="1:7" x14ac:dyDescent="0.2">
      <c r="A161" s="22" t="s">
        <v>37</v>
      </c>
      <c r="B161" s="137">
        <f>'DOE25'!F501</f>
        <v>5224048.7699999996</v>
      </c>
      <c r="C161" s="137">
        <f>'DOE25'!G501</f>
        <v>0</v>
      </c>
      <c r="D161" s="137">
        <f>'DOE25'!H501</f>
        <v>0</v>
      </c>
      <c r="E161" s="137">
        <f>'DOE25'!I501</f>
        <v>0</v>
      </c>
      <c r="F161" s="137">
        <f>'DOE25'!J501</f>
        <v>0</v>
      </c>
      <c r="G161" s="138">
        <f t="shared" si="8"/>
        <v>5224048.7699999996</v>
      </c>
    </row>
    <row r="162" spans="1:7" x14ac:dyDescent="0.2">
      <c r="A162" s="22" t="s">
        <v>38</v>
      </c>
      <c r="B162" s="137">
        <f>'DOE25'!F502</f>
        <v>432519</v>
      </c>
      <c r="C162" s="137">
        <f>'DOE25'!G502</f>
        <v>0</v>
      </c>
      <c r="D162" s="137">
        <f>'DOE25'!H502</f>
        <v>0</v>
      </c>
      <c r="E162" s="137">
        <f>'DOE25'!I502</f>
        <v>0</v>
      </c>
      <c r="F162" s="137">
        <f>'DOE25'!J502</f>
        <v>0</v>
      </c>
      <c r="G162" s="138">
        <f t="shared" si="8"/>
        <v>432519</v>
      </c>
    </row>
    <row r="163" spans="1:7" x14ac:dyDescent="0.2">
      <c r="A163" s="22" t="s">
        <v>39</v>
      </c>
      <c r="B163" s="137">
        <f>'DOE25'!F503</f>
        <v>339707</v>
      </c>
      <c r="C163" s="137">
        <f>'DOE25'!G503</f>
        <v>0</v>
      </c>
      <c r="D163" s="137">
        <f>'DOE25'!H503</f>
        <v>0</v>
      </c>
      <c r="E163" s="137">
        <f>'DOE25'!I503</f>
        <v>0</v>
      </c>
      <c r="F163" s="137">
        <f>'DOE25'!J503</f>
        <v>0</v>
      </c>
      <c r="G163" s="138">
        <f t="shared" si="8"/>
        <v>339707</v>
      </c>
    </row>
    <row r="164" spans="1:7" x14ac:dyDescent="0.2">
      <c r="A164" s="22" t="s">
        <v>246</v>
      </c>
      <c r="B164" s="137">
        <f>'DOE25'!F504</f>
        <v>772226</v>
      </c>
      <c r="C164" s="137">
        <f>'DOE25'!G504</f>
        <v>0</v>
      </c>
      <c r="D164" s="137">
        <f>'DOE25'!H504</f>
        <v>0</v>
      </c>
      <c r="E164" s="137">
        <f>'DOE25'!I504</f>
        <v>0</v>
      </c>
      <c r="F164" s="137">
        <f>'DOE25'!J504</f>
        <v>0</v>
      </c>
      <c r="G164" s="138">
        <f t="shared" si="8"/>
        <v>772226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Marlborough</v>
      </c>
    </row>
    <row r="3" spans="1:4" x14ac:dyDescent="0.2">
      <c r="B3" s="187" t="s">
        <v>1799</v>
      </c>
    </row>
    <row r="4" spans="1:4" x14ac:dyDescent="0.2">
      <c r="B4" t="s">
        <v>61</v>
      </c>
      <c r="C4" s="178">
        <f>IF('DOE25'!F666+'DOE25'!F671=0,0,ROUND('DOE25'!F673,0))</f>
        <v>23865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23865</v>
      </c>
    </row>
    <row r="9" spans="1:4" x14ac:dyDescent="0.2">
      <c r="A9" s="186" t="s">
        <v>94</v>
      </c>
      <c r="B9" s="187" t="s">
        <v>1800</v>
      </c>
      <c r="C9" s="180" t="s">
        <v>720</v>
      </c>
      <c r="D9" s="180" t="s">
        <v>721</v>
      </c>
    </row>
    <row r="10" spans="1:4" x14ac:dyDescent="0.2">
      <c r="A10">
        <v>1100</v>
      </c>
      <c r="B10" t="s">
        <v>702</v>
      </c>
      <c r="C10" s="178">
        <f>ROUND('DOE25'!L198+'DOE25'!L216+'DOE25'!L234+'DOE25'!L277+'DOE25'!L296+'DOE25'!L315,0)</f>
        <v>2608389</v>
      </c>
      <c r="D10" s="181">
        <f>ROUND((C10/$C$28)*100,1)</f>
        <v>45.8</v>
      </c>
    </row>
    <row r="11" spans="1:4" x14ac:dyDescent="0.2">
      <c r="A11">
        <v>1200</v>
      </c>
      <c r="B11" t="s">
        <v>703</v>
      </c>
      <c r="C11" s="178">
        <f>ROUND('DOE25'!L199+'DOE25'!L217+'DOE25'!L235+'DOE25'!L278+'DOE25'!L297+'DOE25'!L316,0)</f>
        <v>873636</v>
      </c>
      <c r="D11" s="181">
        <f>ROUND((C11/$C$28)*100,1)</f>
        <v>15.3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66224</v>
      </c>
      <c r="D13" s="181">
        <f>ROUND((C13/$C$28)*100,1)</f>
        <v>1.2</v>
      </c>
    </row>
    <row r="14" spans="1:4" x14ac:dyDescent="0.2">
      <c r="D14" s="181"/>
    </row>
    <row r="15" spans="1:4" x14ac:dyDescent="0.2">
      <c r="A15">
        <v>2100</v>
      </c>
      <c r="B15" t="s">
        <v>706</v>
      </c>
      <c r="C15" s="178">
        <f>ROUND('DOE25'!L203+'DOE25'!L221+'DOE25'!L239+'DOE25'!L282+'DOE25'!L301+'DOE25'!L320,0)</f>
        <v>280292</v>
      </c>
      <c r="D15" s="181">
        <f t="shared" ref="D15:D27" si="0">ROUND((C15/$C$28)*100,1)</f>
        <v>4.9000000000000004</v>
      </c>
    </row>
    <row r="16" spans="1:4" x14ac:dyDescent="0.2">
      <c r="A16">
        <v>2200</v>
      </c>
      <c r="B16" t="s">
        <v>707</v>
      </c>
      <c r="C16" s="178">
        <f>ROUND('DOE25'!L204+'DOE25'!L222+'DOE25'!L240+'DOE25'!L283+'DOE25'!L302+'DOE25'!L321,0)</f>
        <v>214894</v>
      </c>
      <c r="D16" s="181">
        <f t="shared" si="0"/>
        <v>3.8</v>
      </c>
    </row>
    <row r="17" spans="1:4" x14ac:dyDescent="0.2">
      <c r="A17" s="182" t="s">
        <v>723</v>
      </c>
      <c r="B17" t="s">
        <v>738</v>
      </c>
      <c r="C17" s="178">
        <f>ROUND('DOE25'!L205+'DOE25'!L210+'DOE25'!L223+'DOE25'!L228+'DOE25'!L241+'DOE25'!L246+'DOE25'!L284+'DOE25'!L289+'DOE25'!L303+'DOE25'!L308+'DOE25'!L322+'DOE25'!L327,0)</f>
        <v>278741</v>
      </c>
      <c r="D17" s="181">
        <f t="shared" si="0"/>
        <v>4.9000000000000004</v>
      </c>
    </row>
    <row r="18" spans="1:4" x14ac:dyDescent="0.2">
      <c r="A18">
        <v>2400</v>
      </c>
      <c r="B18" t="s">
        <v>711</v>
      </c>
      <c r="C18" s="178">
        <f>ROUND('DOE25'!L206+'DOE25'!L224+'DOE25'!L242+'DOE25'!L285+'DOE25'!L304+'DOE25'!L323,0)</f>
        <v>221719</v>
      </c>
      <c r="D18" s="181">
        <f t="shared" si="0"/>
        <v>3.9</v>
      </c>
    </row>
    <row r="19" spans="1:4" x14ac:dyDescent="0.2">
      <c r="A19">
        <v>2500</v>
      </c>
      <c r="B19" t="s">
        <v>708</v>
      </c>
      <c r="C19" s="178">
        <f>ROUND('DOE25'!L207+'DOE25'!L225+'DOE25'!L243+'DOE25'!L286+'DOE25'!L305+'DOE25'!L324,0)</f>
        <v>16821</v>
      </c>
      <c r="D19" s="181">
        <f t="shared" si="0"/>
        <v>0.3</v>
      </c>
    </row>
    <row r="20" spans="1:4" x14ac:dyDescent="0.2">
      <c r="A20">
        <v>2600</v>
      </c>
      <c r="B20" t="s">
        <v>709</v>
      </c>
      <c r="C20" s="178">
        <f>ROUND('DOE25'!L208+'DOE25'!L226+'DOE25'!L244+'DOE25'!L287+'DOE25'!L306+'DOE25'!L325,0)</f>
        <v>423258</v>
      </c>
      <c r="D20" s="181">
        <f t="shared" si="0"/>
        <v>7.4</v>
      </c>
    </row>
    <row r="21" spans="1:4" x14ac:dyDescent="0.2">
      <c r="A21">
        <v>2700</v>
      </c>
      <c r="B21" t="s">
        <v>710</v>
      </c>
      <c r="C21" s="178">
        <f>ROUND('DOE25'!L209+'DOE25'!L227+'DOE25'!L245+'DOE25'!L288+'DOE25'!L307+'DOE25'!L326,0)</f>
        <v>238217</v>
      </c>
      <c r="D21" s="181">
        <f t="shared" si="0"/>
        <v>4.2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321885</v>
      </c>
      <c r="D25" s="181">
        <f t="shared" si="0"/>
        <v>5.7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150456.15</v>
      </c>
      <c r="D27" s="181">
        <f t="shared" si="0"/>
        <v>2.6</v>
      </c>
    </row>
    <row r="28" spans="1:4" x14ac:dyDescent="0.2">
      <c r="B28" s="186" t="s">
        <v>719</v>
      </c>
      <c r="C28" s="179">
        <f>SUM(C10:C27)</f>
        <v>5694532.1500000004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5694532.1500000004</v>
      </c>
    </row>
    <row r="31" spans="1:4" x14ac:dyDescent="0.2">
      <c r="B31" s="33"/>
      <c r="C31" s="179"/>
    </row>
    <row r="32" spans="1:4" x14ac:dyDescent="0.2">
      <c r="A32">
        <v>5100</v>
      </c>
      <c r="B32" s="33" t="s">
        <v>726</v>
      </c>
      <c r="C32" s="179">
        <f>ROUND('DOE25'!L261+'DOE25'!L342,0)</f>
        <v>452396</v>
      </c>
    </row>
    <row r="34" spans="1:4" x14ac:dyDescent="0.2">
      <c r="A34" s="186" t="s">
        <v>94</v>
      </c>
      <c r="B34" s="187" t="s">
        <v>1801</v>
      </c>
      <c r="C34" s="180" t="s">
        <v>720</v>
      </c>
      <c r="D34" s="180" t="s">
        <v>721</v>
      </c>
    </row>
    <row r="35" spans="1:4" x14ac:dyDescent="0.2">
      <c r="A35">
        <v>1100</v>
      </c>
      <c r="B35" s="184" t="s">
        <v>727</v>
      </c>
      <c r="C35" s="178">
        <f>ROUND('DOE25'!F60+'DOE25'!G60+'DOE25'!H60+'DOE25'!I60+'DOE25'!J60,0)</f>
        <v>3210723</v>
      </c>
      <c r="D35" s="181">
        <f t="shared" ref="D35:D40" si="1">ROUND((C35/$C$41)*100,1)</f>
        <v>53.2</v>
      </c>
    </row>
    <row r="36" spans="1:4" x14ac:dyDescent="0.2">
      <c r="B36" s="184" t="s">
        <v>739</v>
      </c>
      <c r="C36" s="178">
        <f>SUM('DOE25'!F112:J112)-SUM('DOE25'!G97:G110)+('DOE25'!F175+'DOE25'!F176+'DOE25'!I175+'DOE25'!I176)-C35</f>
        <v>142428.54999999981</v>
      </c>
      <c r="D36" s="181">
        <f t="shared" si="1"/>
        <v>2.4</v>
      </c>
    </row>
    <row r="37" spans="1:4" x14ac:dyDescent="0.2">
      <c r="A37" s="182" t="s">
        <v>835</v>
      </c>
      <c r="B37" s="184" t="s">
        <v>728</v>
      </c>
      <c r="C37" s="178">
        <f>ROUND('DOE25'!F117+'DOE25'!F118,0)</f>
        <v>1768389</v>
      </c>
      <c r="D37" s="181">
        <f t="shared" si="1"/>
        <v>29.3</v>
      </c>
    </row>
    <row r="38" spans="1:4" x14ac:dyDescent="0.2">
      <c r="A38" s="182" t="s">
        <v>734</v>
      </c>
      <c r="B38" s="184" t="s">
        <v>729</v>
      </c>
      <c r="C38" s="178">
        <f>ROUND(SUM('DOE25'!F140:J140)-SUM('DOE25'!F117:F119),0)</f>
        <v>270309</v>
      </c>
      <c r="D38" s="181">
        <f t="shared" si="1"/>
        <v>4.5</v>
      </c>
    </row>
    <row r="39" spans="1:4" x14ac:dyDescent="0.2">
      <c r="A39">
        <v>4000</v>
      </c>
      <c r="B39" s="184" t="s">
        <v>730</v>
      </c>
      <c r="C39" s="178">
        <f>ROUND('DOE25'!F170+'DOE25'!G170+'DOE25'!H170+'DOE25'!I170,0)</f>
        <v>642417</v>
      </c>
      <c r="D39" s="181">
        <f t="shared" si="1"/>
        <v>10.6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6034266.5499999998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4" sqref="C24:M2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Marlborough</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3</v>
      </c>
      <c r="C4" s="387" t="s">
        <v>1804</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175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f>IF('School Level Expenditures'!$B$2=A178,'School Tables'!H178,"")</f>
        <v>175</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2022-12-19T17:26:29Z</dcterms:modified>
</cp:coreProperties>
</file>