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4757C961-F344-4C26-BEFC-1CDFB23126B3}"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40" i="12" l="1"/>
  <c r="B36" i="12"/>
  <c r="F50" i="1" l="1"/>
  <c r="G40" i="1"/>
  <c r="G612" i="1" l="1"/>
  <c r="F29" i="13" l="1"/>
  <c r="F15" i="13"/>
  <c r="F14" i="13"/>
  <c r="F6" i="13"/>
  <c r="B20" i="12" l="1"/>
  <c r="B19" i="12"/>
  <c r="B12" i="12"/>
  <c r="B10" i="12"/>
  <c r="J605" i="1" l="1"/>
  <c r="I605" i="1"/>
  <c r="H605" i="1"/>
  <c r="F24" i="1" l="1"/>
  <c r="F28" i="1"/>
  <c r="F14" i="1"/>
  <c r="H155" i="1" l="1"/>
  <c r="E17" i="17"/>
  <c r="H159" i="1" l="1"/>
  <c r="H130" i="1"/>
  <c r="G466" i="1" l="1"/>
  <c r="J361" i="1"/>
  <c r="J360" i="1"/>
  <c r="J359" i="1"/>
  <c r="I361" i="1"/>
  <c r="I360" i="1"/>
  <c r="I359" i="1"/>
  <c r="H361" i="1"/>
  <c r="H360" i="1"/>
  <c r="H359" i="1"/>
  <c r="G161" i="1"/>
  <c r="G97"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C21" i="12" l="1"/>
  <c r="C20" i="12"/>
  <c r="C19" i="12"/>
  <c r="B5" i="14"/>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C36" i="12"/>
  <c r="C40" i="12"/>
  <c r="B27" i="12"/>
  <c r="C27" i="12"/>
  <c r="B31" i="12"/>
  <c r="C31" i="12"/>
  <c r="B9" i="12"/>
  <c r="B13" i="12"/>
  <c r="C9"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J112" i="1" s="1"/>
  <c r="F121" i="1"/>
  <c r="F136" i="1"/>
  <c r="G121" i="1"/>
  <c r="G136" i="1"/>
  <c r="H121" i="1"/>
  <c r="H136" i="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C72" i="2"/>
  <c r="F72" i="2"/>
  <c r="C73" i="2"/>
  <c r="F73" i="2"/>
  <c r="C74" i="2"/>
  <c r="H74" i="2" s="1"/>
  <c r="C75" i="2"/>
  <c r="H75" i="2" s="1"/>
  <c r="C76" i="2"/>
  <c r="E76" i="2"/>
  <c r="F76" i="2"/>
  <c r="C77" i="2"/>
  <c r="D77" i="2"/>
  <c r="D78" i="2" s="1"/>
  <c r="E77" i="2"/>
  <c r="F77" i="2"/>
  <c r="G77" i="2"/>
  <c r="C79" i="2"/>
  <c r="D79" i="2"/>
  <c r="E79" i="2"/>
  <c r="C80" i="2"/>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1" i="1"/>
  <c r="H632" i="1"/>
  <c r="H637" i="1"/>
  <c r="H638" i="1"/>
  <c r="H639" i="1"/>
  <c r="G644" i="1"/>
  <c r="G645" i="1"/>
  <c r="G651" i="1"/>
  <c r="G652" i="1"/>
  <c r="H653" i="1"/>
  <c r="G654" i="1"/>
  <c r="H654" i="1"/>
  <c r="H655" i="1"/>
  <c r="H656" i="1"/>
  <c r="I170" i="1"/>
  <c r="H135" i="2" l="1"/>
  <c r="C125" i="2"/>
  <c r="G646" i="1"/>
  <c r="C11" i="12"/>
  <c r="C13" i="12" s="1"/>
  <c r="A13" i="12" s="1"/>
  <c r="C10" i="12"/>
  <c r="C12" i="12"/>
  <c r="C112" i="2"/>
  <c r="J652" i="1"/>
  <c r="H132" i="2"/>
  <c r="G663" i="1"/>
  <c r="C121" i="2"/>
  <c r="C120" i="2"/>
  <c r="C119" i="2"/>
  <c r="H113" i="2"/>
  <c r="D18" i="13"/>
  <c r="C18" i="13" s="1"/>
  <c r="D15" i="13"/>
  <c r="C15" i="13" s="1"/>
  <c r="D6" i="13"/>
  <c r="C6" i="13" s="1"/>
  <c r="E13" i="13"/>
  <c r="C13" i="13" s="1"/>
  <c r="H25" i="2"/>
  <c r="H36" i="2"/>
  <c r="C110" i="2"/>
  <c r="H26" i="2"/>
  <c r="H94" i="2"/>
  <c r="H93" i="2"/>
  <c r="C85" i="2"/>
  <c r="H80" i="2"/>
  <c r="H73" i="2"/>
  <c r="H72" i="2"/>
  <c r="H58" i="2"/>
  <c r="E125" i="2"/>
  <c r="H125" i="2" s="1"/>
  <c r="E124" i="2"/>
  <c r="E121" i="2"/>
  <c r="E120" i="2"/>
  <c r="C13" i="10"/>
  <c r="E112" i="2"/>
  <c r="H112" i="2" s="1"/>
  <c r="A40" i="12"/>
  <c r="E111" i="2"/>
  <c r="C12" i="10"/>
  <c r="H87" i="2"/>
  <c r="H79" i="2"/>
  <c r="H76" i="2"/>
  <c r="H140" i="1"/>
  <c r="H23" i="2"/>
  <c r="H44" i="2"/>
  <c r="H43" i="2"/>
  <c r="G662" i="1"/>
  <c r="H102" i="2"/>
  <c r="H101" i="2"/>
  <c r="H100" i="2"/>
  <c r="H99" i="2"/>
  <c r="H98" i="2"/>
  <c r="H89" i="2"/>
  <c r="H24" i="2"/>
  <c r="H48" i="2"/>
  <c r="H35" i="2"/>
  <c r="H34" i="2"/>
  <c r="H28" i="2"/>
  <c r="H27" i="2"/>
  <c r="H29" i="2"/>
  <c r="H17" i="2"/>
  <c r="H15" i="2"/>
  <c r="H9" i="2"/>
  <c r="H97" i="2"/>
  <c r="H96" i="2"/>
  <c r="H59" i="2"/>
  <c r="I112" i="1"/>
  <c r="H47" i="2"/>
  <c r="H38" i="2"/>
  <c r="H22" i="2"/>
  <c r="H30" i="2"/>
  <c r="H12" i="2"/>
  <c r="H13" i="2"/>
  <c r="H11" i="2"/>
  <c r="H8" i="2"/>
  <c r="I409" i="1"/>
  <c r="G409" i="1"/>
  <c r="H646" i="1" s="1"/>
  <c r="J646" i="1" s="1"/>
  <c r="H143" i="2"/>
  <c r="H137" i="2"/>
  <c r="G78" i="2"/>
  <c r="H77" i="2"/>
  <c r="G70" i="2"/>
  <c r="H69" i="2"/>
  <c r="G62" i="2"/>
  <c r="H61"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C26" i="10"/>
  <c r="C18" i="10"/>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D29" i="13"/>
  <c r="C29" i="13" s="1"/>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J32" i="1"/>
  <c r="J435" i="1"/>
  <c r="F435" i="1"/>
  <c r="K435" i="1"/>
  <c r="G134" i="2" s="1"/>
  <c r="G31" i="13"/>
  <c r="J194" i="1"/>
  <c r="G647" i="1" s="1"/>
  <c r="G140" i="1"/>
  <c r="B11" i="16" s="1"/>
  <c r="F140" i="1"/>
  <c r="G63" i="2"/>
  <c r="J619" i="1"/>
  <c r="G42" i="2"/>
  <c r="J51" i="1"/>
  <c r="G16" i="2"/>
  <c r="J19" i="1"/>
  <c r="G622" i="1" s="1"/>
  <c r="F546" i="1"/>
  <c r="H435" i="1"/>
  <c r="D103" i="2"/>
  <c r="I140" i="1"/>
  <c r="A22" i="12"/>
  <c r="J653" i="1"/>
  <c r="G572" i="1"/>
  <c r="I435" i="1"/>
  <c r="G435" i="1"/>
  <c r="I664" i="1"/>
  <c r="B17" i="16" l="1"/>
  <c r="B19" i="16" s="1"/>
  <c r="G473" i="1"/>
  <c r="L572" i="1"/>
  <c r="I663" i="1"/>
  <c r="H121" i="2"/>
  <c r="H120" i="2"/>
  <c r="H119" i="2"/>
  <c r="H114" i="2"/>
  <c r="H122" i="2"/>
  <c r="H124" i="2"/>
  <c r="H123" i="2"/>
  <c r="H70" i="2"/>
  <c r="H111" i="2"/>
  <c r="H110" i="2"/>
  <c r="C81" i="2"/>
  <c r="H81" i="2" s="1"/>
  <c r="F194" i="1"/>
  <c r="E128" i="2"/>
  <c r="H118" i="2"/>
  <c r="G24" i="14"/>
  <c r="H24" i="14" s="1"/>
  <c r="I24" i="14" s="1"/>
  <c r="E115" i="2"/>
  <c r="H109" i="2"/>
  <c r="F661" i="1"/>
  <c r="F665" i="1" s="1"/>
  <c r="F668" i="1" s="1"/>
  <c r="H85" i="2"/>
  <c r="E62" i="2"/>
  <c r="E63" i="2" s="1"/>
  <c r="H57" i="2"/>
  <c r="E51" i="2"/>
  <c r="D128" i="2"/>
  <c r="H127" i="2"/>
  <c r="H91" i="2"/>
  <c r="D51" i="2"/>
  <c r="H103" i="2"/>
  <c r="H78" i="2"/>
  <c r="G50" i="2"/>
  <c r="H50" i="2" s="1"/>
  <c r="H42" i="2"/>
  <c r="G31" i="2"/>
  <c r="H31" i="2" s="1"/>
  <c r="H21" i="2"/>
  <c r="G18" i="2"/>
  <c r="H18" i="2" s="1"/>
  <c r="H16" i="2"/>
  <c r="G144" i="2"/>
  <c r="G145" i="2" s="1"/>
  <c r="H134" i="2"/>
  <c r="F144" i="2"/>
  <c r="H130" i="2"/>
  <c r="H661" i="1"/>
  <c r="H665" i="1" s="1"/>
  <c r="H668" i="1" s="1"/>
  <c r="H194" i="1"/>
  <c r="H649" i="1"/>
  <c r="J649" i="1" s="1"/>
  <c r="C141" i="2"/>
  <c r="F51" i="2"/>
  <c r="G36" i="14"/>
  <c r="H36" i="14" s="1"/>
  <c r="I36" i="14" s="1"/>
  <c r="C36" i="10"/>
  <c r="L435" i="1"/>
  <c r="G639" i="1" s="1"/>
  <c r="J639" i="1" s="1"/>
  <c r="I662" i="1"/>
  <c r="G104" i="2"/>
  <c r="L339" i="1"/>
  <c r="I194" i="1"/>
  <c r="G631" i="1" s="1"/>
  <c r="J631" i="1" s="1"/>
  <c r="G636" i="1"/>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J632" i="1" s="1"/>
  <c r="G194" i="1"/>
  <c r="G627" i="1"/>
  <c r="J627" i="1" s="1"/>
  <c r="J52" i="1"/>
  <c r="H622" i="1" s="1"/>
  <c r="J622" i="1" s="1"/>
  <c r="C38" i="10"/>
  <c r="G475" i="1" l="1"/>
  <c r="H636" i="1"/>
  <c r="J636" i="1" s="1"/>
  <c r="G628" i="1"/>
  <c r="F469" i="1"/>
  <c r="G629" i="1"/>
  <c r="G469" i="1"/>
  <c r="H115" i="2"/>
  <c r="G633" i="1"/>
  <c r="F473" i="1"/>
  <c r="G630" i="1"/>
  <c r="H469" i="1"/>
  <c r="C104" i="2"/>
  <c r="H63" i="2"/>
  <c r="E145" i="2"/>
  <c r="L353" i="1"/>
  <c r="E104" i="2"/>
  <c r="H62" i="2"/>
  <c r="D145" i="2"/>
  <c r="H128" i="2"/>
  <c r="H673" i="1"/>
  <c r="C6" i="10" s="1"/>
  <c r="G51" i="2"/>
  <c r="H51" i="2" s="1"/>
  <c r="C144" i="2"/>
  <c r="H144"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G471" i="1" l="1"/>
  <c r="G477" i="1" s="1"/>
  <c r="H629" i="1"/>
  <c r="J629" i="1"/>
  <c r="G634" i="1"/>
  <c r="H473" i="1"/>
  <c r="H628" i="1"/>
  <c r="J628" i="1" s="1"/>
  <c r="F471" i="1"/>
  <c r="F475" i="1"/>
  <c r="H633" i="1"/>
  <c r="J633" i="1" s="1"/>
  <c r="H630" i="1"/>
  <c r="J630" i="1" s="1"/>
  <c r="H471" i="1"/>
  <c r="H104" i="2"/>
  <c r="H634" i="1"/>
  <c r="H475" i="1"/>
  <c r="C145" i="2"/>
  <c r="H145" i="2" s="1"/>
  <c r="I668" i="1"/>
  <c r="D28" i="10"/>
  <c r="D37" i="10"/>
  <c r="D36" i="10"/>
  <c r="D35" i="10"/>
  <c r="D40" i="10"/>
  <c r="D39" i="10"/>
  <c r="H477" i="1" l="1"/>
  <c r="H625" i="1" s="1"/>
  <c r="J625" i="1" s="1"/>
  <c r="J634" i="1"/>
  <c r="F477" i="1"/>
  <c r="H623" i="1" s="1"/>
  <c r="J623" i="1" s="1"/>
  <c r="H624" i="1"/>
  <c r="J624" i="1" s="1"/>
  <c r="B33" i="16"/>
  <c r="D41" i="10"/>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<sst xmlns="http://schemas.openxmlformats.org/spreadsheetml/2006/main" count="6532" uniqueCount="1804">
  <si>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</si>
  <si>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</si>
  <si>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</si>
  <si>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</si>
  <si>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</si>
  <si>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</si>
  <si>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</si>
  <si>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</si>
  <si>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</si>
  <si>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</si>
  <si>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</si>
  <si>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</si>
  <si>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</si>
  <si>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</si>
  <si>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</si>
  <si>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</si>
  <si>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</si>
  <si>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</si>
  <si>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</si>
  <si>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</si>
  <si>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</si>
  <si>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</si>
  <si>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</si>
  <si>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</si>
  <si>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</si>
  <si>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</si>
  <si>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</si>
  <si>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</si>
  <si>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</si>
  <si>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</si>
  <si>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</si>
  <si>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</si>
  <si>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</si>
  <si>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</si>
  <si>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</si>
  <si>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</si>
  <si>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</si>
  <si>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</si>
  <si>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</si>
  <si>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</si>
  <si>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</si>
  <si>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</si>
  <si>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</si>
  <si>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</si>
  <si>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</si>
  <si>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</si>
  <si>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</si>
  <si>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</si>
  <si>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</si>
  <si>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</si>
  <si>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</si>
  <si>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</si>
  <si>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</si>
  <si>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</si>
  <si>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</si>
  <si>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</si>
  <si>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</si>
  <si>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</si>
  <si>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</si>
  <si>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</si>
  <si>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</si>
  <si>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</si>
  <si>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</si>
  <si>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</si>
  <si>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</si>
  <si>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</si>
  <si>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</si>
  <si>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</si>
  <si>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</si>
  <si>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</si>
  <si>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</si>
  <si>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</si>
  <si>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</si>
  <si>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</si>
  <si>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</si>
  <si>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</si>
  <si>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</si>
  <si>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</si>
  <si>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</si>
  <si>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</si>
  <si>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</si>
  <si>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</si>
  <si>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</si>
  <si>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</si>
  <si>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</si>
  <si>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</si>
  <si>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</si>
  <si>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</si>
  <si>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</si>
  <si>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</si>
  <si>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</si>
  <si>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</si>
  <si>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</si>
  <si>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</si>
  <si>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</si>
  <si>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</si>
  <si>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</si>
  <si>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</si>
  <si>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</si>
  <si>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</si>
  <si>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</si>
  <si>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</si>
  <si>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</si>
  <si>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</si>
  <si>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</si>
  <si>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</si>
  <si>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</si>
  <si>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</si>
  <si>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</si>
  <si>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</si>
  <si>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</si>
  <si>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</si>
  <si>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</si>
  <si>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</si>
  <si>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</si>
  <si>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</si>
  <si>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</si>
  <si>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</si>
  <si>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</si>
  <si>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</si>
  <si>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</si>
  <si>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</si>
  <si>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</si>
  <si>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</si>
  <si>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</si>
  <si>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</si>
  <si>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</si>
  <si>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</si>
  <si>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</si>
  <si>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</si>
  <si>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</si>
  <si>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</si>
  <si>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</si>
  <si>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</si>
  <si>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</si>
  <si>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</si>
  <si>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</si>
  <si>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</si>
  <si>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</si>
  <si>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</si>
  <si>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</si>
  <si>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</si>
  <si>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</si>
  <si>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</si>
  <si>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</si>
  <si>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</si>
  <si>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</si>
  <si>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</si>
  <si>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</si>
  <si>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</si>
  <si>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</si>
  <si>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</si>
  <si>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</si>
  <si>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</si>
  <si>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</si>
  <si>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</si>
  <si>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</si>
  <si>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</si>
  <si>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</si>
  <si>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</si>
  <si>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</si>
  <si>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</si>
  <si>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</si>
  <si>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</si>
  <si>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</si>
  <si>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</si>
  <si>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</si>
  <si>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</si>
  <si>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</si>
  <si>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</si>
  <si>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</si>
  <si>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</si>
  <si>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</si>
  <si>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</si>
  <si>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</si>
  <si>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</si>
  <si>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</si>
  <si>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</si>
  <si>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</si>
  <si>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</si>
  <si>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</si>
  <si>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</si>
  <si>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</si>
  <si>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</si>
  <si>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</si>
  <si>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</si>
  <si>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</si>
  <si>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</si>
  <si>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</si>
  <si>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</si>
  <si>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</si>
  <si>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</si>
  <si>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</si>
  <si>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</si>
  <si>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</si>
  <si>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</si>
  <si>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</si>
  <si>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</si>
  <si>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</si>
  <si>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</si>
  <si>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</si>
  <si>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</si>
  <si>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</si>
  <si>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</si>
  <si>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</si>
  <si>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</si>
  <si>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</si>
  <si>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</si>
  <si>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</si>
  <si>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</si>
  <si>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</si>
  <si>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</si>
  <si>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</si>
  <si>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</si>
  <si>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</si>
  <si>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</si>
  <si>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</si>
  <si>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</si>
  <si>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</si>
  <si>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</si>
  <si>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</si>
  <si>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</si>
  <si>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</si>
  <si>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</si>
  <si>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</si>
  <si>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</si>
  <si>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</si>
  <si>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</si>
  <si>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</si>
  <si>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</si>
  <si>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</si>
  <si>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</si>
  <si>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</si>
  <si>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</si>
  <si>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</si>
  <si>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</si>
  <si>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</si>
  <si>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</si>
  <si>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</si>
  <si>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</si>
  <si>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</si>
  <si>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</si>
  <si>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</si>
  <si>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</si>
  <si>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</si>
  <si>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</si>
  <si>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</si>
  <si>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</si>
  <si>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</si>
  <si>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</si>
  <si>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</si>
  <si>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</si>
  <si>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</si>
  <si>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</si>
  <si>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</si>
  <si>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</si>
  <si>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</si>
  <si>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</si>
  <si>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</si>
  <si>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</si>
  <si>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</si>
  <si>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</si>
  <si>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</si>
  <si>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</si>
  <si>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</si>
  <si>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</si>
  <si>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</si>
  <si>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</si>
  <si>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</si>
  <si>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</si>
  <si>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</si>
  <si>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</si>
  <si>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</si>
  <si>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</si>
  <si>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</si>
  <si>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</si>
  <si>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</si>
  <si>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</si>
  <si>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</si>
  <si>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</si>
  <si>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</si>
  <si>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</si>
  <si>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</si>
  <si>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</si>
  <si>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</si>
  <si>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</si>
  <si>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</si>
  <si>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</si>
  <si>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</si>
  <si>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</si>
  <si>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</si>
  <si>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</si>
  <si>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</si>
  <si>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</si>
  <si>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</si>
  <si>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</si>
  <si>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</si>
  <si>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</si>
  <si>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</si>
  <si>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</si>
  <si>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</si>
  <si>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</si>
  <si>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</si>
  <si>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</si>
  <si>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</si>
  <si>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</si>
  <si>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</si>
  <si>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</si>
  <si>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</si>
  <si>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</si>
  <si>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</si>
  <si>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</si>
  <si>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</si>
  <si>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</si>
  <si>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</si>
  <si>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</si>
  <si>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</si>
  <si>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</si>
  <si>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</si>
  <si>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</si>
  <si>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</si>
  <si>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</si>
  <si>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</si>
  <si>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</si>
  <si>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</si>
  <si>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</si>
  <si>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</si>
  <si>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</si>
  <si>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</si>
  <si>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</si>
  <si>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</si>
  <si>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</si>
  <si>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</si>
  <si>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</si>
  <si>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</si>
  <si>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</si>
  <si>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</si>
  <si>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</si>
  <si>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</si>
  <si>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</si>
  <si>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</si>
  <si>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</si>
  <si>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</si>
  <si>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</si>
  <si>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</si>
  <si>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</si>
  <si>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</si>
  <si>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</si>
  <si>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</si>
  <si>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</si>
  <si>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</si>
  <si>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</si>
  <si>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</si>
  <si>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</si>
  <si>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</si>
  <si>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</si>
  <si>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</si>
  <si>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</si>
  <si>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</si>
  <si>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</si>
  <si>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</si>
  <si>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</si>
  <si>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</si>
  <si>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</si>
  <si>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</si>
  <si>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</si>
  <si>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</si>
  <si>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</si>
  <si>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</si>
  <si>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</si>
  <si>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</si>
  <si>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</si>
  <si>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</si>
  <si>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</si>
  <si>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</si>
  <si>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</si>
  <si>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</si>
  <si>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</si>
  <si>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</si>
  <si>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</si>
  <si>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</si>
  <si>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</si>
  <si>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</si>
  <si>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</si>
  <si>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</si>
  <si>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</si>
  <si>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</si>
  <si>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</si>
  <si>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</si>
  <si>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</si>
  <si>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</si>
  <si>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</si>
  <si>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</si>
  <si>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</si>
  <si>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</si>
  <si>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</si>
  <si>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</si>
  <si>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</si>
  <si>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</si>
  <si>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</si>
  <si>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</si>
  <si>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</si>
  <si>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</si>
  <si>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</si>
  <si>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</si>
  <si>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</si>
  <si>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</si>
  <si>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</si>
  <si>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</si>
  <si>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</si>
  <si>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</si>
  <si>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</si>
  <si>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</si>
  <si>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</si>
  <si>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</si>
  <si>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</si>
  <si>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</si>
  <si>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</si>
  <si>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</si>
  <si>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</si>
  <si>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</si>
  <si>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</si>
  <si>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</si>
  <si>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</si>
  <si>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</si>
  <si>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</si>
  <si>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</si>
  <si>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</si>
  <si>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</si>
  <si>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</si>
  <si>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</si>
  <si>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</si>
  <si>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</si>
  <si>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</si>
  <si>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</si>
  <si>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</si>
  <si>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</si>
  <si>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</si>
  <si>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</si>
  <si>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</si>
  <si>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</si>
  <si>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</si>
  <si>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</si>
  <si>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</si>
  <si>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</si>
  <si>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</si>
  <si>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</si>
  <si>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</si>
  <si>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</si>
  <si>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</si>
  <si>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</si>
  <si>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</si>
  <si>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</si>
  <si>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</si>
  <si>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</si>
  <si>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</si>
  <si>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</si>
  <si>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</si>
  <si>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</si>
  <si>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</si>
  <si>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</si>
  <si>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</si>
  <si>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</si>
  <si>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</si>
  <si>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</si>
  <si>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</si>
  <si>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</si>
  <si>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</si>
  <si>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</si>
  <si>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</si>
  <si>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</si>
  <si>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</si>
  <si>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</si>
  <si>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</si>
  <si>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</si>
  <si>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</si>
  <si>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</si>
  <si>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</si>
  <si>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</si>
  <si>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</si>
  <si>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</si>
  <si>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</si>
  <si>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</si>
  <si>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</si>
  <si>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</si>
  <si>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</si>
  <si>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</si>
  <si>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</si>
  <si>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</si>
  <si>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</si>
  <si>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</si>
  <si>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</si>
  <si>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</si>
  <si>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</si>
  <si>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</si>
  <si>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</si>
  <si>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</si>
  <si>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</si>
  <si>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</si>
  <si>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</si>
  <si>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</si>
  <si>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</si>
  <si>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</si>
  <si>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</si>
  <si>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</si>
  <si>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</si>
  <si>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</si>
  <si>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</si>
  <si>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</si>
  <si>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</si>
  <si>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</si>
  <si>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</si>
  <si>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</si>
  <si>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</si>
  <si>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</si>
  <si>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</si>
  <si>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</si>
  <si>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</si>
  <si>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</si>
  <si>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</si>
  <si>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</si>
  <si>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</si>
  <si>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</si>
  <si>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</si>
  <si>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</si>
  <si>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</si>
  <si>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</si>
  <si>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</si>
  <si>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</si>
  <si>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</si>
  <si>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</si>
  <si>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</si>
  <si>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</si>
  <si>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</si>
  <si>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</si>
  <si>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</si>
  <si>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</si>
  <si>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</si>
  <si>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</si>
  <si>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</si>
  <si>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</si>
  <si>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</si>
  <si>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</si>
  <si>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</si>
  <si>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</si>
  <si>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</si>
  <si>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</si>
  <si>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</si>
  <si>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</si>
  <si>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</si>
  <si>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</si>
  <si>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</si>
  <si>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</si>
  <si>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</si>
  <si>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</si>
  <si>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</si>
  <si>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</si>
  <si>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</si>
  <si>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</si>
  <si>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</si>
  <si>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</si>
  <si>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</si>
  <si>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</si>
  <si>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</si>
  <si>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</si>
  <si>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</si>
  <si>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</si>
  <si>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</si>
  <si>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</si>
  <si>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</si>
  <si>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</si>
  <si>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</si>
  <si>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</si>
  <si>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</si>
  <si>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</si>
  <si>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</si>
  <si>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</si>
  <si>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</si>
  <si>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</si>
  <si>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</si>
  <si>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</si>
  <si>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</si>
  <si>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</si>
  <si>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</si>
  <si>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</si>
  <si>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</si>
  <si>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</si>
  <si>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</si>
  <si>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</si>
  <si>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</si>
  <si>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</si>
  <si>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</si>
  <si>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</si>
  <si>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</si>
  <si>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</si>
  <si>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</si>
  <si>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</si>
  <si>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</si>
  <si>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</si>
  <si>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</si>
  <si>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</si>
  <si>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</si>
  <si>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</si>
  <si>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</si>
  <si>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</si>
  <si>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</si>
  <si>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</si>
  <si>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</si>
  <si>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</si>
  <si>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</si>
  <si>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</si>
  <si>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</si>
  <si>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</si>
  <si>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</si>
  <si>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</si>
  <si>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</si>
  <si>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</si>
  <si>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</si>
  <si>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</si>
  <si>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</si>
  <si>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</si>
  <si>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</si>
  <si>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</si>
  <si>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</si>
  <si>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</si>
  <si>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</si>
  <si>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</si>
  <si>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</si>
  <si>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</si>
  <si>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</si>
  <si>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</si>
  <si>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</si>
  <si>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</si>
  <si>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</si>
  <si>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</si>
  <si>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</si>
  <si>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</si>
  <si>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</si>
  <si>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</si>
  <si>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</si>
  <si>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</si>
  <si>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</si>
  <si>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</si>
  <si>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</si>
  <si>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</si>
  <si>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</si>
  <si>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</si>
  <si>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</si>
  <si>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</si>
  <si>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</si>
  <si>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</si>
  <si>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</si>
  <si>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</si>
  <si>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</si>
  <si>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</si>
  <si>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</si>
  <si>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</si>
  <si>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</si>
  <si>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</si>
  <si>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</si>
  <si>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</si>
  <si>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</si>
  <si>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</si>
  <si>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</si>
  <si>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</si>
  <si>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</si>
  <si>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</si>
  <si>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</si>
  <si>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</si>
  <si>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</si>
  <si>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</si>
  <si>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</si>
  <si>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</si>
  <si>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</si>
  <si>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</si>
  <si>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</si>
  <si>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</si>
  <si>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</si>
  <si>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</si>
  <si>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</si>
  <si>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</si>
  <si>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</si>
  <si>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</si>
  <si>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</si>
  <si>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</si>
  <si>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</si>
  <si>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</si>
  <si>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</si>
  <si>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</si>
  <si>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</si>
  <si>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</si>
  <si>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</si>
  <si>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</si>
  <si>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</si>
  <si>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</si>
  <si>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</si>
  <si>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</si>
  <si>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</si>
  <si>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</si>
  <si>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</si>
  <si>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</si>
  <si>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</si>
  <si>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</si>
  <si>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</si>
  <si>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</si>
  <si>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</si>
  <si>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</si>
  <si>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</si>
  <si>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</si>
  <si>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</si>
  <si>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</si>
  <si>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</si>
  <si>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</si>
  <si>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</si>
  <si>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</si>
  <si>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</si>
  <si>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</si>
  <si>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</si>
  <si>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</si>
  <si>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</si>
  <si>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</si>
  <si>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</si>
  <si>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</si>
  <si>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</si>
  <si>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</si>
  <si>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</si>
  <si>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</si>
  <si>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</si>
  <si>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</si>
  <si>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</si>
  <si>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</si>
  <si>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</si>
  <si>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</si>
  <si>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</si>
  <si>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</si>
  <si>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</si>
  <si>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</si>
  <si>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</si>
  <si>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</si>
  <si>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</si>
  <si>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</si>
  <si>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</si>
  <si>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</si>
  <si>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</si>
  <si>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</si>
  <si>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</si>
  <si>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</si>
  <si>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</si>
  <si>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</si>
  <si>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</si>
  <si>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</si>
  <si>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</si>
  <si>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</si>
  <si>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</si>
  <si>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</si>
  <si>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</si>
  <si>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</si>
  <si>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</si>
  <si>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</si>
  <si>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</si>
  <si>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</si>
  <si>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</si>
  <si>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</si>
  <si>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</si>
  <si>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</si>
  <si>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</si>
  <si>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</si>
  <si>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</si>
  <si>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</si>
  <si>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</si>
  <si>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</si>
  <si>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</si>
  <si>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</si>
  <si>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</si>
  <si>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</si>
  <si>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</si>
  <si>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</si>
  <si>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</si>
  <si>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</si>
  <si>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</si>
  <si>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</si>
  <si>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</si>
  <si>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</si>
  <si>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</si>
  <si>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</si>
  <si>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</si>
  <si>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</si>
  <si>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</si>
  <si>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</si>
  <si>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</si>
  <si>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</si>
  <si>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</si>
  <si>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</si>
  <si>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</si>
  <si>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</si>
  <si>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</si>
  <si>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</si>
  <si>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</si>
  <si>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</si>
  <si>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</si>
  <si>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</si>
  <si>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</si>
  <si>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</si>
  <si>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</si>
  <si>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</si>
  <si>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</si>
  <si>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</si>
  <si>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</si>
  <si>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</si>
  <si>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</si>
  <si>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</si>
  <si>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</si>
  <si>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</si>
  <si>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</si>
  <si>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</si>
  <si>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</si>
  <si>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</si>
  <si>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</si>
  <si>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</si>
  <si>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</si>
  <si>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</si>
  <si>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</si>
  <si>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</si>
  <si>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</si>
  <si>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</si>
  <si>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</si>
  <si>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</si>
  <si>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</si>
  <si>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</si>
  <si>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</si>
  <si>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</si>
  <si>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</si>
  <si>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</si>
  <si>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</si>
  <si>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</si>
  <si>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</si>
  <si>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</si>
  <si>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</si>
  <si>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</si>
  <si>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</si>
  <si>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</si>
  <si>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</si>
  <si>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</si>
  <si>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</si>
  <si>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</si>
  <si>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</si>
  <si>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</si>
  <si>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</si>
  <si>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</si>
  <si>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</si>
  <si>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</si>
  <si>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</si>
  <si>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</si>
  <si>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</si>
  <si>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</si>
  <si>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</si>
  <si>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</si>
  <si>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</si>
  <si>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</si>
  <si>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</si>
  <si>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</si>
  <si>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</si>
  <si>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</si>
  <si>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</si>
  <si>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</si>
  <si>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</si>
  <si>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</si>
  <si>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</si>
  <si>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</si>
  <si>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</si>
  <si>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</si>
  <si>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</si>
  <si>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</si>
  <si>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</si>
  <si>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</si>
  <si>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</si>
  <si>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</si>
  <si>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</si>
  <si>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</si>
  <si>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</si>
  <si>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</si>
  <si>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</si>
  <si>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</si>
  <si>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</si>
  <si>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</si>
  <si>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</si>
  <si>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</si>
  <si>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</si>
  <si>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</si>
  <si>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</si>
  <si>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</si>
  <si>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</si>
  <si>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</si>
  <si>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</si>
  <si>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</si>
  <si>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</si>
  <si>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</si>
  <si>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</si>
  <si>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</si>
  <si>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</si>
  <si>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</si>
  <si>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</si>
  <si>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</si>
  <si>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</si>
  <si>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</si>
  <si>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</si>
  <si>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</si>
  <si>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</si>
  <si>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</si>
  <si>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</si>
  <si>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</si>
  <si>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</si>
  <si>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</si>
  <si>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</si>
  <si>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</si>
  <si>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</si>
  <si>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</si>
  <si>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</si>
  <si>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</si>
  <si>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</si>
  <si>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</si>
  <si>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</si>
  <si>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</si>
  <si>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</si>
  <si>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</si>
  <si>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</si>
  <si>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</si>
  <si>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</si>
  <si>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</si>
  <si>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</si>
  <si>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</si>
  <si>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</si>
  <si>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</si>
  <si>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</si>
  <si>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</si>
  <si>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</si>
  <si>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</si>
  <si>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</si>
  <si>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</si>
  <si>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</si>
  <si>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</si>
  <si>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</si>
  <si>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</si>
  <si>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</si>
  <si>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</si>
  <si>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</si>
  <si>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</si>
  <si>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</si>
  <si>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</si>
  <si>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</si>
  <si>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</si>
  <si>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</si>
  <si>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</si>
  <si>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</si>
  <si>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</si>
  <si>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</si>
  <si>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</si>
  <si>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</si>
  <si>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</si>
  <si>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</si>
  <si>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</si>
  <si>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</si>
  <si>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</si>
  <si>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</si>
  <si>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</si>
  <si>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</si>
  <si>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</si>
  <si>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</si>
  <si>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</si>
  <si>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</si>
  <si>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</si>
  <si>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</si>
  <si>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</si>
  <si>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</si>
  <si>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</si>
  <si>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</si>
  <si>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</si>
  <si>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</si>
  <si>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</si>
  <si>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</si>
  <si>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</si>
  <si>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</si>
  <si>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</si>
  <si>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</si>
  <si>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</si>
  <si>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</si>
  <si>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</si>
  <si>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</si>
  <si>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</si>
  <si>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</si>
  <si>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</si>
  <si>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</si>
  <si>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</si>
  <si>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</si>
  <si>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</si>
  <si>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</si>
  <si>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</si>
  <si>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</si>
  <si>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</si>
  <si>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</si>
  <si>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</si>
  <si>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</si>
  <si>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</si>
  <si>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</si>
  <si>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</si>
  <si>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</si>
  <si>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</si>
  <si>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</si>
  <si>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</si>
  <si>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</si>
  <si>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</si>
  <si>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</si>
  <si>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</si>
  <si>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</si>
  <si>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</si>
  <si>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</si>
  <si>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</si>
  <si>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</si>
  <si>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</si>
  <si>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</si>
  <si>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</si>
  <si>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</si>
  <si>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</si>
  <si>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</si>
  <si>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</si>
  <si>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</si>
  <si>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</si>
  <si>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</si>
  <si>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</si>
  <si>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</si>
  <si>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</si>
  <si>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</si>
  <si>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</si>
  <si>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</si>
  <si>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</si>
  <si>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</si>
  <si>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</si>
  <si>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</si>
  <si>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</si>
  <si>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</si>
  <si>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</si>
  <si>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</si>
  <si>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</si>
  <si>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</si>
  <si>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</si>
  <si>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</si>
  <si>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</si>
  <si>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</si>
  <si>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</si>
  <si>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</si>
  <si>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</si>
  <si>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</si>
  <si>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</si>
  <si>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</si>
  <si>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</si>
  <si>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</si>
  <si>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</si>
  <si>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</si>
  <si>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</si>
  <si>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</si>
  <si>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</si>
  <si>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</si>
  <si>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</si>
  <si>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</si>
  <si>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</si>
  <si>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</si>
  <si>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</si>
  <si>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</si>
  <si>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</si>
  <si>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</si>
  <si>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</si>
  <si>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</si>
  <si>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</si>
  <si>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</si>
  <si>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</si>
  <si>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</si>
  <si>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</si>
  <si>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</si>
  <si>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</si>
  <si>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</si>
  <si>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</si>
  <si>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</si>
  <si>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</si>
  <si>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</si>
  <si>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</si>
  <si>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</si>
  <si>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</si>
  <si>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</si>
  <si>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</si>
  <si>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</si>
  <si>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</si>
  <si>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</si>
  <si>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</si>
  <si>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</si>
  <si>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</si>
  <si>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</si>
  <si>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</si>
  <si>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</si>
  <si>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</si>
  <si>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</si>
  <si>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</si>
  <si>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</si>
  <si>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</si>
  <si>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</si>
  <si>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</si>
  <si>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</si>
  <si>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</si>
  <si>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</si>
  <si>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</si>
  <si>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</si>
  <si>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</si>
  <si>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</si>
  <si>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</si>
  <si>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</si>
  <si>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</si>
  <si>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</si>
  <si>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</si>
  <si>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</si>
  <si>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</si>
  <si>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</si>
  <si>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</si>
  <si>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</si>
  <si>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</si>
  <si>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</si>
  <si>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</si>
  <si>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</si>
  <si>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</si>
  <si>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</si>
  <si>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</si>
  <si>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</si>
  <si>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</si>
  <si>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</si>
  <si>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</si>
  <si>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</si>
  <si>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</si>
  <si>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</si>
  <si>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</si>
  <si>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</si>
  <si>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</si>
  <si>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</si>
  <si>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</si>
  <si>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</si>
  <si>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</si>
  <si>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</si>
  <si>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</si>
  <si>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</si>
  <si>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</si>
  <si>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</si>
  <si>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</si>
  <si>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</si>
  <si>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</si>
  <si>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</si>
  <si>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</si>
  <si>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</si>
  <si>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</si>
  <si>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</si>
  <si>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</si>
  <si>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</si>
  <si>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</si>
  <si>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</si>
  <si>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</si>
  <si>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</si>
  <si>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</si>
  <si>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</si>
  <si>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</si>
  <si>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</si>
  <si>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</si>
  <si>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</si>
  <si>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</si>
  <si>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</si>
  <si>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</si>
  <si>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</si>
  <si>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</si>
  <si>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</si>
  <si>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</si>
  <si>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</si>
  <si>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</si>
  <si>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</si>
  <si>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</si>
  <si>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</si>
  <si>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</si>
  <si>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</si>
  <si>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</si>
  <si>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</si>
  <si>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</si>
  <si>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</si>
  <si>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</si>
  <si>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</si>
  <si>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</si>
  <si>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</si>
  <si>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</si>
  <si>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</si>
  <si>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</si>
  <si>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</si>
  <si>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</si>
  <si>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</si>
  <si>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</si>
  <si>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</si>
  <si>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</si>
  <si>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</si>
  <si>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</si>
  <si>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</si>
  <si>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</si>
  <si>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</si>
  <si>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</si>
  <si>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</si>
  <si>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</si>
  <si>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</si>
  <si>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</si>
  <si>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</si>
  <si>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</si>
  <si>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</si>
  <si>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</si>
  <si>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</si>
  <si>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</si>
  <si>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</si>
  <si>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</si>
  <si>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</si>
  <si>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</si>
  <si>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</si>
  <si>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</si>
  <si>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</si>
  <si>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</si>
  <si>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</si>
  <si>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</si>
  <si>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</si>
  <si>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</si>
  <si>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</si>
  <si>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</si>
  <si>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</si>
  <si>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</si>
  <si>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</si>
  <si>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</si>
  <si>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</si>
  <si>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</si>
  <si>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</si>
  <si>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</si>
  <si>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</si>
  <si>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</si>
  <si>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</si>
  <si>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</si>
  <si>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</si>
  <si>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</si>
  <si>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</si>
  <si>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</si>
  <si>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</si>
  <si>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</si>
  <si>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</si>
  <si>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</si>
  <si>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</si>
  <si>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</si>
  <si>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</si>
  <si>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</si>
  <si>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</si>
  <si>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</si>
  <si>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</si>
  <si>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</si>
  <si>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</si>
  <si>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</si>
  <si>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</si>
  <si>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</si>
  <si>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</si>
  <si>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</si>
  <si>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</si>
  <si>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</si>
  <si>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</si>
  <si>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</si>
  <si>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</si>
  <si>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</si>
  <si>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</si>
  <si>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</si>
  <si>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</si>
  <si>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</si>
  <si>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</si>
  <si>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</si>
  <si>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</si>
  <si>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</si>
  <si>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</si>
  <si>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</si>
  <si>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</si>
  <si>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</si>
  <si>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</si>
  <si>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</si>
  <si>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</si>
  <si>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</si>
  <si>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</si>
  <si>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</si>
  <si>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</si>
  <si>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</si>
  <si>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</si>
  <si>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</si>
  <si>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</si>
  <si>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</si>
  <si>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</si>
  <si>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</si>
  <si>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</si>
  <si>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</si>
  <si>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</si>
  <si>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</si>
  <si>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</si>
  <si>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</si>
  <si>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</si>
  <si>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</si>
  <si>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</si>
  <si>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</si>
  <si>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</si>
  <si>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</si>
  <si>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</si>
  <si>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</si>
  <si>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</si>
  <si>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</si>
  <si>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</si>
  <si>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</si>
  <si>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</si>
  <si>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</si>
  <si>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</si>
  <si>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</si>
  <si>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</si>
  <si>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</si>
  <si>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</si>
  <si>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</si>
  <si>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</si>
  <si>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</si>
  <si>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</si>
  <si>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</si>
  <si>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</si>
  <si>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</si>
  <si>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</si>
  <si>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</si>
  <si>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</si>
  <si>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</si>
  <si>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</si>
  <si>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</si>
  <si>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</si>
  <si>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</si>
  <si>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</si>
  <si>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</si>
  <si>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</si>
  <si>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</si>
  <si>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</si>
  <si>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</si>
  <si>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</si>
  <si>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</si>
  <si>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</si>
  <si>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</si>
  <si>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</si>
  <si>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</si>
  <si>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</si>
  <si>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</si>
  <si>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</si>
  <si>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</si>
  <si>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</si>
  <si>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</si>
  <si>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</si>
  <si>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</si>
  <si>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</si>
  <si>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</si>
  <si>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</si>
  <si>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</si>
  <si>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</si>
  <si>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</si>
  <si>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</si>
  <si>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</si>
  <si>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</si>
  <si>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</si>
  <si>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</si>
  <si>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</si>
  <si>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</si>
  <si>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</si>
  <si>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</si>
  <si>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</si>
  <si>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</si>
  <si>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</si>
  <si>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</si>
  <si>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</si>
  <si>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</si>
  <si>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</si>
  <si>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</si>
  <si>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</si>
  <si>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</si>
  <si>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</si>
  <si>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</si>
  <si>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</si>
  <si>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</si>
  <si>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</si>
  <si>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</si>
  <si>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</si>
  <si>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</si>
  <si>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</si>
  <si>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</si>
  <si>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</si>
  <si>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</si>
  <si>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</si>
  <si>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</si>
  <si>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</si>
  <si>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</si>
  <si>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</si>
  <si>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</si>
  <si>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</si>
  <si>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</si>
  <si>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</si>
  <si>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</si>
  <si>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</si>
  <si>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</si>
  <si>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</si>
  <si>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</si>
  <si>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</si>
  <si>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</si>
  <si>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</si>
  <si>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</si>
  <si>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</si>
  <si>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</si>
  <si>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</si>
  <si>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</si>
  <si>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</si>
  <si>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</si>
  <si>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</si>
  <si>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</si>
  <si>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</si>
  <si>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</si>
  <si>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</si>
  <si>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</si>
  <si>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</si>
  <si>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</si>
  <si>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</si>
  <si>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</si>
  <si>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</si>
  <si>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</si>
  <si>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</si>
  <si>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</si>
  <si>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</si>
  <si>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</si>
  <si>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</si>
  <si>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</si>
  <si>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</si>
  <si>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</si>
  <si>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</si>
  <si>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</si>
  <si>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</si>
  <si>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</si>
  <si>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</si>
  <si>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</si>
  <si>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</si>
  <si>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</si>
  <si>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</si>
  <si>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</si>
  <si>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</si>
  <si>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</si>
  <si>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</si>
  <si>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</si>
  <si>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</si>
  <si>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</si>
  <si>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</si>
  <si>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</si>
  <si>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</si>
  <si>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</si>
  <si>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</si>
  <si>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</si>
  <si>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</si>
  <si>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</si>
  <si>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</si>
  <si>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</si>
  <si>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</si>
  <si>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</si>
  <si>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</si>
  <si>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</si>
  <si>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</si>
  <si>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</si>
  <si>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</si>
  <si>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</si>
  <si>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</si>
  <si>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</si>
  <si>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</si>
  <si>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</si>
  <si>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</si>
  <si>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</si>
  <si>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</si>
  <si>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</si>
  <si>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</si>
  <si>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</si>
  <si>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</si>
  <si>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</si>
  <si>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</si>
  <si>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</si>
  <si>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</si>
  <si>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</si>
  <si>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</si>
  <si>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</si>
  <si>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</si>
  <si>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</si>
  <si>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</si>
  <si>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</si>
  <si>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</si>
  <si>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</si>
  <si>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</si>
  <si>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</si>
  <si>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</si>
  <si>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</si>
  <si>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</si>
  <si>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</si>
  <si>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</si>
  <si>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</si>
  <si>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</si>
  <si>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</si>
  <si>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</si>
  <si>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</si>
  <si>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</si>
  <si>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</si>
  <si>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</si>
  <si>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</si>
  <si>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</si>
  <si>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</si>
  <si>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</si>
  <si>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</si>
  <si>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</si>
  <si>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</si>
  <si>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</si>
  <si>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</si>
  <si>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</si>
  <si>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</si>
  <si>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</si>
  <si>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</si>
  <si>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</si>
  <si>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</si>
  <si>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</si>
  <si>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</si>
  <si>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</si>
  <si>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</si>
  <si>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</si>
  <si>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</si>
  <si>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</si>
  <si>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</si>
  <si>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</si>
  <si>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</si>
  <si>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</si>
  <si>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</si>
  <si>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</si>
  <si>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</si>
  <si>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</si>
  <si>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</si>
  <si>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</si>
  <si>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</si>
  <si>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</si>
  <si>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</si>
  <si>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</si>
  <si>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</si>
  <si>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</si>
  <si>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</si>
  <si>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</si>
  <si>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</si>
  <si>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</si>
  <si>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</si>
  <si>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</si>
  <si>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</si>
  <si>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</si>
  <si>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</si>
  <si>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</si>
  <si>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</si>
  <si>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</si>
  <si>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</si>
  <si>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</si>
  <si>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</si>
  <si>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</si>
  <si>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</si>
  <si>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</si>
  <si>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</si>
  <si>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</si>
  <si>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</si>
  <si>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</si>
  <si>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</si>
  <si>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</si>
  <si>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</si>
  <si>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</si>
  <si>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</si>
  <si>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</si>
  <si>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</si>
  <si>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</si>
  <si>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</si>
  <si>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</si>
  <si>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</si>
  <si>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</si>
  <si>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</si>
  <si>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</si>
  <si>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</si>
  <si>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</si>
  <si>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</si>
  <si>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</si>
  <si>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</si>
  <si>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</si>
  <si>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</si>
  <si>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</si>
  <si>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</si>
  <si>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</si>
  <si>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</si>
  <si>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</si>
  <si>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</si>
  <si>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</si>
  <si>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</si>
  <si>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</si>
  <si>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</si>
  <si>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</si>
  <si>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</si>
  <si>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</si>
  <si>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</si>
  <si>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</si>
  <si>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</si>
  <si>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</si>
  <si>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</si>
  <si>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</si>
  <si>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</si>
  <si>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</si>
  <si>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</si>
  <si>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</si>
  <si>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</si>
  <si>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</si>
  <si>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</si>
  <si>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</si>
  <si>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</si>
  <si>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</si>
  <si>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</si>
  <si>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</si>
  <si>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</si>
  <si>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</si>
  <si>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</si>
  <si>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</si>
  <si>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</si>
  <si>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</si>
  <si>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</si>
  <si>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</si>
  <si>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</si>
  <si>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</si>
  <si>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</si>
  <si>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</si>
  <si>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</si>
  <si>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</si>
  <si>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</si>
  <si>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</si>
  <si>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</si>
  <si>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</si>
  <si>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</si>
  <si>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</si>
  <si>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</si>
  <si>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</si>
  <si>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</si>
  <si>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</si>
  <si>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</si>
  <si>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</si>
  <si>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</si>
  <si>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</si>
  <si>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</si>
  <si>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</si>
  <si>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</si>
  <si>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</si>
  <si>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</si>
  <si>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</si>
  <si>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</si>
  <si>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</si>
  <si>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</si>
  <si>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</si>
  <si>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</si>
  <si>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</si>
  <si>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</si>
  <si>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</si>
  <si>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</si>
  <si>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</si>
  <si>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</si>
  <si>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</si>
  <si>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</si>
  <si>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</si>
  <si>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</si>
  <si>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</si>
  <si>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</si>
  <si>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</si>
  <si>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</si>
  <si>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</si>
  <si>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</si>
  <si>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</si>
  <si>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</si>
  <si>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</si>
  <si>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</si>
  <si>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</si>
  <si>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</si>
  <si>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</si>
  <si>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</si>
  <si>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</si>
  <si>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</si>
  <si>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</si>
  <si>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</si>
  <si>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</si>
  <si>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</si>
  <si>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</si>
  <si>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</si>
  <si>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</si>
  <si>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</si>
  <si>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</si>
  <si>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</si>
  <si>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</si>
  <si>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</si>
  <si>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</si>
  <si>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</si>
  <si>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</si>
  <si>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</si>
  <si>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</si>
  <si>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</si>
  <si>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</si>
  <si>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</si>
  <si>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</si>
  <si>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</si>
  <si>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</si>
  <si>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</si>
  <si>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</si>
  <si>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</si>
  <si>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</si>
  <si>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</si>
  <si>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</si>
  <si>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</si>
  <si>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</si>
  <si>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</si>
  <si>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</si>
  <si>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</si>
  <si>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</si>
  <si>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</si>
  <si>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</si>
  <si>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</si>
  <si>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</si>
  <si>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</si>
  <si>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</si>
  <si>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</si>
  <si>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</si>
  <si>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</si>
  <si>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</si>
  <si>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</si>
  <si>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</si>
  <si>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</si>
  <si>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</si>
  <si>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</si>
  <si>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</si>
  <si>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</si>
  <si>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</si>
  <si>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</si>
  <si>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</si>
  <si>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</si>
  <si>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</si>
  <si>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</si>
  <si>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</si>
  <si>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</si>
  <si>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</si>
  <si>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</si>
  <si>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</si>
  <si>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</si>
  <si>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</si>
  <si>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</si>
  <si>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</si>
  <si>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</si>
  <si>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</si>
  <si>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</si>
  <si>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</si>
  <si>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</si>
  <si>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</si>
  <si>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</si>
  <si>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</si>
  <si>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</si>
  <si>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</si>
  <si>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</si>
  <si>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</si>
  <si>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</si>
  <si>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</si>
  <si>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</si>
  <si>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</si>
  <si>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</si>
  <si>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</si>
  <si>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</si>
  <si>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</si>
  <si>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</si>
  <si>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</si>
  <si>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</si>
  <si>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</si>
  <si>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</si>
  <si>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</si>
  <si>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</si>
  <si>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</si>
  <si>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</si>
  <si>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</si>
  <si>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</si>
  <si>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</si>
  <si>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</si>
  <si>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</si>
  <si>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</si>
  <si>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</si>
  <si>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</si>
  <si>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</si>
  <si>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</si>
  <si>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</si>
  <si>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</si>
  <si>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</si>
  <si>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</si>
  <si>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</si>
  <si>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</si>
  <si>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</si>
  <si>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</si>
  <si>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</si>
  <si>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</si>
  <si>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06/10</t>
  </si>
  <si>
    <t>09/26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</si>
</sst>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2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1232</v>
      </c>
      <c r="B2" s="126">
        <f>INDEX('School Tables'!$AH$3:$AH$208,MATCH('DOE25'!A2,'School Tables'!$AJ$3:$AJ$208,0))</f>
        <v>342</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941283.04</v>
      </c>
      <c r="G9" s="18">
        <v>0</v>
      </c>
      <c r="H9" s="18">
        <v>0</v>
      </c>
      <c r="I9" s="18">
        <v>0</v>
      </c>
      <c r="J9" s="67">
        <f>SUM(I440)</f>
        <v>0</v>
      </c>
      <c r="K9" s="24" t="s">
        <v>288</v>
      </c>
      <c r="L9" s="24" t="s">
        <v>288</v>
      </c>
      <c r="M9" s="8"/>
      <c r="N9" s="265"/>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225152.8</v>
      </c>
      <c r="G12" s="18">
        <v>170805.66</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0</v>
      </c>
      <c r="G13" s="18">
        <v>159569.21</v>
      </c>
      <c r="H13" s="18">
        <v>414299.15</v>
      </c>
      <c r="I13" s="18">
        <v>0</v>
      </c>
      <c r="J13" s="67">
        <f>SUM(I443)</f>
        <v>727616.12</v>
      </c>
      <c r="K13" s="24" t="s">
        <v>288</v>
      </c>
      <c r="L13" s="24" t="s">
        <v>288</v>
      </c>
      <c r="M13" s="8"/>
      <c r="N13" s="265"/>
    </row>
    <row r="14" spans="1:14" s="3" customFormat="1" ht="12.2" customHeight="1" x14ac:dyDescent="0.15">
      <c r="A14" s="1" t="s">
        <v>565</v>
      </c>
      <c r="B14" s="2" t="s">
        <v>289</v>
      </c>
      <c r="C14" s="6">
        <v>6</v>
      </c>
      <c r="D14" s="2" t="s">
        <v>428</v>
      </c>
      <c r="E14" s="6">
        <v>150</v>
      </c>
      <c r="F14" s="18">
        <f>44304.07+233.5</f>
        <v>44537.57</v>
      </c>
      <c r="G14" s="18">
        <v>0</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22019.06</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1210973.4100000001</v>
      </c>
      <c r="G19" s="41">
        <f>SUM(G9:G18)</f>
        <v>352393.93</v>
      </c>
      <c r="H19" s="41">
        <f>SUM(H9:H18)</f>
        <v>414299.15</v>
      </c>
      <c r="I19" s="41">
        <f>SUM(I9:I18)</f>
        <v>0</v>
      </c>
      <c r="J19" s="41">
        <f>SUM(J9:J18)</f>
        <v>727616.12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0</v>
      </c>
      <c r="H22" s="18">
        <v>395958.46</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17744.88+43952.11</f>
        <v>61696.990000000005</v>
      </c>
      <c r="G24" s="18">
        <v>221238.93</v>
      </c>
      <c r="H24" s="18">
        <v>0</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f>14913.45+1140.9+1874.69</f>
        <v>17929.04</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10132.82</v>
      </c>
      <c r="H30" s="18">
        <v>18035.12</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79626.03</v>
      </c>
      <c r="G32" s="41">
        <f>SUM(G22:G31)</f>
        <v>231371.75</v>
      </c>
      <c r="H32" s="41">
        <f>SUM(H22:H31)</f>
        <v>413993.58</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22019.06</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5"/>
    </row>
    <row r="40" spans="1:14" s="3" customFormat="1" ht="12.2" customHeight="1" x14ac:dyDescent="0.15">
      <c r="A40" s="1" t="s">
        <v>860</v>
      </c>
      <c r="B40" s="6">
        <v>1</v>
      </c>
      <c r="C40" s="6">
        <v>27</v>
      </c>
      <c r="D40" s="2"/>
      <c r="E40" s="6"/>
      <c r="F40" s="24" t="s">
        <v>288</v>
      </c>
      <c r="G40" s="18">
        <f>99003.12-43055.73</f>
        <v>55947.389999999992</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41000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v>218439</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305.57</v>
      </c>
      <c r="I48" s="18">
        <v>0</v>
      </c>
      <c r="J48" s="13">
        <f>SUM(I460)</f>
        <v>727616.12</v>
      </c>
      <c r="K48" s="24" t="s">
        <v>288</v>
      </c>
      <c r="L48" s="24" t="s">
        <v>288</v>
      </c>
      <c r="M48" s="8"/>
      <c r="N48" s="265"/>
    </row>
    <row r="49" spans="1:14" s="3" customFormat="1" ht="12.2" customHeight="1" x14ac:dyDescent="0.15">
      <c r="A49" s="1" t="s">
        <v>859</v>
      </c>
      <c r="B49" s="2" t="s">
        <v>289</v>
      </c>
      <c r="C49" s="6">
        <v>34</v>
      </c>
      <c r="D49" s="2"/>
      <c r="E49" s="6">
        <v>753</v>
      </c>
      <c r="F49" s="18">
        <v>18950</v>
      </c>
      <c r="G49" s="18">
        <v>43055.73</v>
      </c>
      <c r="H49" s="18">
        <v>0</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f>699395.81+175162.57-2650-18950</f>
        <v>852958.38000000012</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1131347.3800000001</v>
      </c>
      <c r="G51" s="41">
        <f>SUM(G35:G50)</f>
        <v>121022.18</v>
      </c>
      <c r="H51" s="41">
        <f>SUM(H35:H50)</f>
        <v>305.57</v>
      </c>
      <c r="I51" s="41">
        <f>SUM(I35:I50)</f>
        <v>0</v>
      </c>
      <c r="J51" s="41">
        <f>SUM(J35:J50)</f>
        <v>727616.12</v>
      </c>
      <c r="K51" s="45" t="s">
        <v>288</v>
      </c>
      <c r="L51" s="45" t="s">
        <v>288</v>
      </c>
      <c r="N51" s="263"/>
    </row>
    <row r="52" spans="1:14" s="3" customFormat="1" ht="12.2" customHeight="1" thickTop="1" x14ac:dyDescent="0.15">
      <c r="A52" s="38" t="s">
        <v>455</v>
      </c>
      <c r="B52" s="39" t="s">
        <v>289</v>
      </c>
      <c r="C52" s="6">
        <v>37</v>
      </c>
      <c r="D52" s="39" t="s">
        <v>653</v>
      </c>
      <c r="E52" s="39"/>
      <c r="F52" s="41">
        <f>F51+F32</f>
        <v>1210973.4100000001</v>
      </c>
      <c r="G52" s="41">
        <f>G51+G32</f>
        <v>352393.93</v>
      </c>
      <c r="H52" s="41">
        <f>H51+H32</f>
        <v>414299.15</v>
      </c>
      <c r="I52" s="41">
        <f>I51+I32</f>
        <v>0</v>
      </c>
      <c r="J52" s="41">
        <f>J51+J32</f>
        <v>727616.12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8737573.5</v>
      </c>
      <c r="G57" s="18">
        <v>0</v>
      </c>
      <c r="H57" s="18">
        <v>0</v>
      </c>
      <c r="I57" s="18">
        <v>0</v>
      </c>
      <c r="J57" s="18">
        <v>0</v>
      </c>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8737573.5</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15000</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12956.25</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27956.25</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1207.3399999999999</v>
      </c>
      <c r="G96" s="18">
        <v>0</v>
      </c>
      <c r="H96" s="18">
        <v>0</v>
      </c>
      <c r="I96" s="18">
        <v>0</v>
      </c>
      <c r="J96" s="18">
        <v>0</v>
      </c>
      <c r="K96" s="24" t="s">
        <v>288</v>
      </c>
      <c r="L96" s="24" t="s">
        <v>288</v>
      </c>
      <c r="M96" s="8"/>
      <c r="N96" s="265"/>
    </row>
    <row r="97" spans="1:14" s="3" customFormat="1" ht="12.2" customHeight="1" x14ac:dyDescent="0.15">
      <c r="A97" s="1" t="s">
        <v>503</v>
      </c>
      <c r="B97" s="2" t="s">
        <v>315</v>
      </c>
      <c r="C97" s="6">
        <v>12</v>
      </c>
      <c r="D97" s="2" t="s">
        <v>430</v>
      </c>
      <c r="E97" s="6">
        <v>1600</v>
      </c>
      <c r="F97" s="24" t="s">
        <v>288</v>
      </c>
      <c r="G97" s="18">
        <f>36407.77+876</f>
        <v>37283.769999999997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8580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40673.019999999997</v>
      </c>
      <c r="I102" s="18">
        <v>0</v>
      </c>
      <c r="J102" s="18">
        <v>0</v>
      </c>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40254.300000000003</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330.75</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6095.87</v>
      </c>
      <c r="G110" s="18">
        <v>0</v>
      </c>
      <c r="H110" s="18">
        <v>0</v>
      </c>
      <c r="I110" s="18">
        <v>0</v>
      </c>
      <c r="J110" s="18">
        <v>0</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56468.26</v>
      </c>
      <c r="G111" s="41">
        <f>SUM(G96:G110)</f>
        <v>37283.769999999997</v>
      </c>
      <c r="H111" s="41">
        <f>SUM(H96:H110)</f>
        <v>40673.019999999997</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8821998.0099999998</v>
      </c>
      <c r="G112" s="41">
        <f>G60+G111</f>
        <v>37283.769999999997</v>
      </c>
      <c r="H112" s="41">
        <f>H60+H79+H94+H111</f>
        <v>40673.019999999997</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5442835.3600000003</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1080579</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0</v>
      </c>
      <c r="G120" s="18">
        <v>0</v>
      </c>
      <c r="H120" s="18">
        <v>0</v>
      </c>
      <c r="I120" s="18">
        <v>0</v>
      </c>
      <c r="J120" s="18">
        <v>0</v>
      </c>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6523414.3600000003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797013.02</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77356.09</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36021.71</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1477.5</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v>0</v>
      </c>
      <c r="G130" s="24" t="s">
        <v>288</v>
      </c>
      <c r="H130" s="18">
        <f>2889.45+3659.42</f>
        <v>6548.87</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8153.09</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911868.32</v>
      </c>
      <c r="G136" s="41">
        <f>SUM(G123:G135)</f>
        <v>8153.09</v>
      </c>
      <c r="H136" s="41">
        <f>SUM(H123:H135)</f>
        <v>6548.87</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7435282.6800000006</v>
      </c>
      <c r="G140" s="41">
        <f>G121+SUM(G136:G137)</f>
        <v>8153.09</v>
      </c>
      <c r="H140" s="41">
        <f>H121+SUM(H136:H139)</f>
        <v>6548.87</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1297.5</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268250.19</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129943.43</f>
        <v>129943.43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587897.09</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317237.34</f>
        <v>317237.34000000003</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68143.09</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f>15877.62+60656.67</f>
        <v>76534.289999999994</v>
      </c>
      <c r="H161" s="18">
        <v>495.39</v>
      </c>
      <c r="I161" s="18">
        <v>0</v>
      </c>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v>0</v>
      </c>
      <c r="G162" s="18">
        <v>0</v>
      </c>
      <c r="H162" s="18">
        <v>979857.45</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68143.09</v>
      </c>
      <c r="G163" s="41">
        <f>SUM(G150:G162)</f>
        <v>664431.38</v>
      </c>
      <c r="H163" s="41">
        <f>SUM(H150:H162)</f>
        <v>1697081.2999999998</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68143.09</v>
      </c>
      <c r="G170" s="41">
        <f>G147+G163+SUM(G164:G169)</f>
        <v>664431.38</v>
      </c>
      <c r="H170" s="41">
        <f>H147+H163+SUM(H164:H169)</f>
        <v>1697081.2999999998</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412339.71</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412339.71</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v>0</v>
      </c>
      <c r="I180" s="18">
        <v>0</v>
      </c>
      <c r="J180" s="18">
        <v>41000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5"/>
    </row>
    <row r="182" spans="1:14" s="3" customFormat="1" ht="12.2" customHeight="1" x14ac:dyDescent="0.15">
      <c r="A182" s="3" t="s">
        <v>526</v>
      </c>
      <c r="B182" s="2" t="s">
        <v>330</v>
      </c>
      <c r="C182" s="6">
        <v>8</v>
      </c>
      <c r="D182" s="2" t="s">
        <v>430</v>
      </c>
      <c r="E182" s="6">
        <v>5222</v>
      </c>
      <c r="F182" s="18">
        <v>22122.01</v>
      </c>
      <c r="G182" s="18">
        <v>0</v>
      </c>
      <c r="H182" s="24" t="s">
        <v>288</v>
      </c>
      <c r="I182" s="18">
        <v>0</v>
      </c>
      <c r="J182" s="18">
        <v>0</v>
      </c>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22122.01</v>
      </c>
      <c r="G184" s="41">
        <f>SUM(G180:G183)</f>
        <v>0</v>
      </c>
      <c r="H184" s="41">
        <f>SUM(H180:H183)</f>
        <v>0</v>
      </c>
      <c r="I184" s="41">
        <f>SUM(I180:I183)</f>
        <v>0</v>
      </c>
      <c r="J184" s="41">
        <f>SUM(J180:J183)</f>
        <v>41000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99</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434560.72000000003</v>
      </c>
      <c r="G193" s="41">
        <f>G184+SUM(G189:G192)</f>
        <v>0</v>
      </c>
      <c r="H193" s="41">
        <f>+H184+SUM(H189:H192)</f>
        <v>0</v>
      </c>
      <c r="I193" s="41">
        <f>I178+I184+SUM(I189:I192)</f>
        <v>0</v>
      </c>
      <c r="J193" s="41">
        <f>J184</f>
        <v>41000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16759984.500000002</v>
      </c>
      <c r="G194" s="47">
        <f>G112+G140+G170+G193</f>
        <v>709868.24</v>
      </c>
      <c r="H194" s="47">
        <f>H112+H140+H170+H193</f>
        <v>1744303.1899999997</v>
      </c>
      <c r="I194" s="47">
        <f>I112+I140+I170+I193</f>
        <v>0</v>
      </c>
      <c r="J194" s="47">
        <f>J112+J140+J193</f>
        <v>41000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1529112.2599999998</v>
      </c>
      <c r="G198" s="18">
        <v>770739.66201000009</v>
      </c>
      <c r="H198" s="18">
        <v>8572.630000000001</v>
      </c>
      <c r="I198" s="18">
        <v>80470.73</v>
      </c>
      <c r="J198" s="18">
        <v>3776.33</v>
      </c>
      <c r="K198" s="18">
        <v>0</v>
      </c>
      <c r="L198" s="19">
        <f>SUM(F198:K198)</f>
        <v>2392671.6120099998</v>
      </c>
      <c r="M198" s="8"/>
      <c r="N198" s="265"/>
    </row>
    <row r="199" spans="1:14" s="3" customFormat="1" ht="12.2" customHeight="1" x14ac:dyDescent="0.15">
      <c r="A199" s="1" t="s">
        <v>439</v>
      </c>
      <c r="B199" s="2" t="s">
        <v>341</v>
      </c>
      <c r="C199" s="2" t="s">
        <v>291</v>
      </c>
      <c r="D199" s="2" t="s">
        <v>431</v>
      </c>
      <c r="E199" s="6">
        <v>1200</v>
      </c>
      <c r="F199" s="18">
        <v>322220.98</v>
      </c>
      <c r="G199" s="18">
        <v>134948.07</v>
      </c>
      <c r="H199" s="18">
        <v>0</v>
      </c>
      <c r="I199" s="18">
        <v>2077.42</v>
      </c>
      <c r="J199" s="18">
        <v>1504.1200000000001</v>
      </c>
      <c r="K199" s="18">
        <v>0</v>
      </c>
      <c r="L199" s="19">
        <f>SUM(F199:K199)</f>
        <v>460750.58999999997</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540</v>
      </c>
      <c r="G201" s="18">
        <v>154.82</v>
      </c>
      <c r="H201" s="18">
        <v>0</v>
      </c>
      <c r="I201" s="18">
        <v>0</v>
      </c>
      <c r="J201" s="18">
        <v>0</v>
      </c>
      <c r="K201" s="18">
        <v>0</v>
      </c>
      <c r="L201" s="19">
        <f>SUM(F201:K201)</f>
        <v>694.81999999999994</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265218.32</v>
      </c>
      <c r="G203" s="18">
        <v>149007.26000000004</v>
      </c>
      <c r="H203" s="18">
        <v>15291.300000000001</v>
      </c>
      <c r="I203" s="18">
        <v>4318.4279020000004</v>
      </c>
      <c r="J203" s="18">
        <v>112.131162</v>
      </c>
      <c r="K203" s="18">
        <v>0</v>
      </c>
      <c r="L203" s="19">
        <f t="shared" ref="L203:L209" si="0">SUM(F203:K203)</f>
        <v>433947.43906400009</v>
      </c>
      <c r="M203" s="8"/>
      <c r="N203" s="265"/>
    </row>
    <row r="204" spans="1:14" s="3" customFormat="1" ht="12.2" customHeight="1" x14ac:dyDescent="0.15">
      <c r="A204" s="1" t="s">
        <v>443</v>
      </c>
      <c r="B204" s="2" t="s">
        <v>341</v>
      </c>
      <c r="C204" s="2" t="s">
        <v>295</v>
      </c>
      <c r="D204" s="2" t="s">
        <v>431</v>
      </c>
      <c r="E204" s="6">
        <v>2200</v>
      </c>
      <c r="F204" s="18">
        <v>29524</v>
      </c>
      <c r="G204" s="18">
        <v>35192.341999999997</v>
      </c>
      <c r="H204" s="18">
        <v>199.12</v>
      </c>
      <c r="I204" s="18">
        <v>6952.5</v>
      </c>
      <c r="J204" s="18">
        <v>0</v>
      </c>
      <c r="K204" s="18">
        <v>0</v>
      </c>
      <c r="L204" s="19">
        <f t="shared" si="0"/>
        <v>71867.962</v>
      </c>
      <c r="M204" s="8"/>
      <c r="N204" s="265"/>
    </row>
    <row r="205" spans="1:14" s="3" customFormat="1" ht="12.2" customHeight="1" x14ac:dyDescent="0.15">
      <c r="A205" s="1" t="s">
        <v>444</v>
      </c>
      <c r="B205" s="2" t="s">
        <v>341</v>
      </c>
      <c r="C205" s="2" t="s">
        <v>296</v>
      </c>
      <c r="D205" s="2" t="s">
        <v>431</v>
      </c>
      <c r="E205" s="6">
        <v>2300</v>
      </c>
      <c r="F205" s="18">
        <v>149703.52171199999</v>
      </c>
      <c r="G205" s="18">
        <v>70924.905141999989</v>
      </c>
      <c r="H205" s="18">
        <v>41796.398035999999</v>
      </c>
      <c r="I205" s="18">
        <v>1455.3274779999999</v>
      </c>
      <c r="J205" s="18">
        <v>89.228282000000007</v>
      </c>
      <c r="K205" s="18">
        <v>2882.1282899999997</v>
      </c>
      <c r="L205" s="19">
        <f t="shared" si="0"/>
        <v>266851.50893999997</v>
      </c>
      <c r="M205" s="8"/>
      <c r="N205" s="265"/>
    </row>
    <row r="206" spans="1:14" s="3" customFormat="1" ht="12.2" customHeight="1" x14ac:dyDescent="0.15">
      <c r="A206" s="1" t="s">
        <v>445</v>
      </c>
      <c r="B206" s="2" t="s">
        <v>341</v>
      </c>
      <c r="C206" s="2" t="s">
        <v>297</v>
      </c>
      <c r="D206" s="2" t="s">
        <v>431</v>
      </c>
      <c r="E206" s="6">
        <v>2400</v>
      </c>
      <c r="F206" s="18">
        <v>277204.97000000003</v>
      </c>
      <c r="G206" s="18">
        <v>138979.19</v>
      </c>
      <c r="H206" s="18">
        <v>22962.97</v>
      </c>
      <c r="I206" s="18">
        <v>1389.54</v>
      </c>
      <c r="J206" s="18">
        <v>0</v>
      </c>
      <c r="K206" s="18">
        <v>226</v>
      </c>
      <c r="L206" s="19">
        <f t="shared" si="0"/>
        <v>440762.67</v>
      </c>
      <c r="M206" s="8"/>
      <c r="N206" s="265"/>
    </row>
    <row r="207" spans="1:14" s="3" customFormat="1" ht="12.2" customHeight="1" x14ac:dyDescent="0.15">
      <c r="A207" s="1" t="s">
        <v>446</v>
      </c>
      <c r="B207" s="2" t="s">
        <v>341</v>
      </c>
      <c r="C207" s="2" t="s">
        <v>298</v>
      </c>
      <c r="D207" s="2" t="s">
        <v>431</v>
      </c>
      <c r="E207" s="6">
        <v>2500</v>
      </c>
      <c r="F207" s="18">
        <v>75958.985388000016</v>
      </c>
      <c r="G207" s="18">
        <v>40577.032496000007</v>
      </c>
      <c r="H207" s="18">
        <v>15495.791168</v>
      </c>
      <c r="I207" s="18">
        <v>6441.405256</v>
      </c>
      <c r="J207" s="18">
        <v>0</v>
      </c>
      <c r="K207" s="18">
        <v>1285.3200360000001</v>
      </c>
      <c r="L207" s="19">
        <f t="shared" si="0"/>
        <v>139758.53434400001</v>
      </c>
      <c r="M207" s="8"/>
      <c r="N207" s="265"/>
    </row>
    <row r="208" spans="1:14" s="3" customFormat="1" ht="12.2" customHeight="1" x14ac:dyDescent="0.15">
      <c r="A208" s="1" t="s">
        <v>447</v>
      </c>
      <c r="B208" s="2" t="s">
        <v>341</v>
      </c>
      <c r="C208" s="2" t="s">
        <v>299</v>
      </c>
      <c r="D208" s="2" t="s">
        <v>431</v>
      </c>
      <c r="E208" s="6">
        <v>2600</v>
      </c>
      <c r="F208" s="18">
        <v>173202.28999999998</v>
      </c>
      <c r="G208" s="18">
        <v>120709.67000000003</v>
      </c>
      <c r="H208" s="18">
        <v>88879.621285999994</v>
      </c>
      <c r="I208" s="18">
        <v>120124.31883399999</v>
      </c>
      <c r="J208" s="18">
        <v>2709.53</v>
      </c>
      <c r="K208" s="18">
        <v>0</v>
      </c>
      <c r="L208" s="19">
        <f t="shared" si="0"/>
        <v>505625.43012000003</v>
      </c>
      <c r="M208" s="8"/>
      <c r="N208" s="265"/>
    </row>
    <row r="209" spans="1:14" s="3" customFormat="1" ht="12.2" customHeight="1" x14ac:dyDescent="0.15">
      <c r="A209" s="1" t="s">
        <v>448</v>
      </c>
      <c r="B209" s="2" t="s">
        <v>341</v>
      </c>
      <c r="C209" s="2" t="s">
        <v>300</v>
      </c>
      <c r="D209" s="2" t="s">
        <v>431</v>
      </c>
      <c r="E209" s="6">
        <v>2700</v>
      </c>
      <c r="F209" s="18">
        <v>0</v>
      </c>
      <c r="G209" s="18">
        <v>0</v>
      </c>
      <c r="H209" s="18">
        <v>327047.23</v>
      </c>
      <c r="I209" s="18">
        <v>0</v>
      </c>
      <c r="J209" s="18">
        <v>0</v>
      </c>
      <c r="K209" s="18">
        <v>0</v>
      </c>
      <c r="L209" s="19">
        <f t="shared" si="0"/>
        <v>327047.23</v>
      </c>
      <c r="M209" s="8"/>
      <c r="N209" s="265"/>
    </row>
    <row r="210" spans="1:14" s="3" customFormat="1" ht="12.2" customHeight="1" x14ac:dyDescent="0.15">
      <c r="A210" s="1" t="s">
        <v>449</v>
      </c>
      <c r="B210" s="2" t="s">
        <v>341</v>
      </c>
      <c r="C210" s="2" t="s">
        <v>343</v>
      </c>
      <c r="D210" s="2" t="s">
        <v>431</v>
      </c>
      <c r="E210" s="6">
        <v>2800</v>
      </c>
      <c r="F210" s="18">
        <v>45906.44</v>
      </c>
      <c r="G210" s="18">
        <v>25840.450000000004</v>
      </c>
      <c r="H210" s="18">
        <v>4202.8999999999996</v>
      </c>
      <c r="I210" s="18">
        <v>12796.67</v>
      </c>
      <c r="J210" s="18">
        <v>0</v>
      </c>
      <c r="K210" s="18">
        <v>9.99</v>
      </c>
      <c r="L210" s="19">
        <f>SUM(F210:K210)</f>
        <v>88756.450000000012</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2868591.7670999998</v>
      </c>
      <c r="G212" s="41">
        <f t="shared" si="1"/>
        <v>1487073.4016479999</v>
      </c>
      <c r="H212" s="41">
        <f t="shared" si="1"/>
        <v>524447.96048999997</v>
      </c>
      <c r="I212" s="41">
        <f t="shared" si="1"/>
        <v>236026.33946999998</v>
      </c>
      <c r="J212" s="41">
        <f t="shared" si="1"/>
        <v>8191.3394439999993</v>
      </c>
      <c r="K212" s="41">
        <f t="shared" si="1"/>
        <v>4403.4383259999995</v>
      </c>
      <c r="L212" s="41">
        <f t="shared" si="1"/>
        <v>5128734.2464779997</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1413363.25</v>
      </c>
      <c r="G216" s="18">
        <v>746331.07298499986</v>
      </c>
      <c r="H216" s="18">
        <v>8779.23</v>
      </c>
      <c r="I216" s="18">
        <v>59798.92</v>
      </c>
      <c r="J216" s="18">
        <v>11529.29</v>
      </c>
      <c r="K216" s="18">
        <v>0</v>
      </c>
      <c r="L216" s="19">
        <f>SUM(F216:K216)</f>
        <v>2239801.7629849999</v>
      </c>
      <c r="M216" s="8"/>
      <c r="N216" s="265"/>
    </row>
    <row r="217" spans="1:14" s="3" customFormat="1" ht="12.2" customHeight="1" x14ac:dyDescent="0.15">
      <c r="A217" s="1" t="s">
        <v>439</v>
      </c>
      <c r="B217" s="2" t="s">
        <v>346</v>
      </c>
      <c r="C217" s="2" t="s">
        <v>291</v>
      </c>
      <c r="D217" s="2" t="s">
        <v>431</v>
      </c>
      <c r="E217" s="6">
        <v>1200</v>
      </c>
      <c r="F217" s="18">
        <v>252473.39</v>
      </c>
      <c r="G217" s="18">
        <v>149967.17000000001</v>
      </c>
      <c r="H217" s="18">
        <v>0</v>
      </c>
      <c r="I217" s="18">
        <v>445.53999999999996</v>
      </c>
      <c r="J217" s="18">
        <v>0</v>
      </c>
      <c r="K217" s="18">
        <v>0</v>
      </c>
      <c r="L217" s="19">
        <f>SUM(F217:K217)</f>
        <v>402886.10000000003</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20426</v>
      </c>
      <c r="G219" s="18">
        <v>4130.04</v>
      </c>
      <c r="H219" s="18">
        <v>8527.5</v>
      </c>
      <c r="I219" s="18">
        <v>0</v>
      </c>
      <c r="J219" s="18">
        <v>120.88</v>
      </c>
      <c r="K219" s="18">
        <v>1050</v>
      </c>
      <c r="L219" s="19">
        <f>SUM(F219:K219)</f>
        <v>34254.42</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223940.68</v>
      </c>
      <c r="G221" s="18">
        <v>124696.12000000002</v>
      </c>
      <c r="H221" s="18">
        <v>38448.46</v>
      </c>
      <c r="I221" s="18">
        <v>4496.1563470000001</v>
      </c>
      <c r="J221" s="18">
        <v>97.202456999999981</v>
      </c>
      <c r="K221" s="18">
        <v>0</v>
      </c>
      <c r="L221" s="19">
        <f t="shared" ref="L221:L227" si="2">SUM(F221:K221)</f>
        <v>391678.61880400003</v>
      </c>
      <c r="M221" s="8"/>
      <c r="N221" s="265"/>
    </row>
    <row r="222" spans="1:14" s="3" customFormat="1" ht="12.2" customHeight="1" x14ac:dyDescent="0.15">
      <c r="A222" s="1" t="s">
        <v>443</v>
      </c>
      <c r="B222" s="2" t="s">
        <v>346</v>
      </c>
      <c r="C222" s="2" t="s">
        <v>295</v>
      </c>
      <c r="D222" s="2" t="s">
        <v>431</v>
      </c>
      <c r="E222" s="6">
        <v>2200</v>
      </c>
      <c r="F222" s="18">
        <v>29704</v>
      </c>
      <c r="G222" s="18">
        <v>28909.741999999998</v>
      </c>
      <c r="H222" s="18">
        <v>89.63</v>
      </c>
      <c r="I222" s="18">
        <v>3225.83</v>
      </c>
      <c r="J222" s="18">
        <v>0</v>
      </c>
      <c r="K222" s="18">
        <v>0</v>
      </c>
      <c r="L222" s="19">
        <f t="shared" si="2"/>
        <v>61929.201999999997</v>
      </c>
      <c r="M222" s="8"/>
      <c r="N222" s="265"/>
    </row>
    <row r="223" spans="1:14" s="3" customFormat="1" ht="12.2" customHeight="1" x14ac:dyDescent="0.15">
      <c r="A223" s="1" t="s">
        <v>444</v>
      </c>
      <c r="B223" s="2" t="s">
        <v>346</v>
      </c>
      <c r="C223" s="2" t="s">
        <v>296</v>
      </c>
      <c r="D223" s="2" t="s">
        <v>431</v>
      </c>
      <c r="E223" s="6">
        <v>2300</v>
      </c>
      <c r="F223" s="18">
        <v>130235.58663199998</v>
      </c>
      <c r="G223" s="18">
        <v>61518.294487000006</v>
      </c>
      <c r="H223" s="18">
        <v>40748.39054600001</v>
      </c>
      <c r="I223" s="18">
        <v>1367.058583</v>
      </c>
      <c r="J223" s="18">
        <v>77.348776999999998</v>
      </c>
      <c r="K223" s="18">
        <v>2758.7965649999996</v>
      </c>
      <c r="L223" s="19">
        <f t="shared" si="2"/>
        <v>236705.47558999999</v>
      </c>
      <c r="M223" s="8"/>
      <c r="N223" s="265"/>
    </row>
    <row r="224" spans="1:14" s="3" customFormat="1" ht="12.2" customHeight="1" x14ac:dyDescent="0.15">
      <c r="A224" s="1" t="s">
        <v>445</v>
      </c>
      <c r="B224" s="2" t="s">
        <v>346</v>
      </c>
      <c r="C224" s="2" t="s">
        <v>297</v>
      </c>
      <c r="D224" s="2" t="s">
        <v>431</v>
      </c>
      <c r="E224" s="6">
        <v>2400</v>
      </c>
      <c r="F224" s="18">
        <v>224127.22999999998</v>
      </c>
      <c r="G224" s="18">
        <v>174604.15000000005</v>
      </c>
      <c r="H224" s="18">
        <v>20027.060000000001</v>
      </c>
      <c r="I224" s="18">
        <v>2105.02</v>
      </c>
      <c r="J224" s="18">
        <v>0</v>
      </c>
      <c r="K224" s="18">
        <v>772.17</v>
      </c>
      <c r="L224" s="19">
        <f t="shared" si="2"/>
        <v>421635.63</v>
      </c>
      <c r="M224" s="8"/>
      <c r="N224" s="265"/>
    </row>
    <row r="225" spans="1:14" s="3" customFormat="1" ht="12.2" customHeight="1" x14ac:dyDescent="0.15">
      <c r="A225" s="1" t="s">
        <v>446</v>
      </c>
      <c r="B225" s="2" t="s">
        <v>346</v>
      </c>
      <c r="C225" s="2" t="s">
        <v>298</v>
      </c>
      <c r="D225" s="2" t="s">
        <v>431</v>
      </c>
      <c r="E225" s="6">
        <v>2500</v>
      </c>
      <c r="F225" s="18">
        <v>65846.102718000009</v>
      </c>
      <c r="G225" s="18">
        <v>35174.764856000009</v>
      </c>
      <c r="H225" s="18">
        <v>13432.742047999998</v>
      </c>
      <c r="I225" s="18">
        <v>5583.8217159999995</v>
      </c>
      <c r="J225" s="18">
        <v>0</v>
      </c>
      <c r="K225" s="18">
        <v>1114.1975459999999</v>
      </c>
      <c r="L225" s="19">
        <f t="shared" si="2"/>
        <v>121151.62888400002</v>
      </c>
      <c r="M225" s="8"/>
      <c r="N225" s="265"/>
    </row>
    <row r="226" spans="1:14" s="3" customFormat="1" ht="12.2" customHeight="1" x14ac:dyDescent="0.15">
      <c r="A226" s="1" t="s">
        <v>447</v>
      </c>
      <c r="B226" s="2" t="s">
        <v>346</v>
      </c>
      <c r="C226" s="2" t="s">
        <v>299</v>
      </c>
      <c r="D226" s="2" t="s">
        <v>431</v>
      </c>
      <c r="E226" s="6">
        <v>2600</v>
      </c>
      <c r="F226" s="18">
        <v>141009.10999999999</v>
      </c>
      <c r="G226" s="18">
        <v>92380.039999999979</v>
      </c>
      <c r="H226" s="18">
        <v>113171.170671</v>
      </c>
      <c r="I226" s="18">
        <v>88829.801149000006</v>
      </c>
      <c r="J226" s="18">
        <v>1323.07</v>
      </c>
      <c r="K226" s="18">
        <v>0</v>
      </c>
      <c r="L226" s="19">
        <f t="shared" si="2"/>
        <v>436713.19181999995</v>
      </c>
      <c r="M226" s="8"/>
      <c r="N226" s="265"/>
    </row>
    <row r="227" spans="1:14" s="3" customFormat="1" ht="12.2" customHeight="1" x14ac:dyDescent="0.15">
      <c r="A227" s="1" t="s">
        <v>448</v>
      </c>
      <c r="B227" s="2" t="s">
        <v>346</v>
      </c>
      <c r="C227" s="2" t="s">
        <v>300</v>
      </c>
      <c r="D227" s="2" t="s">
        <v>431</v>
      </c>
      <c r="E227" s="6">
        <v>2700</v>
      </c>
      <c r="F227" s="18">
        <v>0</v>
      </c>
      <c r="G227" s="18">
        <v>0</v>
      </c>
      <c r="H227" s="18">
        <v>192860.71</v>
      </c>
      <c r="I227" s="18">
        <v>0</v>
      </c>
      <c r="J227" s="18">
        <v>0</v>
      </c>
      <c r="K227" s="18">
        <v>0</v>
      </c>
      <c r="L227" s="19">
        <f t="shared" si="2"/>
        <v>192860.71</v>
      </c>
      <c r="M227" s="8"/>
      <c r="N227" s="265"/>
    </row>
    <row r="228" spans="1:14" s="3" customFormat="1" ht="12.2" customHeight="1" x14ac:dyDescent="0.15">
      <c r="A228" s="1" t="s">
        <v>449</v>
      </c>
      <c r="B228" s="2" t="s">
        <v>346</v>
      </c>
      <c r="C228" s="2" t="s">
        <v>343</v>
      </c>
      <c r="D228" s="2" t="s">
        <v>431</v>
      </c>
      <c r="E228" s="6">
        <v>2800</v>
      </c>
      <c r="F228" s="18">
        <v>52813.18</v>
      </c>
      <c r="G228" s="18">
        <v>29465.05</v>
      </c>
      <c r="H228" s="18">
        <v>16089.75</v>
      </c>
      <c r="I228" s="18">
        <v>12796.67</v>
      </c>
      <c r="J228" s="18">
        <v>0</v>
      </c>
      <c r="K228" s="18">
        <v>0</v>
      </c>
      <c r="L228" s="19">
        <f>SUM(F228:K228)</f>
        <v>111164.65</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2553938.52935</v>
      </c>
      <c r="G230" s="41">
        <f>SUM(G216:G229)</f>
        <v>1447176.4443280001</v>
      </c>
      <c r="H230" s="41">
        <f>SUM(H216:H229)</f>
        <v>452174.64326499996</v>
      </c>
      <c r="I230" s="41">
        <f>SUM(I216:I229)</f>
        <v>178648.81779500004</v>
      </c>
      <c r="J230" s="41">
        <f>SUM(J216:J229)</f>
        <v>13147.791233999998</v>
      </c>
      <c r="K230" s="41">
        <f t="shared" si="3"/>
        <v>5695.164111</v>
      </c>
      <c r="L230" s="41">
        <f t="shared" si="3"/>
        <v>4650781.3900830001</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1471454.3099999998</v>
      </c>
      <c r="G234" s="18">
        <v>746302.02500499983</v>
      </c>
      <c r="H234" s="18">
        <v>26732.05</v>
      </c>
      <c r="I234" s="18">
        <v>74151.72</v>
      </c>
      <c r="J234" s="18">
        <v>3600.9500000000007</v>
      </c>
      <c r="K234" s="18">
        <v>731.89</v>
      </c>
      <c r="L234" s="19">
        <f>SUM(F234:K234)</f>
        <v>2322972.9450050001</v>
      </c>
      <c r="M234" s="8"/>
      <c r="N234" s="265"/>
    </row>
    <row r="235" spans="1:14" s="3" customFormat="1" ht="12.2" customHeight="1" x14ac:dyDescent="0.15">
      <c r="A235" s="1" t="s">
        <v>439</v>
      </c>
      <c r="B235" s="2" t="s">
        <v>350</v>
      </c>
      <c r="C235" s="2" t="s">
        <v>291</v>
      </c>
      <c r="D235" s="2" t="s">
        <v>431</v>
      </c>
      <c r="E235" s="6">
        <v>1200</v>
      </c>
      <c r="F235" s="18">
        <v>209049.22</v>
      </c>
      <c r="G235" s="18">
        <v>112912.25</v>
      </c>
      <c r="H235" s="18">
        <v>379801.65</v>
      </c>
      <c r="I235" s="18">
        <v>229.76</v>
      </c>
      <c r="J235" s="18">
        <v>0</v>
      </c>
      <c r="K235" s="18">
        <v>0</v>
      </c>
      <c r="L235" s="19">
        <f>SUM(F235:K235)</f>
        <v>701992.88</v>
      </c>
      <c r="M235" s="8"/>
      <c r="N235" s="265"/>
    </row>
    <row r="236" spans="1:14" s="3" customFormat="1" ht="12.2" customHeight="1" x14ac:dyDescent="0.15">
      <c r="A236" s="1" t="s">
        <v>440</v>
      </c>
      <c r="B236" s="2" t="s">
        <v>350</v>
      </c>
      <c r="C236" s="2" t="s">
        <v>292</v>
      </c>
      <c r="D236" s="2" t="s">
        <v>431</v>
      </c>
      <c r="E236" s="6">
        <v>1300</v>
      </c>
      <c r="F236" s="18">
        <v>64157.78</v>
      </c>
      <c r="G236" s="18">
        <v>23716.500000000004</v>
      </c>
      <c r="H236" s="18">
        <v>5261.47</v>
      </c>
      <c r="I236" s="18">
        <v>6346.91</v>
      </c>
      <c r="J236" s="18">
        <v>0</v>
      </c>
      <c r="K236" s="18">
        <v>0</v>
      </c>
      <c r="L236" s="19">
        <f>SUM(F236:K236)</f>
        <v>99482.66</v>
      </c>
      <c r="M236" s="8"/>
      <c r="N236" s="265"/>
    </row>
    <row r="237" spans="1:14" s="3" customFormat="1" ht="12.2" customHeight="1" x14ac:dyDescent="0.15">
      <c r="A237" s="1" t="s">
        <v>441</v>
      </c>
      <c r="B237" s="2" t="s">
        <v>350</v>
      </c>
      <c r="C237" s="2" t="s">
        <v>293</v>
      </c>
      <c r="D237" s="2" t="s">
        <v>431</v>
      </c>
      <c r="E237" s="6">
        <v>1400</v>
      </c>
      <c r="F237" s="18">
        <v>78450.8</v>
      </c>
      <c r="G237" s="18">
        <v>15112.55</v>
      </c>
      <c r="H237" s="18">
        <v>21488.12</v>
      </c>
      <c r="I237" s="18">
        <v>9605.82</v>
      </c>
      <c r="J237" s="18">
        <v>3475.44</v>
      </c>
      <c r="K237" s="18">
        <v>9585.52</v>
      </c>
      <c r="L237" s="19">
        <f>SUM(F237:K237)</f>
        <v>137718.25</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268221.34999999998</v>
      </c>
      <c r="G239" s="18">
        <v>146640.67999999996</v>
      </c>
      <c r="H239" s="18">
        <v>75776.039999999994</v>
      </c>
      <c r="I239" s="18">
        <v>8126.2957510000006</v>
      </c>
      <c r="J239" s="18">
        <v>92.25638099999999</v>
      </c>
      <c r="K239" s="18">
        <v>25</v>
      </c>
      <c r="L239" s="19">
        <f t="shared" ref="L239:L245" si="4">SUM(F239:K239)</f>
        <v>498881.62213199987</v>
      </c>
      <c r="M239" s="8"/>
      <c r="N239" s="265"/>
    </row>
    <row r="240" spans="1:14" s="3" customFormat="1" ht="12.2" customHeight="1" x14ac:dyDescent="0.15">
      <c r="A240" s="1" t="s">
        <v>443</v>
      </c>
      <c r="B240" s="2" t="s">
        <v>350</v>
      </c>
      <c r="C240" s="2" t="s">
        <v>295</v>
      </c>
      <c r="D240" s="2" t="s">
        <v>431</v>
      </c>
      <c r="E240" s="6">
        <v>2200</v>
      </c>
      <c r="F240" s="18">
        <v>70468</v>
      </c>
      <c r="G240" s="18">
        <v>34016.326000000008</v>
      </c>
      <c r="H240" s="18">
        <v>106.95</v>
      </c>
      <c r="I240" s="18">
        <v>14289.91</v>
      </c>
      <c r="J240" s="18">
        <v>749.54</v>
      </c>
      <c r="K240" s="18">
        <v>0</v>
      </c>
      <c r="L240" s="19">
        <f t="shared" si="4"/>
        <v>119630.726</v>
      </c>
      <c r="M240" s="8"/>
      <c r="N240" s="265"/>
    </row>
    <row r="241" spans="1:14" s="3" customFormat="1" ht="12.2" customHeight="1" x14ac:dyDescent="0.15">
      <c r="A241" s="1" t="s">
        <v>444</v>
      </c>
      <c r="B241" s="2" t="s">
        <v>350</v>
      </c>
      <c r="C241" s="2" t="s">
        <v>296</v>
      </c>
      <c r="D241" s="2" t="s">
        <v>431</v>
      </c>
      <c r="E241" s="6">
        <v>2300</v>
      </c>
      <c r="F241" s="18">
        <v>123836.57165599999</v>
      </c>
      <c r="G241" s="18">
        <v>58405.450370999999</v>
      </c>
      <c r="H241" s="18">
        <v>40401.071418000007</v>
      </c>
      <c r="I241" s="18">
        <v>1337.8239389999999</v>
      </c>
      <c r="J241" s="18">
        <v>73.412941000000004</v>
      </c>
      <c r="K241" s="18">
        <v>2717.9151449999999</v>
      </c>
      <c r="L241" s="19">
        <f t="shared" si="4"/>
        <v>226772.24546999997</v>
      </c>
      <c r="M241" s="8"/>
      <c r="N241" s="265"/>
    </row>
    <row r="242" spans="1:14" s="3" customFormat="1" ht="12.2" customHeight="1" x14ac:dyDescent="0.15">
      <c r="A242" s="1" t="s">
        <v>445</v>
      </c>
      <c r="B242" s="2" t="s">
        <v>350</v>
      </c>
      <c r="C242" s="2" t="s">
        <v>297</v>
      </c>
      <c r="D242" s="2" t="s">
        <v>431</v>
      </c>
      <c r="E242" s="6">
        <v>2400</v>
      </c>
      <c r="F242" s="18">
        <v>289934.13</v>
      </c>
      <c r="G242" s="18">
        <v>170144.59999999998</v>
      </c>
      <c r="H242" s="18">
        <v>22718.260000000002</v>
      </c>
      <c r="I242" s="18">
        <v>3701.78</v>
      </c>
      <c r="J242" s="18">
        <v>0</v>
      </c>
      <c r="K242" s="18">
        <v>8458.2099999999991</v>
      </c>
      <c r="L242" s="19">
        <f t="shared" si="4"/>
        <v>494956.98000000004</v>
      </c>
      <c r="M242" s="8"/>
      <c r="N242" s="265"/>
    </row>
    <row r="243" spans="1:14" s="3" customFormat="1" ht="12.2" customHeight="1" x14ac:dyDescent="0.15">
      <c r="A243" s="1" t="s">
        <v>446</v>
      </c>
      <c r="B243" s="2" t="s">
        <v>350</v>
      </c>
      <c r="C243" s="2" t="s">
        <v>298</v>
      </c>
      <c r="D243" s="2" t="s">
        <v>431</v>
      </c>
      <c r="E243" s="6">
        <v>2500</v>
      </c>
      <c r="F243" s="18">
        <v>62495.571894000001</v>
      </c>
      <c r="G243" s="18">
        <v>33384.922648000007</v>
      </c>
      <c r="H243" s="18">
        <v>12749.226784</v>
      </c>
      <c r="I243" s="18">
        <v>5299.6930279999997</v>
      </c>
      <c r="J243" s="18">
        <v>0</v>
      </c>
      <c r="K243" s="18">
        <v>1057.502418</v>
      </c>
      <c r="L243" s="19">
        <f t="shared" si="4"/>
        <v>114986.916772</v>
      </c>
      <c r="M243" s="8"/>
      <c r="N243" s="265"/>
    </row>
    <row r="244" spans="1:14" s="3" customFormat="1" ht="12.2" customHeight="1" x14ac:dyDescent="0.15">
      <c r="A244" s="1" t="s">
        <v>447</v>
      </c>
      <c r="B244" s="2" t="s">
        <v>350</v>
      </c>
      <c r="C244" s="2" t="s">
        <v>299</v>
      </c>
      <c r="D244" s="2" t="s">
        <v>431</v>
      </c>
      <c r="E244" s="6">
        <v>2600</v>
      </c>
      <c r="F244" s="18">
        <v>147422.91</v>
      </c>
      <c r="G244" s="18">
        <v>96945.319999999992</v>
      </c>
      <c r="H244" s="18">
        <v>162816.21804299997</v>
      </c>
      <c r="I244" s="18">
        <v>129046.65001700001</v>
      </c>
      <c r="J244" s="18">
        <v>7079.59</v>
      </c>
      <c r="K244" s="18">
        <v>0</v>
      </c>
      <c r="L244" s="19">
        <f t="shared" si="4"/>
        <v>543310.68805999996</v>
      </c>
      <c r="M244" s="8"/>
      <c r="N244" s="265"/>
    </row>
    <row r="245" spans="1:14" s="3" customFormat="1" ht="12.2" customHeight="1" x14ac:dyDescent="0.15">
      <c r="A245" s="1" t="s">
        <v>448</v>
      </c>
      <c r="B245" s="2" t="s">
        <v>350</v>
      </c>
      <c r="C245" s="2" t="s">
        <v>300</v>
      </c>
      <c r="D245" s="2" t="s">
        <v>431</v>
      </c>
      <c r="E245" s="6">
        <v>2700</v>
      </c>
      <c r="F245" s="18">
        <v>0</v>
      </c>
      <c r="G245" s="18">
        <v>0</v>
      </c>
      <c r="H245" s="18">
        <v>297302.91000000003</v>
      </c>
      <c r="I245" s="18">
        <v>0</v>
      </c>
      <c r="J245" s="18">
        <v>0</v>
      </c>
      <c r="K245" s="18">
        <v>0</v>
      </c>
      <c r="L245" s="19">
        <f t="shared" si="4"/>
        <v>297302.91000000003</v>
      </c>
      <c r="M245" s="8"/>
      <c r="N245" s="265"/>
    </row>
    <row r="246" spans="1:14" s="3" customFormat="1" ht="12.2" customHeight="1" x14ac:dyDescent="0.15">
      <c r="A246" s="1" t="s">
        <v>449</v>
      </c>
      <c r="B246" s="2" t="s">
        <v>350</v>
      </c>
      <c r="C246" s="2" t="s">
        <v>343</v>
      </c>
      <c r="D246" s="2" t="s">
        <v>431</v>
      </c>
      <c r="E246" s="6">
        <v>2800</v>
      </c>
      <c r="F246" s="18">
        <v>88221.17</v>
      </c>
      <c r="G246" s="18">
        <v>49708.130000000005</v>
      </c>
      <c r="H246" s="18">
        <v>16851.390000000003</v>
      </c>
      <c r="I246" s="18">
        <v>12796.57</v>
      </c>
      <c r="J246" s="18">
        <v>0</v>
      </c>
      <c r="K246" s="18">
        <v>0</v>
      </c>
      <c r="L246" s="19">
        <f>SUM(F246:K246)</f>
        <v>167577.26</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2873711.8135499996</v>
      </c>
      <c r="G248" s="41">
        <f t="shared" si="5"/>
        <v>1487288.7540239999</v>
      </c>
      <c r="H248" s="41">
        <f t="shared" si="5"/>
        <v>1062005.3562449999</v>
      </c>
      <c r="I248" s="41">
        <f t="shared" si="5"/>
        <v>264932.93273499998</v>
      </c>
      <c r="J248" s="41">
        <f t="shared" si="5"/>
        <v>15071.189322000002</v>
      </c>
      <c r="K248" s="41">
        <f t="shared" si="5"/>
        <v>22576.037562999998</v>
      </c>
      <c r="L248" s="41">
        <f t="shared" si="5"/>
        <v>5725586.083438999</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8296242.1099999994</v>
      </c>
      <c r="G258" s="41">
        <f t="shared" si="8"/>
        <v>4421538.5999999996</v>
      </c>
      <c r="H258" s="41">
        <f t="shared" si="8"/>
        <v>2038627.96</v>
      </c>
      <c r="I258" s="41">
        <f t="shared" si="8"/>
        <v>679608.09000000008</v>
      </c>
      <c r="J258" s="41">
        <f t="shared" si="8"/>
        <v>36410.32</v>
      </c>
      <c r="K258" s="41">
        <f t="shared" si="8"/>
        <v>32674.639999999999</v>
      </c>
      <c r="L258" s="41">
        <f t="shared" si="8"/>
        <v>15505101.719999999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1475000</v>
      </c>
      <c r="L261" s="19">
        <f>SUM(F261:K261)</f>
        <v>1475000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437263.75</v>
      </c>
      <c r="L262" s="19">
        <f>SUM(F262:K262)</f>
        <v>437263.75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41000</v>
      </c>
      <c r="L267" s="19">
        <f t="shared" si="9"/>
        <v>41000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1953263.75</v>
      </c>
      <c r="L271" s="41">
        <f t="shared" si="9"/>
        <v>1953263.75</v>
      </c>
      <c r="M271" s="8"/>
      <c r="N271" s="265"/>
    </row>
    <row r="272" spans="1:14" s="34" customFormat="1" ht="12.2" customHeight="1" thickTop="1" x14ac:dyDescent="0.2">
      <c r="A272" s="43" t="s">
        <v>464</v>
      </c>
      <c r="B272" s="40">
        <v>10</v>
      </c>
      <c r="C272" s="40">
        <v>18</v>
      </c>
      <c r="D272" s="39" t="s">
        <v>431</v>
      </c>
      <c r="E272" s="40"/>
      <c r="F272" s="42">
        <f t="shared" ref="F272:L272" si="11">F258+F271</f>
        <v>8296242.1099999994</v>
      </c>
      <c r="G272" s="42">
        <f t="shared" si="11"/>
        <v>4421538.5999999996</v>
      </c>
      <c r="H272" s="42">
        <f t="shared" si="11"/>
        <v>2038627.96</v>
      </c>
      <c r="I272" s="42">
        <f t="shared" si="11"/>
        <v>679608.09000000008</v>
      </c>
      <c r="J272" s="42">
        <f t="shared" si="11"/>
        <v>36410.32</v>
      </c>
      <c r="K272" s="42">
        <f t="shared" si="11"/>
        <v>1985938.39</v>
      </c>
      <c r="L272" s="42">
        <f t="shared" si="11"/>
        <v>17458365.469999999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213710.4</v>
      </c>
      <c r="G277" s="18">
        <v>106744.89</v>
      </c>
      <c r="H277" s="18">
        <v>7796.66</v>
      </c>
      <c r="I277" s="18">
        <v>42751.05</v>
      </c>
      <c r="J277" s="18">
        <v>24390.560000000001</v>
      </c>
      <c r="K277" s="18">
        <v>529.59</v>
      </c>
      <c r="L277" s="19">
        <f>SUM(F277:K277)</f>
        <v>395923.14999999997</v>
      </c>
      <c r="M277" s="8"/>
      <c r="N277" s="265"/>
    </row>
    <row r="278" spans="1:14" s="3" customFormat="1" ht="12.2" customHeight="1" x14ac:dyDescent="0.15">
      <c r="A278" s="1" t="s">
        <v>439</v>
      </c>
      <c r="B278" s="2" t="s">
        <v>357</v>
      </c>
      <c r="C278" s="2" t="s">
        <v>291</v>
      </c>
      <c r="D278" s="2" t="s">
        <v>431</v>
      </c>
      <c r="E278" s="6">
        <v>1200</v>
      </c>
      <c r="F278" s="18">
        <v>108563.8</v>
      </c>
      <c r="G278" s="18">
        <v>61402.89</v>
      </c>
      <c r="H278" s="18">
        <v>0</v>
      </c>
      <c r="I278" s="18">
        <v>3932.61</v>
      </c>
      <c r="J278" s="18">
        <v>0</v>
      </c>
      <c r="K278" s="18">
        <v>0</v>
      </c>
      <c r="L278" s="19">
        <f>SUM(F278:K278)</f>
        <v>173899.3</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6830.9</v>
      </c>
      <c r="G280" s="18">
        <v>1661.59</v>
      </c>
      <c r="H280" s="18">
        <v>2544</v>
      </c>
      <c r="I280" s="18">
        <v>1916.17</v>
      </c>
      <c r="J280" s="18">
        <v>635.01</v>
      </c>
      <c r="K280" s="18">
        <v>0</v>
      </c>
      <c r="L280" s="19">
        <f>SUM(F280:K280)</f>
        <v>13587.67</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62126.3</v>
      </c>
      <c r="G282" s="18">
        <v>39993.56</v>
      </c>
      <c r="H282" s="18">
        <v>572.57000000000005</v>
      </c>
      <c r="I282" s="18">
        <v>3245.51</v>
      </c>
      <c r="J282" s="18">
        <v>0</v>
      </c>
      <c r="K282" s="18">
        <v>0</v>
      </c>
      <c r="L282" s="19">
        <f t="shared" ref="L282:L288" si="12">SUM(F282:K282)</f>
        <v>105937.94</v>
      </c>
      <c r="M282" s="8"/>
      <c r="N282" s="265"/>
    </row>
    <row r="283" spans="1:14" s="3" customFormat="1" ht="12.2" customHeight="1" x14ac:dyDescent="0.15">
      <c r="A283" s="1" t="s">
        <v>443</v>
      </c>
      <c r="B283" s="2" t="s">
        <v>357</v>
      </c>
      <c r="C283" s="2" t="s">
        <v>295</v>
      </c>
      <c r="D283" s="2" t="s">
        <v>431</v>
      </c>
      <c r="E283" s="6">
        <v>2200</v>
      </c>
      <c r="F283" s="18">
        <v>32668.240000000002</v>
      </c>
      <c r="G283" s="18">
        <v>3771.19</v>
      </c>
      <c r="H283" s="18">
        <v>22808.9</v>
      </c>
      <c r="I283" s="18">
        <v>965.98</v>
      </c>
      <c r="J283" s="18">
        <v>0</v>
      </c>
      <c r="K283" s="18">
        <v>0</v>
      </c>
      <c r="L283" s="19">
        <f t="shared" si="12"/>
        <v>60214.310000000005</v>
      </c>
      <c r="M283" s="8"/>
      <c r="N283" s="265"/>
    </row>
    <row r="284" spans="1:14" s="3" customFormat="1" ht="12.2" customHeight="1" x14ac:dyDescent="0.15">
      <c r="A284" s="1" t="s">
        <v>444</v>
      </c>
      <c r="B284" s="2" t="s">
        <v>357</v>
      </c>
      <c r="C284" s="2" t="s">
        <v>296</v>
      </c>
      <c r="D284" s="2" t="s">
        <v>431</v>
      </c>
      <c r="E284" s="6">
        <v>2300</v>
      </c>
      <c r="F284" s="18">
        <v>0</v>
      </c>
      <c r="G284" s="18">
        <v>0</v>
      </c>
      <c r="H284" s="18">
        <v>5158.9399999999996</v>
      </c>
      <c r="I284" s="18">
        <v>1591.3</v>
      </c>
      <c r="J284" s="18">
        <v>0</v>
      </c>
      <c r="K284" s="18">
        <v>0</v>
      </c>
      <c r="L284" s="19">
        <f t="shared" si="12"/>
        <v>6750.24</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5320.46</v>
      </c>
      <c r="I286" s="18">
        <v>0</v>
      </c>
      <c r="J286" s="18">
        <v>0</v>
      </c>
      <c r="K286" s="18">
        <v>0</v>
      </c>
      <c r="L286" s="19">
        <f t="shared" si="12"/>
        <v>5320.46</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1859</v>
      </c>
      <c r="J287" s="18">
        <v>41123.01</v>
      </c>
      <c r="K287" s="18">
        <v>0</v>
      </c>
      <c r="L287" s="19">
        <f t="shared" si="12"/>
        <v>42982.01</v>
      </c>
      <c r="M287" s="8"/>
      <c r="N287" s="265"/>
    </row>
    <row r="288" spans="1:14" s="3" customFormat="1" ht="12.2" customHeight="1" x14ac:dyDescent="0.15">
      <c r="A288" s="1" t="s">
        <v>448</v>
      </c>
      <c r="B288" s="2" t="s">
        <v>357</v>
      </c>
      <c r="C288" s="2" t="s">
        <v>300</v>
      </c>
      <c r="D288" s="2" t="s">
        <v>431</v>
      </c>
      <c r="E288" s="6">
        <v>2700</v>
      </c>
      <c r="F288" s="18">
        <v>0</v>
      </c>
      <c r="G288" s="18">
        <v>0</v>
      </c>
      <c r="H288" s="18">
        <v>3679.89</v>
      </c>
      <c r="I288" s="18">
        <v>0</v>
      </c>
      <c r="J288" s="18">
        <v>0</v>
      </c>
      <c r="K288" s="18">
        <v>0</v>
      </c>
      <c r="L288" s="19">
        <f t="shared" si="12"/>
        <v>3679.89</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423899.64</v>
      </c>
      <c r="G291" s="42">
        <f t="shared" si="13"/>
        <v>213574.12</v>
      </c>
      <c r="H291" s="42">
        <f t="shared" si="13"/>
        <v>47881.420000000006</v>
      </c>
      <c r="I291" s="42">
        <f t="shared" si="13"/>
        <v>56261.62000000001</v>
      </c>
      <c r="J291" s="42">
        <f t="shared" si="13"/>
        <v>66148.58</v>
      </c>
      <c r="K291" s="42">
        <f t="shared" si="13"/>
        <v>529.59</v>
      </c>
      <c r="L291" s="41">
        <f t="shared" si="13"/>
        <v>808294.97000000009</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33047.64</v>
      </c>
      <c r="G296" s="18">
        <v>14943.11</v>
      </c>
      <c r="H296" s="18">
        <v>6758.64</v>
      </c>
      <c r="I296" s="18">
        <v>39695.06</v>
      </c>
      <c r="J296" s="18">
        <v>21143.29</v>
      </c>
      <c r="K296" s="18">
        <v>4330.33</v>
      </c>
      <c r="L296" s="19">
        <f>SUM(F296:K296)</f>
        <v>119918.06999999999</v>
      </c>
      <c r="M296" s="8"/>
      <c r="N296" s="265"/>
    </row>
    <row r="297" spans="1:14" s="3" customFormat="1" ht="12.2" customHeight="1" x14ac:dyDescent="0.15">
      <c r="A297" s="1" t="s">
        <v>439</v>
      </c>
      <c r="B297" s="2" t="s">
        <v>358</v>
      </c>
      <c r="C297" s="2" t="s">
        <v>291</v>
      </c>
      <c r="D297" s="2" t="s">
        <v>431</v>
      </c>
      <c r="E297" s="6">
        <v>1200</v>
      </c>
      <c r="F297" s="18">
        <v>85006.6</v>
      </c>
      <c r="G297" s="18">
        <v>53227.95</v>
      </c>
      <c r="H297" s="18">
        <v>0</v>
      </c>
      <c r="I297" s="18">
        <v>2268.54</v>
      </c>
      <c r="J297" s="18">
        <v>0</v>
      </c>
      <c r="K297" s="18">
        <v>0</v>
      </c>
      <c r="L297" s="19">
        <f>SUM(F297:K297)</f>
        <v>140503.09</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5921.46</v>
      </c>
      <c r="G299" s="18">
        <v>1440.37</v>
      </c>
      <c r="H299" s="18">
        <v>2205.3000000000002</v>
      </c>
      <c r="I299" s="18">
        <v>4550.51</v>
      </c>
      <c r="J299" s="18">
        <v>550.47</v>
      </c>
      <c r="K299" s="18">
        <v>0</v>
      </c>
      <c r="L299" s="19">
        <f>SUM(F299:K299)</f>
        <v>14668.11</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53855.05</v>
      </c>
      <c r="G301" s="18">
        <v>34668.980000000003</v>
      </c>
      <c r="H301" s="18">
        <v>496.34</v>
      </c>
      <c r="I301" s="18">
        <v>809.55</v>
      </c>
      <c r="J301" s="18">
        <v>0</v>
      </c>
      <c r="K301" s="18">
        <v>0</v>
      </c>
      <c r="L301" s="19">
        <f t="shared" ref="L301:L307" si="14">SUM(F301:K301)</f>
        <v>89829.92</v>
      </c>
      <c r="M301" s="8"/>
      <c r="N301" s="265"/>
    </row>
    <row r="302" spans="1:14" s="3" customFormat="1" ht="12.2" customHeight="1" x14ac:dyDescent="0.15">
      <c r="A302" s="1" t="s">
        <v>443</v>
      </c>
      <c r="B302" s="2" t="s">
        <v>358</v>
      </c>
      <c r="C302" s="2" t="s">
        <v>295</v>
      </c>
      <c r="D302" s="2" t="s">
        <v>431</v>
      </c>
      <c r="E302" s="6">
        <v>2200</v>
      </c>
      <c r="F302" s="18">
        <v>28318.92</v>
      </c>
      <c r="G302" s="18">
        <v>3269.11</v>
      </c>
      <c r="H302" s="18">
        <v>19772.21</v>
      </c>
      <c r="I302" s="18">
        <v>837.37</v>
      </c>
      <c r="J302" s="18">
        <v>0</v>
      </c>
      <c r="K302" s="18">
        <v>0</v>
      </c>
      <c r="L302" s="19">
        <f t="shared" si="14"/>
        <v>52197.61</v>
      </c>
      <c r="M302" s="8"/>
      <c r="N302" s="265"/>
    </row>
    <row r="303" spans="1:14" s="3" customFormat="1" ht="12.2" customHeight="1" x14ac:dyDescent="0.15">
      <c r="A303" s="1" t="s">
        <v>444</v>
      </c>
      <c r="B303" s="2" t="s">
        <v>358</v>
      </c>
      <c r="C303" s="2" t="s">
        <v>296</v>
      </c>
      <c r="D303" s="2" t="s">
        <v>431</v>
      </c>
      <c r="E303" s="6">
        <v>2300</v>
      </c>
      <c r="F303" s="18">
        <v>0</v>
      </c>
      <c r="G303" s="18">
        <v>0</v>
      </c>
      <c r="H303" s="18">
        <v>4472.1000000000004</v>
      </c>
      <c r="I303" s="18">
        <v>1379.44</v>
      </c>
      <c r="J303" s="18">
        <v>0</v>
      </c>
      <c r="K303" s="18">
        <v>0</v>
      </c>
      <c r="L303" s="19">
        <f t="shared" si="14"/>
        <v>5851.5400000000009</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4612.1099999999997</v>
      </c>
      <c r="I305" s="18">
        <v>0</v>
      </c>
      <c r="J305" s="18">
        <v>0</v>
      </c>
      <c r="K305" s="18">
        <v>0</v>
      </c>
      <c r="L305" s="19">
        <f t="shared" si="14"/>
        <v>4612.1099999999997</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1611.5</v>
      </c>
      <c r="J306" s="18">
        <v>35648.050000000003</v>
      </c>
      <c r="K306" s="18">
        <v>0</v>
      </c>
      <c r="L306" s="19">
        <f t="shared" si="14"/>
        <v>37259.550000000003</v>
      </c>
      <c r="M306" s="8"/>
      <c r="N306" s="265"/>
    </row>
    <row r="307" spans="1:14" s="3" customFormat="1" ht="12.2" customHeight="1" x14ac:dyDescent="0.15">
      <c r="A307" s="1" t="s">
        <v>448</v>
      </c>
      <c r="B307" s="2" t="s">
        <v>358</v>
      </c>
      <c r="C307" s="2" t="s">
        <v>300</v>
      </c>
      <c r="D307" s="2" t="s">
        <v>431</v>
      </c>
      <c r="E307" s="6">
        <v>2700</v>
      </c>
      <c r="F307" s="18">
        <v>0</v>
      </c>
      <c r="G307" s="18">
        <v>0</v>
      </c>
      <c r="H307" s="18">
        <v>3189.96</v>
      </c>
      <c r="I307" s="18">
        <v>0</v>
      </c>
      <c r="J307" s="18">
        <v>0</v>
      </c>
      <c r="K307" s="18">
        <v>0</v>
      </c>
      <c r="L307" s="19">
        <f t="shared" si="14"/>
        <v>3189.96</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206149.66999999998</v>
      </c>
      <c r="G310" s="42">
        <f t="shared" si="15"/>
        <v>107549.52</v>
      </c>
      <c r="H310" s="42">
        <f t="shared" si="15"/>
        <v>41506.659999999996</v>
      </c>
      <c r="I310" s="42">
        <f t="shared" si="15"/>
        <v>51151.970000000008</v>
      </c>
      <c r="J310" s="42">
        <f t="shared" si="15"/>
        <v>57341.810000000005</v>
      </c>
      <c r="K310" s="42">
        <f t="shared" si="15"/>
        <v>4330.33</v>
      </c>
      <c r="L310" s="41">
        <f t="shared" si="15"/>
        <v>468029.9599999999</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30031.21</v>
      </c>
      <c r="G315" s="18">
        <v>13837.56</v>
      </c>
      <c r="H315" s="18">
        <v>6414.74</v>
      </c>
      <c r="I315" s="18">
        <v>43754.15</v>
      </c>
      <c r="J315" s="18">
        <v>20067.43</v>
      </c>
      <c r="K315" s="18">
        <v>435.72</v>
      </c>
      <c r="L315" s="19">
        <f>SUM(F315:K315)</f>
        <v>114540.81</v>
      </c>
      <c r="M315" s="8"/>
      <c r="N315" s="265"/>
    </row>
    <row r="316" spans="1:14" s="3" customFormat="1" ht="12.2" customHeight="1" x14ac:dyDescent="0.15">
      <c r="A316" s="1" t="s">
        <v>439</v>
      </c>
      <c r="B316" s="2" t="s">
        <v>359</v>
      </c>
      <c r="C316" s="2" t="s">
        <v>291</v>
      </c>
      <c r="D316" s="2" t="s">
        <v>431</v>
      </c>
      <c r="E316" s="6">
        <v>1200</v>
      </c>
      <c r="F316" s="18">
        <v>80681.100000000006</v>
      </c>
      <c r="G316" s="18">
        <v>50519.48</v>
      </c>
      <c r="H316" s="18">
        <v>0</v>
      </c>
      <c r="I316" s="18">
        <v>2153.1</v>
      </c>
      <c r="J316" s="18">
        <v>0</v>
      </c>
      <c r="K316" s="18">
        <v>0</v>
      </c>
      <c r="L316" s="19">
        <f>SUM(F316:K316)</f>
        <v>133353.68000000002</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6020.15</v>
      </c>
      <c r="G318" s="18">
        <v>1435.7</v>
      </c>
      <c r="H318" s="18">
        <v>2093.09</v>
      </c>
      <c r="I318" s="18">
        <v>4767.34</v>
      </c>
      <c r="J318" s="18">
        <v>522.46</v>
      </c>
      <c r="K318" s="18">
        <v>0</v>
      </c>
      <c r="L318" s="19">
        <f>SUM(F318:K318)</f>
        <v>14838.739999999998</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51114.67</v>
      </c>
      <c r="G320" s="18">
        <v>32904.870000000003</v>
      </c>
      <c r="H320" s="18">
        <v>471.09</v>
      </c>
      <c r="I320" s="18">
        <v>768.36</v>
      </c>
      <c r="J320" s="18">
        <v>0</v>
      </c>
      <c r="K320" s="18">
        <v>0</v>
      </c>
      <c r="L320" s="19">
        <f t="shared" ref="L320:L326" si="16">SUM(F320:K320)</f>
        <v>85258.99</v>
      </c>
      <c r="M320" s="8"/>
      <c r="N320" s="265"/>
    </row>
    <row r="321" spans="1:14" s="3" customFormat="1" ht="12.2" customHeight="1" x14ac:dyDescent="0.15">
      <c r="A321" s="1" t="s">
        <v>443</v>
      </c>
      <c r="B321" s="2" t="s">
        <v>359</v>
      </c>
      <c r="C321" s="2" t="s">
        <v>295</v>
      </c>
      <c r="D321" s="2" t="s">
        <v>431</v>
      </c>
      <c r="E321" s="6">
        <v>2200</v>
      </c>
      <c r="F321" s="18">
        <v>26877.93</v>
      </c>
      <c r="G321" s="18">
        <v>3102.76</v>
      </c>
      <c r="H321" s="18">
        <v>18766.11</v>
      </c>
      <c r="I321" s="18">
        <v>794.76</v>
      </c>
      <c r="J321" s="18">
        <v>0</v>
      </c>
      <c r="K321" s="18">
        <v>0</v>
      </c>
      <c r="L321" s="19">
        <f t="shared" si="16"/>
        <v>49541.560000000005</v>
      </c>
      <c r="M321" s="8"/>
      <c r="N321" s="265"/>
    </row>
    <row r="322" spans="1:14" s="3" customFormat="1" ht="12.2" customHeight="1" x14ac:dyDescent="0.15">
      <c r="A322" s="1" t="s">
        <v>444</v>
      </c>
      <c r="B322" s="2" t="s">
        <v>359</v>
      </c>
      <c r="C322" s="2" t="s">
        <v>296</v>
      </c>
      <c r="D322" s="2" t="s">
        <v>431</v>
      </c>
      <c r="E322" s="6">
        <v>2300</v>
      </c>
      <c r="F322" s="18">
        <v>0</v>
      </c>
      <c r="G322" s="18">
        <v>0</v>
      </c>
      <c r="H322" s="18">
        <v>4244.54</v>
      </c>
      <c r="I322" s="18">
        <v>1309.25</v>
      </c>
      <c r="J322" s="18">
        <v>0</v>
      </c>
      <c r="K322" s="18">
        <v>0</v>
      </c>
      <c r="L322" s="19">
        <f t="shared" si="16"/>
        <v>5553.79</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4377.43</v>
      </c>
      <c r="I324" s="18">
        <v>0</v>
      </c>
      <c r="J324" s="18">
        <v>0</v>
      </c>
      <c r="K324" s="18">
        <v>0</v>
      </c>
      <c r="L324" s="19">
        <f t="shared" si="16"/>
        <v>4377.43</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1529.5</v>
      </c>
      <c r="J325" s="18">
        <v>33834.129999999997</v>
      </c>
      <c r="K325" s="18">
        <v>0</v>
      </c>
      <c r="L325" s="19">
        <f t="shared" si="16"/>
        <v>35363.629999999997</v>
      </c>
      <c r="M325" s="8"/>
      <c r="N325" s="265"/>
    </row>
    <row r="326" spans="1:14" s="3" customFormat="1" ht="12.2" customHeight="1" x14ac:dyDescent="0.15">
      <c r="A326" s="1" t="s">
        <v>448</v>
      </c>
      <c r="B326" s="2" t="s">
        <v>359</v>
      </c>
      <c r="C326" s="2" t="s">
        <v>300</v>
      </c>
      <c r="D326" s="2" t="s">
        <v>431</v>
      </c>
      <c r="E326" s="6">
        <v>2700</v>
      </c>
      <c r="F326" s="18">
        <v>0</v>
      </c>
      <c r="G326" s="18">
        <v>0</v>
      </c>
      <c r="H326" s="18">
        <v>3027.65</v>
      </c>
      <c r="I326" s="18">
        <v>0</v>
      </c>
      <c r="J326" s="18">
        <v>0</v>
      </c>
      <c r="K326" s="18">
        <v>0</v>
      </c>
      <c r="L326" s="19">
        <f t="shared" si="16"/>
        <v>3027.65</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194725.06</v>
      </c>
      <c r="G329" s="42">
        <f t="shared" si="17"/>
        <v>101800.37000000001</v>
      </c>
      <c r="H329" s="42">
        <f t="shared" si="17"/>
        <v>39394.65</v>
      </c>
      <c r="I329" s="42">
        <f t="shared" si="17"/>
        <v>55076.46</v>
      </c>
      <c r="J329" s="42">
        <f t="shared" si="17"/>
        <v>54424.02</v>
      </c>
      <c r="K329" s="42">
        <f t="shared" si="17"/>
        <v>435.72</v>
      </c>
      <c r="L329" s="41">
        <f t="shared" si="17"/>
        <v>445856.28</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824774.37000000011</v>
      </c>
      <c r="G339" s="41">
        <f t="shared" si="20"/>
        <v>422924.01</v>
      </c>
      <c r="H339" s="41">
        <f t="shared" si="20"/>
        <v>128782.73000000001</v>
      </c>
      <c r="I339" s="41">
        <f t="shared" si="20"/>
        <v>162490.05000000002</v>
      </c>
      <c r="J339" s="41">
        <f t="shared" si="20"/>
        <v>177914.41</v>
      </c>
      <c r="K339" s="41">
        <f t="shared" si="20"/>
        <v>5295.64</v>
      </c>
      <c r="L339" s="41">
        <f t="shared" si="20"/>
        <v>1722181.21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22122.01</v>
      </c>
      <c r="L345" s="19">
        <f t="shared" ref="L345:L351" si="21">SUM(F345:K345)</f>
        <v>22122.01</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22122.01</v>
      </c>
      <c r="L352" s="41">
        <f>SUM(L342:L351)</f>
        <v>22122.01</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824774.37000000011</v>
      </c>
      <c r="G353" s="41">
        <f>G339</f>
        <v>422924.01</v>
      </c>
      <c r="H353" s="41">
        <f>H339</f>
        <v>128782.73000000001</v>
      </c>
      <c r="I353" s="41">
        <f>I339</f>
        <v>162490.05000000002</v>
      </c>
      <c r="J353" s="41">
        <f>J339</f>
        <v>177914.41</v>
      </c>
      <c r="K353" s="47">
        <f>K339+K352</f>
        <v>27417.649999999998</v>
      </c>
      <c r="L353" s="41">
        <f>L339+L352</f>
        <v>1744303.22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0</v>
      </c>
      <c r="G359" s="18">
        <v>0</v>
      </c>
      <c r="H359" s="18">
        <f>(552839+29634.86+57203.38)*0.3718</f>
        <v>237831.99783200002</v>
      </c>
      <c r="I359" s="18">
        <f>(62.05+241.81)*0.3718</f>
        <v>112.975148</v>
      </c>
      <c r="J359" s="18">
        <f>(7307+7178.93)*0.3718</f>
        <v>5385.8687740000005</v>
      </c>
      <c r="K359" s="18">
        <v>0</v>
      </c>
      <c r="L359" s="13">
        <f>SUM(F359:K359)</f>
        <v>243330.84175400002</v>
      </c>
      <c r="M359" s="8"/>
      <c r="N359" s="265"/>
    </row>
    <row r="360" spans="1:22" s="3" customFormat="1" ht="12.2" customHeight="1" x14ac:dyDescent="0.15">
      <c r="A360" s="1" t="s">
        <v>542</v>
      </c>
      <c r="B360" s="2" t="s">
        <v>366</v>
      </c>
      <c r="C360" s="6">
        <v>2</v>
      </c>
      <c r="D360" s="2" t="s">
        <v>431</v>
      </c>
      <c r="E360" s="6"/>
      <c r="F360" s="18">
        <v>0</v>
      </c>
      <c r="G360" s="18">
        <v>0</v>
      </c>
      <c r="H360" s="18">
        <f>(552839+29634.86+57203.38)*0.3223</f>
        <v>206167.97445199999</v>
      </c>
      <c r="I360" s="18">
        <f>(62.05+241.81)*0.3223</f>
        <v>97.934078</v>
      </c>
      <c r="J360" s="18">
        <f>(7307+7178.93)*0.3223</f>
        <v>4668.8152389999996</v>
      </c>
      <c r="K360" s="18">
        <v>0</v>
      </c>
      <c r="L360" s="19">
        <f>SUM(F360:K360)</f>
        <v>210934.72376899997</v>
      </c>
      <c r="M360" s="8"/>
      <c r="N360" s="265"/>
    </row>
    <row r="361" spans="1:22" s="3" customFormat="1" ht="12.2" customHeight="1" x14ac:dyDescent="0.15">
      <c r="A361" s="3" t="s">
        <v>543</v>
      </c>
      <c r="B361" s="2" t="s">
        <v>366</v>
      </c>
      <c r="C361" s="6">
        <v>3</v>
      </c>
      <c r="D361" s="2" t="s">
        <v>431</v>
      </c>
      <c r="E361" s="6"/>
      <c r="F361" s="18">
        <v>0</v>
      </c>
      <c r="G361" s="18">
        <v>0</v>
      </c>
      <c r="H361" s="18">
        <f>(552839+29634.86+57203.38)*0.3059</f>
        <v>195677.267716</v>
      </c>
      <c r="I361" s="18">
        <f>(62.05+241.81)*0.3059</f>
        <v>92.95077400000001</v>
      </c>
      <c r="J361" s="18">
        <f>(7307+7178.93)*0.3059</f>
        <v>4431.2459870000002</v>
      </c>
      <c r="K361" s="18">
        <v>0</v>
      </c>
      <c r="L361" s="19">
        <f>SUM(F361:K361)</f>
        <v>200201.464477</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639677.24</v>
      </c>
      <c r="I363" s="47">
        <f t="shared" si="22"/>
        <v>303.86</v>
      </c>
      <c r="J363" s="47">
        <f t="shared" si="22"/>
        <v>14485.93</v>
      </c>
      <c r="K363" s="47">
        <f t="shared" si="22"/>
        <v>0</v>
      </c>
      <c r="L363" s="47">
        <f t="shared" si="22"/>
        <v>654467.03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0</v>
      </c>
      <c r="G368" s="18">
        <v>0</v>
      </c>
      <c r="H368" s="18">
        <v>0</v>
      </c>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112.98</v>
      </c>
      <c r="G369" s="63">
        <v>97.93</v>
      </c>
      <c r="H369" s="63">
        <v>92.95</v>
      </c>
      <c r="I369" s="56">
        <f>SUM(F369:H369)</f>
        <v>303.86</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112.98</v>
      </c>
      <c r="G370" s="47">
        <f>SUM(G368:G369)</f>
        <v>97.93</v>
      </c>
      <c r="H370" s="47">
        <f>SUM(H368:H369)</f>
        <v>92.95</v>
      </c>
      <c r="I370" s="47">
        <f>SUM(I368:I369)</f>
        <v>303.86</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v>0</v>
      </c>
      <c r="G393" s="18">
        <v>41000</v>
      </c>
      <c r="H393" s="18">
        <v>0</v>
      </c>
      <c r="I393" s="18">
        <v>0</v>
      </c>
      <c r="J393" s="24" t="s">
        <v>288</v>
      </c>
      <c r="K393" s="24" t="s">
        <v>288</v>
      </c>
      <c r="L393" s="56">
        <f t="shared" si="25"/>
        <v>41000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41000</v>
      </c>
      <c r="H394" s="139">
        <f>SUM(H388:H393)</f>
        <v>0</v>
      </c>
      <c r="I394" s="65">
        <f>SUM(I388:I393)</f>
        <v>0</v>
      </c>
      <c r="J394" s="45" t="s">
        <v>288</v>
      </c>
      <c r="K394" s="45" t="s">
        <v>288</v>
      </c>
      <c r="L394" s="47">
        <f>SUM(L388:L393)</f>
        <v>41000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v>0</v>
      </c>
      <c r="G397" s="18">
        <v>0</v>
      </c>
      <c r="H397" s="18">
        <v>0</v>
      </c>
      <c r="I397" s="18">
        <v>0</v>
      </c>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v>0</v>
      </c>
      <c r="G398" s="18">
        <v>0</v>
      </c>
      <c r="H398" s="18">
        <v>0</v>
      </c>
      <c r="I398" s="18">
        <v>0</v>
      </c>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5"/>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5"/>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41000</v>
      </c>
      <c r="H409" s="47">
        <f>H394+H402+H408</f>
        <v>0</v>
      </c>
      <c r="I409" s="47">
        <f>I394+I402+I408</f>
        <v>0</v>
      </c>
      <c r="J409" s="24" t="s">
        <v>288</v>
      </c>
      <c r="K409" s="24" t="s">
        <v>288</v>
      </c>
      <c r="L409" s="47">
        <f>L394+L402+L408</f>
        <v>41000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5"/>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5"/>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5"/>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5"/>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5"/>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5"/>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5"/>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5"/>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6"/>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3"/>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5"/>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0</v>
      </c>
      <c r="G441" s="18">
        <v>0</v>
      </c>
      <c r="H441" s="18">
        <v>0</v>
      </c>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725514.88</v>
      </c>
      <c r="G443" s="18">
        <v>2101.2399999999998</v>
      </c>
      <c r="H443" s="18">
        <v>0</v>
      </c>
      <c r="I443" s="56">
        <f t="shared" si="33"/>
        <v>727616.12</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725514.88</v>
      </c>
      <c r="G447" s="13">
        <f>SUM(G440:G446)</f>
        <v>2101.2399999999998</v>
      </c>
      <c r="H447" s="13">
        <f>SUM(H440:H446)</f>
        <v>0</v>
      </c>
      <c r="I447" s="13">
        <f>SUM(I440:I446)</f>
        <v>727616.12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725514.88</v>
      </c>
      <c r="G460" s="18">
        <v>2101.2399999999998</v>
      </c>
      <c r="H460" s="18">
        <v>0</v>
      </c>
      <c r="I460" s="56">
        <f t="shared" si="34"/>
        <v>727616.12</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725514.88</v>
      </c>
      <c r="G461" s="83">
        <f>SUM(G455:G460)</f>
        <v>2101.2399999999998</v>
      </c>
      <c r="H461" s="83">
        <f>SUM(H455:H460)</f>
        <v>0</v>
      </c>
      <c r="I461" s="83">
        <f>SUM(I455:I460)</f>
        <v>727616.12</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725514.88</v>
      </c>
      <c r="G462" s="42">
        <f>G453+G461</f>
        <v>2101.2399999999998</v>
      </c>
      <c r="H462" s="42">
        <f>H453+H461</f>
        <v>0</v>
      </c>
      <c r="I462" s="42">
        <f>I453+I461</f>
        <v>727616.12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1829728.35</v>
      </c>
      <c r="G466" s="18">
        <f>43601.91+22019.06</f>
        <v>65620.97</v>
      </c>
      <c r="H466" s="18">
        <v>305.60000000000002</v>
      </c>
      <c r="I466" s="18">
        <v>0</v>
      </c>
      <c r="J466" s="18">
        <v>761388.84</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16759984.500000002</v>
      </c>
      <c r="G469" s="18">
        <f>G194</f>
        <v>709868.24</v>
      </c>
      <c r="H469" s="18">
        <f>H194</f>
        <v>1744303.1899999997</v>
      </c>
      <c r="I469" s="18">
        <v>0</v>
      </c>
      <c r="J469" s="18">
        <v>41000</v>
      </c>
      <c r="K469" s="24" t="s">
        <v>288</v>
      </c>
      <c r="L469" s="24" t="s">
        <v>288</v>
      </c>
      <c r="N469" s="264"/>
    </row>
    <row r="470" spans="1:14" s="52" customFormat="1" ht="12.2" customHeight="1" x14ac:dyDescent="0.2">
      <c r="A470" s="93" t="s">
        <v>611</v>
      </c>
      <c r="B470" s="75">
        <v>19</v>
      </c>
      <c r="C470" s="80">
        <v>3</v>
      </c>
      <c r="D470" s="2" t="s">
        <v>432</v>
      </c>
      <c r="E470" s="80"/>
      <c r="F470" s="18">
        <v>0</v>
      </c>
      <c r="G470" s="18">
        <v>0</v>
      </c>
      <c r="H470" s="18">
        <v>0</v>
      </c>
      <c r="I470" s="18">
        <v>0</v>
      </c>
      <c r="J470" s="18">
        <v>0</v>
      </c>
      <c r="K470" s="24" t="s">
        <v>288</v>
      </c>
      <c r="L470" s="24" t="s">
        <v>288</v>
      </c>
      <c r="N470" s="264"/>
    </row>
    <row r="471" spans="1:14" s="52" customFormat="1" ht="12.2" customHeight="1" x14ac:dyDescent="0.2">
      <c r="A471" s="92" t="s">
        <v>425</v>
      </c>
      <c r="B471" s="75">
        <v>19</v>
      </c>
      <c r="C471" s="80">
        <v>4</v>
      </c>
      <c r="D471" s="2" t="s">
        <v>432</v>
      </c>
      <c r="E471" s="80"/>
      <c r="F471" s="53">
        <f>SUM(F469:F470)</f>
        <v>16759984.500000002</v>
      </c>
      <c r="G471" s="53">
        <f>SUM(G469:G470)</f>
        <v>709868.24</v>
      </c>
      <c r="H471" s="53">
        <f>SUM(H469:H470)</f>
        <v>1744303.1899999997</v>
      </c>
      <c r="I471" s="53">
        <f>SUM(I469:I470)</f>
        <v>0</v>
      </c>
      <c r="J471" s="53">
        <f>SUM(J469:J470)</f>
        <v>41000</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17458365.469999999</v>
      </c>
      <c r="G473" s="18">
        <f>L363</f>
        <v>654467.03</v>
      </c>
      <c r="H473" s="18">
        <f>L353</f>
        <v>1744303.22</v>
      </c>
      <c r="I473" s="18">
        <v>0</v>
      </c>
      <c r="J473" s="18">
        <v>0</v>
      </c>
      <c r="K473" s="24" t="s">
        <v>288</v>
      </c>
      <c r="L473" s="24" t="s">
        <v>288</v>
      </c>
      <c r="N473" s="264"/>
    </row>
    <row r="474" spans="1:14" s="52" customFormat="1" ht="12.2" customHeight="1" x14ac:dyDescent="0.2">
      <c r="A474" s="93" t="s">
        <v>613</v>
      </c>
      <c r="B474" s="75">
        <v>19</v>
      </c>
      <c r="C474" s="80">
        <v>6</v>
      </c>
      <c r="D474" s="2" t="s">
        <v>432</v>
      </c>
      <c r="E474" s="80"/>
      <c r="F474" s="18">
        <v>0</v>
      </c>
      <c r="G474" s="18">
        <v>0</v>
      </c>
      <c r="H474" s="18">
        <v>0</v>
      </c>
      <c r="I474" s="18">
        <v>0</v>
      </c>
      <c r="J474" s="18">
        <v>74772.72</v>
      </c>
      <c r="K474" s="24" t="s">
        <v>288</v>
      </c>
      <c r="L474" s="24" t="s">
        <v>288</v>
      </c>
      <c r="N474" s="264"/>
    </row>
    <row r="475" spans="1:14" s="52" customFormat="1" ht="12.2" customHeight="1" x14ac:dyDescent="0.2">
      <c r="A475" s="92" t="s">
        <v>426</v>
      </c>
      <c r="B475" s="75">
        <v>19</v>
      </c>
      <c r="C475" s="80">
        <v>7</v>
      </c>
      <c r="D475" s="2" t="s">
        <v>432</v>
      </c>
      <c r="E475" s="80"/>
      <c r="F475" s="53">
        <f>SUM(F473:F474)</f>
        <v>17458365.469999999</v>
      </c>
      <c r="G475" s="53">
        <f>SUM(G473:G474)</f>
        <v>654467.03</v>
      </c>
      <c r="H475" s="53">
        <f>SUM(H473:H474)</f>
        <v>1744303.22</v>
      </c>
      <c r="I475" s="53">
        <f>SUM(I473:I474)</f>
        <v>0</v>
      </c>
      <c r="J475" s="53">
        <f>SUM(J473:J474)</f>
        <v>74772.72</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1131347.3800000027</v>
      </c>
      <c r="G477" s="53">
        <f>(G466+G471)- G475</f>
        <v>121022.17999999993</v>
      </c>
      <c r="H477" s="53">
        <f>(H466+H471)- H475</f>
        <v>305.56999999983236</v>
      </c>
      <c r="I477" s="53">
        <f>(I466+I471)- I475</f>
        <v>0</v>
      </c>
      <c r="J477" s="53">
        <f>(J466+J471)- J475</f>
        <v>727616.12</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16</v>
      </c>
      <c r="G491" s="154">
        <v>0</v>
      </c>
      <c r="H491" s="154">
        <v>0</v>
      </c>
      <c r="I491" s="154">
        <v>0</v>
      </c>
      <c r="J491" s="154">
        <v>0</v>
      </c>
      <c r="K491" s="24" t="s">
        <v>288</v>
      </c>
      <c r="L491" s="24" t="s">
        <v>288</v>
      </c>
      <c r="N491" s="264"/>
    </row>
    <row r="492" spans="1:14" s="52" customFormat="1" ht="12.2" customHeight="1" x14ac:dyDescent="0.2">
      <c r="A492" s="22" t="s">
        <v>615</v>
      </c>
      <c r="B492" s="75">
        <v>20</v>
      </c>
      <c r="C492" s="115">
        <v>2</v>
      </c>
      <c r="D492" s="2" t="s">
        <v>432</v>
      </c>
      <c r="E492" s="115"/>
      <c r="F492" s="155" t="s">
        <v>1802</v>
      </c>
      <c r="G492" s="154">
        <v>0</v>
      </c>
      <c r="H492" s="154">
        <v>0</v>
      </c>
      <c r="I492" s="154">
        <v>0</v>
      </c>
      <c r="J492" s="154">
        <v>0</v>
      </c>
      <c r="K492" s="24" t="s">
        <v>288</v>
      </c>
      <c r="L492" s="24" t="s">
        <v>288</v>
      </c>
      <c r="N492" s="264"/>
    </row>
    <row r="493" spans="1:14" s="52" customFormat="1" ht="12.2" customHeight="1" x14ac:dyDescent="0.2">
      <c r="A493" s="22" t="s">
        <v>616</v>
      </c>
      <c r="B493" s="75">
        <v>20</v>
      </c>
      <c r="C493" s="115">
        <v>3</v>
      </c>
      <c r="D493" s="2" t="s">
        <v>432</v>
      </c>
      <c r="E493" s="115"/>
      <c r="F493" s="155" t="s">
        <v>1803</v>
      </c>
      <c r="G493" s="154">
        <v>0</v>
      </c>
      <c r="H493" s="154">
        <v>0</v>
      </c>
      <c r="I493" s="154">
        <v>0</v>
      </c>
      <c r="J493" s="154">
        <v>0</v>
      </c>
      <c r="K493" s="24" t="s">
        <v>288</v>
      </c>
      <c r="L493" s="24" t="s">
        <v>288</v>
      </c>
      <c r="N493" s="264"/>
    </row>
    <row r="494" spans="1:14" s="52" customFormat="1" ht="12.2" customHeight="1" x14ac:dyDescent="0.2">
      <c r="A494" s="22" t="s">
        <v>617</v>
      </c>
      <c r="B494" s="75">
        <v>20</v>
      </c>
      <c r="C494" s="115">
        <v>4</v>
      </c>
      <c r="D494" s="2" t="s">
        <v>432</v>
      </c>
      <c r="E494" s="115"/>
      <c r="F494" s="18">
        <v>23623315</v>
      </c>
      <c r="G494" s="154">
        <v>0</v>
      </c>
      <c r="H494" s="154">
        <v>0</v>
      </c>
      <c r="I494" s="154">
        <v>0</v>
      </c>
      <c r="J494" s="154">
        <v>0</v>
      </c>
      <c r="K494" s="24" t="s">
        <v>288</v>
      </c>
      <c r="L494" s="24" t="s">
        <v>288</v>
      </c>
      <c r="N494" s="264"/>
    </row>
    <row r="495" spans="1:14" s="52" customFormat="1" ht="12.2" customHeight="1" x14ac:dyDescent="0.2">
      <c r="A495" s="22" t="s">
        <v>618</v>
      </c>
      <c r="B495" s="75">
        <v>20</v>
      </c>
      <c r="C495" s="115">
        <v>5</v>
      </c>
      <c r="D495" s="2" t="s">
        <v>432</v>
      </c>
      <c r="E495" s="115"/>
      <c r="F495" s="18">
        <v>5.39</v>
      </c>
      <c r="G495" s="154">
        <v>0</v>
      </c>
      <c r="H495" s="154">
        <v>0</v>
      </c>
      <c r="I495" s="154">
        <v>0</v>
      </c>
      <c r="J495" s="154">
        <v>0</v>
      </c>
      <c r="K495" s="24" t="s">
        <v>288</v>
      </c>
      <c r="L495" s="24" t="s">
        <v>288</v>
      </c>
      <c r="N495" s="264"/>
    </row>
    <row r="496" spans="1:14" s="52" customFormat="1" ht="12.2" customHeight="1" x14ac:dyDescent="0.2">
      <c r="A496" s="22" t="s">
        <v>619</v>
      </c>
      <c r="B496" s="75">
        <v>20</v>
      </c>
      <c r="C496" s="115">
        <v>6</v>
      </c>
      <c r="D496" s="2" t="s">
        <v>432</v>
      </c>
      <c r="E496" s="115"/>
      <c r="F496" s="18">
        <v>8850000</v>
      </c>
      <c r="G496" s="154">
        <v>0</v>
      </c>
      <c r="H496" s="154">
        <v>0</v>
      </c>
      <c r="I496" s="154">
        <v>0</v>
      </c>
      <c r="J496" s="154">
        <v>0</v>
      </c>
      <c r="K496" s="53">
        <f>SUM(F496:J496)</f>
        <v>8850000</v>
      </c>
      <c r="L496" s="24" t="s">
        <v>288</v>
      </c>
      <c r="N496" s="264"/>
    </row>
    <row r="497" spans="1:14" s="52" customFormat="1" ht="12.2" customHeight="1" x14ac:dyDescent="0.2">
      <c r="A497" s="22" t="s">
        <v>620</v>
      </c>
      <c r="B497" s="75">
        <v>20</v>
      </c>
      <c r="C497" s="115">
        <v>7</v>
      </c>
      <c r="D497" s="2" t="s">
        <v>432</v>
      </c>
      <c r="E497" s="115"/>
      <c r="F497" s="18">
        <v>0</v>
      </c>
      <c r="G497" s="154">
        <v>0</v>
      </c>
      <c r="H497" s="154">
        <v>0</v>
      </c>
      <c r="I497" s="154">
        <v>0</v>
      </c>
      <c r="J497" s="154">
        <v>0</v>
      </c>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1475000</v>
      </c>
      <c r="G498" s="154">
        <v>0</v>
      </c>
      <c r="H498" s="154">
        <v>0</v>
      </c>
      <c r="I498" s="154">
        <v>0</v>
      </c>
      <c r="J498" s="154">
        <v>0</v>
      </c>
      <c r="K498" s="53">
        <f t="shared" si="35"/>
        <v>1475000</v>
      </c>
      <c r="L498" s="24" t="s">
        <v>288</v>
      </c>
      <c r="N498" s="264"/>
    </row>
    <row r="499" spans="1:14" s="52" customFormat="1" ht="12.2" customHeight="1" x14ac:dyDescent="0.2">
      <c r="A499" s="199" t="s">
        <v>622</v>
      </c>
      <c r="B499" s="200">
        <v>20</v>
      </c>
      <c r="C499" s="201">
        <v>9</v>
      </c>
      <c r="D499" s="202" t="s">
        <v>432</v>
      </c>
      <c r="E499" s="201"/>
      <c r="F499" s="203">
        <v>7375000</v>
      </c>
      <c r="G499" s="203">
        <v>0</v>
      </c>
      <c r="H499" s="203">
        <v>0</v>
      </c>
      <c r="I499" s="203">
        <v>0</v>
      </c>
      <c r="J499" s="203">
        <v>0</v>
      </c>
      <c r="K499" s="204">
        <f t="shared" si="35"/>
        <v>7375000</v>
      </c>
      <c r="L499" s="205" t="s">
        <v>288</v>
      </c>
      <c r="N499" s="264"/>
    </row>
    <row r="500" spans="1:14" s="52" customFormat="1" ht="12.2" customHeight="1" thickBot="1" x14ac:dyDescent="0.25">
      <c r="A500" s="22" t="s">
        <v>623</v>
      </c>
      <c r="B500" s="75">
        <v>20</v>
      </c>
      <c r="C500" s="115">
        <v>10</v>
      </c>
      <c r="D500" s="2" t="s">
        <v>432</v>
      </c>
      <c r="E500" s="115"/>
      <c r="F500" s="18">
        <v>993781.25</v>
      </c>
      <c r="G500" s="18">
        <v>0</v>
      </c>
      <c r="H500" s="18">
        <v>0</v>
      </c>
      <c r="I500" s="18">
        <v>0</v>
      </c>
      <c r="J500" s="18">
        <v>0</v>
      </c>
      <c r="K500" s="53">
        <f t="shared" si="35"/>
        <v>993781.25</v>
      </c>
      <c r="L500" s="24" t="s">
        <v>288</v>
      </c>
      <c r="N500" s="264"/>
    </row>
    <row r="501" spans="1:14" s="52" customFormat="1" ht="12.2" customHeight="1" thickTop="1" x14ac:dyDescent="0.2">
      <c r="A501" s="139" t="s">
        <v>624</v>
      </c>
      <c r="B501" s="44">
        <v>20</v>
      </c>
      <c r="C501" s="194">
        <v>11</v>
      </c>
      <c r="D501" s="39" t="s">
        <v>432</v>
      </c>
      <c r="E501" s="194"/>
      <c r="F501" s="42">
        <f>SUM(F499:F500)</f>
        <v>8368781.25</v>
      </c>
      <c r="G501" s="42">
        <f>SUM(G499:G500)</f>
        <v>0</v>
      </c>
      <c r="H501" s="42">
        <f>SUM(H499:H500)</f>
        <v>0</v>
      </c>
      <c r="I501" s="42">
        <f>SUM(I499:I500)</f>
        <v>0</v>
      </c>
      <c r="J501" s="42">
        <f>SUM(J499:J500)</f>
        <v>0</v>
      </c>
      <c r="K501" s="42">
        <f t="shared" si="35"/>
        <v>8368781.25</v>
      </c>
      <c r="L501" s="45" t="s">
        <v>288</v>
      </c>
      <c r="N501" s="264"/>
    </row>
    <row r="502" spans="1:14" s="52" customFormat="1" ht="12.2" customHeight="1" x14ac:dyDescent="0.2">
      <c r="A502" s="199" t="s">
        <v>651</v>
      </c>
      <c r="B502" s="200">
        <v>20</v>
      </c>
      <c r="C502" s="201">
        <v>12</v>
      </c>
      <c r="D502" s="202" t="s">
        <v>432</v>
      </c>
      <c r="E502" s="201"/>
      <c r="F502" s="203">
        <v>1475000</v>
      </c>
      <c r="G502" s="203">
        <v>0</v>
      </c>
      <c r="H502" s="203">
        <v>0</v>
      </c>
      <c r="I502" s="203">
        <v>0</v>
      </c>
      <c r="J502" s="203">
        <v>0</v>
      </c>
      <c r="K502" s="204">
        <f t="shared" si="35"/>
        <v>1475000</v>
      </c>
      <c r="L502" s="205" t="s">
        <v>288</v>
      </c>
      <c r="N502" s="264"/>
    </row>
    <row r="503" spans="1:14" s="52" customFormat="1" ht="12.2" customHeight="1" thickBot="1" x14ac:dyDescent="0.25">
      <c r="A503" s="22" t="s">
        <v>625</v>
      </c>
      <c r="B503" s="75">
        <v>20</v>
      </c>
      <c r="C503" s="115">
        <v>13</v>
      </c>
      <c r="D503" s="2" t="s">
        <v>432</v>
      </c>
      <c r="E503" s="115"/>
      <c r="F503" s="18">
        <v>357761.25</v>
      </c>
      <c r="G503" s="18">
        <v>0</v>
      </c>
      <c r="H503" s="18">
        <v>0</v>
      </c>
      <c r="I503" s="18">
        <v>0</v>
      </c>
      <c r="J503" s="18">
        <v>0</v>
      </c>
      <c r="K503" s="53">
        <f t="shared" si="35"/>
        <v>357761.25</v>
      </c>
      <c r="L503" s="24" t="s">
        <v>288</v>
      </c>
      <c r="N503" s="264"/>
    </row>
    <row r="504" spans="1:14" s="52" customFormat="1" ht="12.2" customHeight="1" thickTop="1" x14ac:dyDescent="0.2">
      <c r="A504" s="139" t="s">
        <v>626</v>
      </c>
      <c r="B504" s="44">
        <v>20</v>
      </c>
      <c r="C504" s="194">
        <v>14</v>
      </c>
      <c r="D504" s="39" t="s">
        <v>432</v>
      </c>
      <c r="E504" s="194"/>
      <c r="F504" s="42">
        <f>SUM(F502:F503)</f>
        <v>1832761.25</v>
      </c>
      <c r="G504" s="42">
        <f>SUM(G502:G503)</f>
        <v>0</v>
      </c>
      <c r="H504" s="42">
        <f>SUM(H502:H503)</f>
        <v>0</v>
      </c>
      <c r="I504" s="42">
        <f>SUM(I502:I503)</f>
        <v>0</v>
      </c>
      <c r="J504" s="42">
        <f>SUM(J502:J503)</f>
        <v>0</v>
      </c>
      <c r="K504" s="42">
        <f t="shared" si="35"/>
        <v>1832761.25</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v>0</v>
      </c>
      <c r="H517" s="24" t="s">
        <v>288</v>
      </c>
      <c r="I517" s="18">
        <v>0</v>
      </c>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322220.98</v>
      </c>
      <c r="G522" s="18">
        <v>134948.07</v>
      </c>
      <c r="H522" s="18">
        <v>0</v>
      </c>
      <c r="I522" s="18">
        <v>2077.42</v>
      </c>
      <c r="J522" s="18">
        <v>1504.1200000000001</v>
      </c>
      <c r="K522" s="18">
        <v>0</v>
      </c>
      <c r="L522" s="88">
        <f>SUM(F522:K522)</f>
        <v>460750.58999999997</v>
      </c>
      <c r="N522" s="264"/>
    </row>
    <row r="523" spans="1:14" s="52" customFormat="1" ht="12.2" customHeight="1" x14ac:dyDescent="0.2">
      <c r="A523" s="22" t="s">
        <v>634</v>
      </c>
      <c r="B523" s="105">
        <v>21</v>
      </c>
      <c r="C523" s="115">
        <v>2</v>
      </c>
      <c r="D523" s="2" t="s">
        <v>432</v>
      </c>
      <c r="E523" s="115"/>
      <c r="F523" s="18">
        <v>252473.39</v>
      </c>
      <c r="G523" s="18">
        <v>149967.17000000001</v>
      </c>
      <c r="H523" s="18">
        <v>0</v>
      </c>
      <c r="I523" s="18">
        <v>445.53999999999996</v>
      </c>
      <c r="J523" s="18">
        <v>0</v>
      </c>
      <c r="K523" s="18">
        <v>0</v>
      </c>
      <c r="L523" s="88">
        <f>SUM(F523:K523)</f>
        <v>402886.10000000003</v>
      </c>
      <c r="N523" s="264"/>
    </row>
    <row r="524" spans="1:14" s="52" customFormat="1" ht="12.2" customHeight="1" thickBot="1" x14ac:dyDescent="0.25">
      <c r="A524" s="22" t="s">
        <v>635</v>
      </c>
      <c r="B524" s="105">
        <v>21</v>
      </c>
      <c r="C524" s="115">
        <v>3</v>
      </c>
      <c r="D524" s="2" t="s">
        <v>432</v>
      </c>
      <c r="E524" s="115"/>
      <c r="F524" s="18">
        <v>209049.22</v>
      </c>
      <c r="G524" s="18">
        <v>112912.25</v>
      </c>
      <c r="H524" s="18">
        <v>379801.65</v>
      </c>
      <c r="I524" s="18">
        <v>229.76</v>
      </c>
      <c r="J524" s="18">
        <v>0</v>
      </c>
      <c r="K524" s="18">
        <v>0</v>
      </c>
      <c r="L524" s="88">
        <f>SUM(F524:K524)</f>
        <v>701992.88</v>
      </c>
      <c r="N524" s="264"/>
    </row>
    <row r="525" spans="1:14" s="52" customFormat="1" ht="12.2" customHeight="1" thickTop="1" x14ac:dyDescent="0.2">
      <c r="A525" s="139" t="s">
        <v>63</v>
      </c>
      <c r="B525" s="107">
        <v>21</v>
      </c>
      <c r="C525" s="194">
        <v>4</v>
      </c>
      <c r="D525" s="195" t="s">
        <v>432</v>
      </c>
      <c r="E525" s="194"/>
      <c r="F525" s="108">
        <f>SUM(F522:F524)</f>
        <v>783743.59</v>
      </c>
      <c r="G525" s="108">
        <f t="shared" ref="G525:L525" si="36">SUM(G522:G524)</f>
        <v>397827.49</v>
      </c>
      <c r="H525" s="108">
        <f t="shared" si="36"/>
        <v>379801.65</v>
      </c>
      <c r="I525" s="108">
        <f t="shared" si="36"/>
        <v>2752.7200000000003</v>
      </c>
      <c r="J525" s="108">
        <f t="shared" si="36"/>
        <v>1504.1200000000001</v>
      </c>
      <c r="K525" s="108">
        <f t="shared" si="36"/>
        <v>0</v>
      </c>
      <c r="L525" s="89">
        <f t="shared" si="36"/>
        <v>1565629.5699999998</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162428.37</v>
      </c>
      <c r="G527" s="18">
        <v>69270.569999999992</v>
      </c>
      <c r="H527" s="18">
        <v>8810.590000000002</v>
      </c>
      <c r="I527" s="18">
        <v>2554.8579019999997</v>
      </c>
      <c r="J527" s="18">
        <v>112.131162</v>
      </c>
      <c r="K527" s="18">
        <v>0</v>
      </c>
      <c r="L527" s="88">
        <f>SUM(F527:K527)</f>
        <v>243176.51906399999</v>
      </c>
      <c r="M527" s="8"/>
      <c r="N527" s="265"/>
    </row>
    <row r="528" spans="1:14" s="3" customFormat="1" ht="12.2" customHeight="1" x14ac:dyDescent="0.15">
      <c r="A528" s="22" t="s">
        <v>634</v>
      </c>
      <c r="B528" s="105">
        <v>21</v>
      </c>
      <c r="C528" s="115">
        <v>6</v>
      </c>
      <c r="D528" s="2" t="s">
        <v>432</v>
      </c>
      <c r="E528" s="115"/>
      <c r="F528" s="18">
        <v>92523.180000000008</v>
      </c>
      <c r="G528" s="18">
        <v>39988.399999999987</v>
      </c>
      <c r="H528" s="18">
        <v>34101.9</v>
      </c>
      <c r="I528" s="18">
        <v>2268.526347</v>
      </c>
      <c r="J528" s="18">
        <v>97.202456999999981</v>
      </c>
      <c r="K528" s="18">
        <v>0</v>
      </c>
      <c r="L528" s="88">
        <f>SUM(F528:K528)</f>
        <v>168979.20880399999</v>
      </c>
      <c r="M528" s="8"/>
      <c r="N528" s="265"/>
    </row>
    <row r="529" spans="1:14" s="3" customFormat="1" ht="12.2" customHeight="1" thickBot="1" x14ac:dyDescent="0.2">
      <c r="A529" s="22" t="s">
        <v>635</v>
      </c>
      <c r="B529" s="118">
        <v>21</v>
      </c>
      <c r="C529" s="118">
        <v>7</v>
      </c>
      <c r="D529" s="2" t="s">
        <v>432</v>
      </c>
      <c r="E529" s="118"/>
      <c r="F529" s="18">
        <v>93291.080000000016</v>
      </c>
      <c r="G529" s="18">
        <v>40313.47</v>
      </c>
      <c r="H529" s="18">
        <v>71436.409999999989</v>
      </c>
      <c r="I529" s="18">
        <v>528.35575100000005</v>
      </c>
      <c r="J529" s="18">
        <v>92.25638099999999</v>
      </c>
      <c r="K529" s="18">
        <v>0</v>
      </c>
      <c r="L529" s="88">
        <f>SUM(F529:K529)</f>
        <v>205661.57213200003</v>
      </c>
      <c r="M529" s="8"/>
      <c r="N529" s="265"/>
    </row>
    <row r="530" spans="1:14" s="3" customFormat="1" ht="12.2" customHeight="1" thickTop="1" x14ac:dyDescent="0.15">
      <c r="A530" s="139" t="s">
        <v>65</v>
      </c>
      <c r="B530" s="107">
        <v>21</v>
      </c>
      <c r="C530" s="107">
        <v>8</v>
      </c>
      <c r="D530" s="158" t="s">
        <v>432</v>
      </c>
      <c r="E530" s="107"/>
      <c r="F530" s="89">
        <f>SUM(F527:F529)</f>
        <v>348242.63</v>
      </c>
      <c r="G530" s="89">
        <f t="shared" ref="G530:L530" si="37">SUM(G527:G529)</f>
        <v>149572.43999999997</v>
      </c>
      <c r="H530" s="89">
        <f t="shared" si="37"/>
        <v>114348.9</v>
      </c>
      <c r="I530" s="89">
        <f t="shared" si="37"/>
        <v>5351.74</v>
      </c>
      <c r="J530" s="89">
        <f t="shared" si="37"/>
        <v>301.58999999999997</v>
      </c>
      <c r="K530" s="89">
        <f t="shared" si="37"/>
        <v>0</v>
      </c>
      <c r="L530" s="89">
        <f t="shared" si="37"/>
        <v>617817.30000000005</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47967.791872000002</v>
      </c>
      <c r="G532" s="18">
        <v>25751.206338</v>
      </c>
      <c r="H532" s="18">
        <v>4641.8003060000001</v>
      </c>
      <c r="I532" s="18">
        <v>483.02025200000008</v>
      </c>
      <c r="J532" s="18">
        <v>89.228282000000007</v>
      </c>
      <c r="K532" s="18">
        <v>290.00400000000002</v>
      </c>
      <c r="L532" s="88">
        <f>SUM(F532:K532)</f>
        <v>79223.051050000009</v>
      </c>
      <c r="M532" s="8"/>
      <c r="N532" s="265"/>
    </row>
    <row r="533" spans="1:14" s="3" customFormat="1" ht="12.2" customHeight="1" x14ac:dyDescent="0.15">
      <c r="A533" s="22" t="s">
        <v>634</v>
      </c>
      <c r="B533" s="105">
        <v>21</v>
      </c>
      <c r="C533" s="105">
        <v>10</v>
      </c>
      <c r="D533" s="2" t="s">
        <v>432</v>
      </c>
      <c r="E533" s="105"/>
      <c r="F533" s="18">
        <v>41581.547391999993</v>
      </c>
      <c r="G533" s="18">
        <v>22322.791292999998</v>
      </c>
      <c r="H533" s="18">
        <v>4023.8091409999997</v>
      </c>
      <c r="I533" s="18">
        <v>418.71282200000002</v>
      </c>
      <c r="J533" s="18">
        <v>77.348776999999998</v>
      </c>
      <c r="K533" s="18">
        <v>251.39399999999998</v>
      </c>
      <c r="L533" s="88">
        <f>SUM(F533:K533)</f>
        <v>68675.603425000008</v>
      </c>
      <c r="M533" s="8"/>
      <c r="N533" s="265"/>
    </row>
    <row r="534" spans="1:14" s="3" customFormat="1" ht="12.2" customHeight="1" thickBot="1" x14ac:dyDescent="0.2">
      <c r="A534" s="22" t="s">
        <v>635</v>
      </c>
      <c r="B534" s="105">
        <v>21</v>
      </c>
      <c r="C534" s="105">
        <v>11</v>
      </c>
      <c r="D534" s="2" t="s">
        <v>432</v>
      </c>
      <c r="E534" s="105"/>
      <c r="F534" s="18">
        <v>39465.700735999999</v>
      </c>
      <c r="G534" s="18">
        <v>21186.912369000005</v>
      </c>
      <c r="H534" s="18">
        <v>3819.0605529999993</v>
      </c>
      <c r="I534" s="18">
        <v>397.40692600000006</v>
      </c>
      <c r="J534" s="18">
        <v>73.412941000000004</v>
      </c>
      <c r="K534" s="18">
        <v>238.602</v>
      </c>
      <c r="L534" s="88">
        <f>SUM(F534:K534)</f>
        <v>65181.095525000004</v>
      </c>
      <c r="M534" s="8"/>
      <c r="N534" s="265"/>
    </row>
    <row r="535" spans="1:14" s="3" customFormat="1" ht="12.2" customHeight="1" thickTop="1" x14ac:dyDescent="0.15">
      <c r="A535" s="139" t="s">
        <v>67</v>
      </c>
      <c r="B535" s="107">
        <v>21</v>
      </c>
      <c r="C535" s="107">
        <v>12</v>
      </c>
      <c r="D535" s="158" t="s">
        <v>432</v>
      </c>
      <c r="E535" s="107"/>
      <c r="F535" s="89">
        <f>SUM(F532:F534)</f>
        <v>129015.03999999999</v>
      </c>
      <c r="G535" s="89">
        <f t="shared" ref="G535:L535" si="38">SUM(G532:G534)</f>
        <v>69260.91</v>
      </c>
      <c r="H535" s="89">
        <f t="shared" si="38"/>
        <v>12484.669999999998</v>
      </c>
      <c r="I535" s="89">
        <f t="shared" si="38"/>
        <v>1299.1400000000001</v>
      </c>
      <c r="J535" s="89">
        <f t="shared" si="38"/>
        <v>239.99</v>
      </c>
      <c r="K535" s="89">
        <f t="shared" si="38"/>
        <v>780</v>
      </c>
      <c r="L535" s="89">
        <f t="shared" si="38"/>
        <v>213079.75000000003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341</v>
      </c>
      <c r="I537" s="18">
        <v>0</v>
      </c>
      <c r="J537" s="18">
        <v>0</v>
      </c>
      <c r="K537" s="18">
        <v>0</v>
      </c>
      <c r="L537" s="88">
        <f>SUM(F537:K537)</f>
        <v>341</v>
      </c>
      <c r="M537" s="8"/>
      <c r="N537" s="265"/>
    </row>
    <row r="538" spans="1:14" s="3" customFormat="1" ht="12.2" customHeight="1" x14ac:dyDescent="0.15">
      <c r="A538" s="22" t="s">
        <v>634</v>
      </c>
      <c r="B538" s="105">
        <v>21</v>
      </c>
      <c r="C538" s="105">
        <v>14</v>
      </c>
      <c r="D538" s="2" t="s">
        <v>432</v>
      </c>
      <c r="E538" s="105"/>
      <c r="F538" s="18">
        <v>0</v>
      </c>
      <c r="G538" s="18">
        <v>0</v>
      </c>
      <c r="H538" s="18">
        <v>341</v>
      </c>
      <c r="I538" s="18">
        <v>0</v>
      </c>
      <c r="J538" s="18">
        <v>0</v>
      </c>
      <c r="K538" s="18">
        <v>0</v>
      </c>
      <c r="L538" s="88">
        <f>SUM(F538:K538)</f>
        <v>341</v>
      </c>
      <c r="M538" s="8"/>
      <c r="N538" s="265"/>
    </row>
    <row r="539" spans="1:14" s="3" customFormat="1" ht="12.2" customHeight="1" thickBot="1" x14ac:dyDescent="0.2">
      <c r="A539" s="22" t="s">
        <v>635</v>
      </c>
      <c r="B539" s="105">
        <v>21</v>
      </c>
      <c r="C539" s="105">
        <v>15</v>
      </c>
      <c r="D539" s="2" t="s">
        <v>432</v>
      </c>
      <c r="E539" s="105"/>
      <c r="F539" s="18">
        <v>0</v>
      </c>
      <c r="G539" s="18">
        <v>0</v>
      </c>
      <c r="H539" s="18">
        <v>341</v>
      </c>
      <c r="I539" s="18">
        <v>0</v>
      </c>
      <c r="J539" s="18">
        <v>0</v>
      </c>
      <c r="K539" s="18">
        <v>0</v>
      </c>
      <c r="L539" s="88">
        <f>SUM(F539:K539)</f>
        <v>341</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1023</v>
      </c>
      <c r="I540" s="89">
        <f t="shared" si="39"/>
        <v>0</v>
      </c>
      <c r="J540" s="89">
        <f t="shared" si="39"/>
        <v>0</v>
      </c>
      <c r="K540" s="89">
        <f t="shared" si="39"/>
        <v>0</v>
      </c>
      <c r="L540" s="89">
        <f t="shared" si="39"/>
        <v>1023</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94968.9</v>
      </c>
      <c r="I542" s="18">
        <v>0</v>
      </c>
      <c r="J542" s="18">
        <v>0</v>
      </c>
      <c r="K542" s="18">
        <v>0</v>
      </c>
      <c r="L542" s="88">
        <f>SUM(F542:K542)</f>
        <v>94968.9</v>
      </c>
      <c r="M542" s="8"/>
      <c r="N542" s="265"/>
    </row>
    <row r="543" spans="1:14" s="3" customFormat="1" ht="12.2" customHeight="1" x14ac:dyDescent="0.15">
      <c r="A543" s="22" t="s">
        <v>634</v>
      </c>
      <c r="B543" s="105">
        <v>21</v>
      </c>
      <c r="C543" s="105">
        <v>18</v>
      </c>
      <c r="D543" s="2" t="s">
        <v>432</v>
      </c>
      <c r="E543" s="105"/>
      <c r="F543" s="18">
        <v>0</v>
      </c>
      <c r="G543" s="18">
        <v>0</v>
      </c>
      <c r="H543" s="18">
        <v>22101.1</v>
      </c>
      <c r="I543" s="18">
        <v>0</v>
      </c>
      <c r="J543" s="18">
        <v>0</v>
      </c>
      <c r="K543" s="18">
        <v>0</v>
      </c>
      <c r="L543" s="88">
        <f>SUM(F543:K543)</f>
        <v>22101.1</v>
      </c>
      <c r="M543" s="8"/>
      <c r="N543" s="265"/>
    </row>
    <row r="544" spans="1:14" s="3" customFormat="1" ht="12.2" customHeight="1" thickBot="1" x14ac:dyDescent="0.2">
      <c r="A544" s="22" t="s">
        <v>635</v>
      </c>
      <c r="B544" s="105">
        <v>21</v>
      </c>
      <c r="C544" s="105">
        <v>19</v>
      </c>
      <c r="D544" s="2" t="s">
        <v>432</v>
      </c>
      <c r="E544" s="105"/>
      <c r="F544" s="18">
        <v>0</v>
      </c>
      <c r="G544" s="18">
        <v>0</v>
      </c>
      <c r="H544" s="18">
        <v>98210</v>
      </c>
      <c r="I544" s="18">
        <v>0</v>
      </c>
      <c r="J544" s="18">
        <v>0</v>
      </c>
      <c r="K544" s="18">
        <v>0</v>
      </c>
      <c r="L544" s="88">
        <f>SUM(F544:K544)</f>
        <v>98210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215280</v>
      </c>
      <c r="I545" s="192">
        <f t="shared" si="40"/>
        <v>0</v>
      </c>
      <c r="J545" s="192">
        <f t="shared" si="40"/>
        <v>0</v>
      </c>
      <c r="K545" s="192">
        <f t="shared" si="40"/>
        <v>0</v>
      </c>
      <c r="L545" s="192">
        <f t="shared" si="40"/>
        <v>215280</v>
      </c>
      <c r="M545" s="8"/>
      <c r="N545" s="265"/>
    </row>
    <row r="546" spans="1:14" s="3" customFormat="1" ht="12.2" customHeight="1" thickTop="1" x14ac:dyDescent="0.15">
      <c r="A546" s="98" t="s">
        <v>72</v>
      </c>
      <c r="B546" s="107">
        <v>21</v>
      </c>
      <c r="C546" s="107">
        <v>21</v>
      </c>
      <c r="D546" s="158" t="s">
        <v>432</v>
      </c>
      <c r="E546" s="107"/>
      <c r="F546" s="89">
        <f>F525+F530+F535+F540+F545</f>
        <v>1261001.26</v>
      </c>
      <c r="G546" s="89">
        <f t="shared" ref="G546:L546" si="41">G525+G530+G535+G540+G545</f>
        <v>616660.84</v>
      </c>
      <c r="H546" s="89">
        <f t="shared" si="41"/>
        <v>722938.22</v>
      </c>
      <c r="I546" s="89">
        <f t="shared" si="41"/>
        <v>9403.6</v>
      </c>
      <c r="J546" s="89">
        <f t="shared" si="41"/>
        <v>2045.7</v>
      </c>
      <c r="K546" s="89">
        <f t="shared" si="41"/>
        <v>780</v>
      </c>
      <c r="L546" s="89">
        <f t="shared" si="41"/>
        <v>2612829.62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460750.58999999997</v>
      </c>
      <c r="G550" s="87">
        <f>L527</f>
        <v>243176.51906399999</v>
      </c>
      <c r="H550" s="87">
        <f>L532</f>
        <v>79223.051050000009</v>
      </c>
      <c r="I550" s="87">
        <f>L537</f>
        <v>341</v>
      </c>
      <c r="J550" s="87">
        <f>L542</f>
        <v>94968.9</v>
      </c>
      <c r="K550" s="87">
        <f>SUM(F550:J550)</f>
        <v>878460.06011399999</v>
      </c>
      <c r="L550" s="24" t="s">
        <v>288</v>
      </c>
      <c r="M550" s="8"/>
      <c r="N550" s="265"/>
    </row>
    <row r="551" spans="1:14" s="3" customFormat="1" ht="12.2" customHeight="1" x14ac:dyDescent="0.15">
      <c r="A551" s="22" t="s">
        <v>634</v>
      </c>
      <c r="B551" s="75">
        <v>21</v>
      </c>
      <c r="C551" s="75">
        <v>23</v>
      </c>
      <c r="D551" s="2" t="s">
        <v>432</v>
      </c>
      <c r="E551" s="75"/>
      <c r="F551" s="87">
        <f>L523</f>
        <v>402886.10000000003</v>
      </c>
      <c r="G551" s="87">
        <f>L528</f>
        <v>168979.20880399999</v>
      </c>
      <c r="H551" s="87">
        <f>L533</f>
        <v>68675.603425000008</v>
      </c>
      <c r="I551" s="87">
        <f>L538</f>
        <v>341</v>
      </c>
      <c r="J551" s="87">
        <f>L543</f>
        <v>22101.1</v>
      </c>
      <c r="K551" s="87">
        <f>SUM(F551:J551)</f>
        <v>662983.01222899999</v>
      </c>
      <c r="L551" s="24" t="s">
        <v>288</v>
      </c>
      <c r="M551" s="8"/>
      <c r="N551" s="265"/>
    </row>
    <row r="552" spans="1:14" s="3" customFormat="1" ht="12.2" customHeight="1" thickBot="1" x14ac:dyDescent="0.2">
      <c r="A552" s="22" t="s">
        <v>635</v>
      </c>
      <c r="B552" s="75">
        <v>21</v>
      </c>
      <c r="C552" s="75">
        <v>24</v>
      </c>
      <c r="D552" s="2" t="s">
        <v>432</v>
      </c>
      <c r="E552" s="75"/>
      <c r="F552" s="87">
        <f>L524</f>
        <v>701992.88</v>
      </c>
      <c r="G552" s="87">
        <f>L529</f>
        <v>205661.57213200003</v>
      </c>
      <c r="H552" s="87">
        <f>L534</f>
        <v>65181.095525000004</v>
      </c>
      <c r="I552" s="87">
        <f>L539</f>
        <v>341</v>
      </c>
      <c r="J552" s="87">
        <f>L544</f>
        <v>98210</v>
      </c>
      <c r="K552" s="87">
        <f>SUM(F552:J552)</f>
        <v>1071386.5476569999</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1565629.5699999998</v>
      </c>
      <c r="G553" s="89">
        <f t="shared" si="42"/>
        <v>617817.30000000005</v>
      </c>
      <c r="H553" s="89">
        <f t="shared" si="42"/>
        <v>213079.75000000003</v>
      </c>
      <c r="I553" s="89">
        <f t="shared" si="42"/>
        <v>1023</v>
      </c>
      <c r="J553" s="89">
        <f t="shared" si="42"/>
        <v>215280</v>
      </c>
      <c r="K553" s="89">
        <f t="shared" si="42"/>
        <v>2612829.62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5"/>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5"/>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0</v>
      </c>
      <c r="H576" s="18">
        <v>17861.07</v>
      </c>
      <c r="I576" s="87">
        <f>SUM(F576:H576)</f>
        <v>17861.07</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0</v>
      </c>
      <c r="G580" s="18">
        <v>0</v>
      </c>
      <c r="H580" s="18">
        <v>0</v>
      </c>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0</v>
      </c>
      <c r="G583" s="18">
        <v>0</v>
      </c>
      <c r="H583" s="18">
        <v>379801.65</v>
      </c>
      <c r="I583" s="87">
        <f>SUM(F583:H583)</f>
        <v>379801.65</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3566.29</v>
      </c>
      <c r="I585" s="87">
        <f t="shared" si="47"/>
        <v>3566.29</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232078.33</v>
      </c>
      <c r="I592" s="18">
        <v>155817.84999999998</v>
      </c>
      <c r="J592" s="18">
        <v>160647.82</v>
      </c>
      <c r="K592" s="104">
        <f t="shared" ref="K592:K598" si="48">SUM(H592:J592)</f>
        <v>548544</v>
      </c>
      <c r="L592" s="24" t="s">
        <v>288</v>
      </c>
      <c r="M592" s="8"/>
      <c r="N592" s="265"/>
    </row>
    <row r="593" spans="1:14" s="3" customFormat="1" ht="12.2" customHeight="1" x14ac:dyDescent="0.15">
      <c r="A593" s="3" t="s">
        <v>638</v>
      </c>
      <c r="B593" s="75">
        <v>23</v>
      </c>
      <c r="C593" s="75">
        <v>2</v>
      </c>
      <c r="D593" s="2" t="s">
        <v>432</v>
      </c>
      <c r="E593" s="75"/>
      <c r="F593" s="102">
        <v>2722</v>
      </c>
      <c r="G593" s="103" t="s">
        <v>97</v>
      </c>
      <c r="H593" s="18">
        <v>94968.9</v>
      </c>
      <c r="I593" s="18">
        <v>22101.1</v>
      </c>
      <c r="J593" s="18">
        <v>98210</v>
      </c>
      <c r="K593" s="104">
        <f t="shared" si="48"/>
        <v>215280</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13641.6</v>
      </c>
      <c r="J595" s="18">
        <v>37720.089999999997</v>
      </c>
      <c r="K595" s="104">
        <f t="shared" si="48"/>
        <v>51361.689999999995</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0</v>
      </c>
      <c r="I596" s="18">
        <v>1300.1600000000001</v>
      </c>
      <c r="J596" s="18">
        <v>725</v>
      </c>
      <c r="K596" s="104">
        <f t="shared" si="48"/>
        <v>2025.16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327047.23</v>
      </c>
      <c r="I599" s="108">
        <f>SUM(I592:I598)</f>
        <v>192860.71</v>
      </c>
      <c r="J599" s="108">
        <f>SUM(J592:J598)</f>
        <v>297302.91000000003</v>
      </c>
      <c r="K599" s="108">
        <f>SUM(K592:K598)</f>
        <v>817210.85</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8191.339444+66148.58</f>
        <v>74339.919443999999</v>
      </c>
      <c r="I605" s="18">
        <f>13147.791234+57341.81</f>
        <v>70489.601234000002</v>
      </c>
      <c r="J605" s="18">
        <f>15071.189322+54424.02</f>
        <v>69495.209321999995</v>
      </c>
      <c r="K605" s="104">
        <f>SUM(H605:J605)</f>
        <v>214324.72999999998</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74339.919443999999</v>
      </c>
      <c r="I606" s="108">
        <f>SUM(I603:I605)</f>
        <v>70489.601234000002</v>
      </c>
      <c r="J606" s="108">
        <f>SUM(J603:J605)</f>
        <v>69495.209321999995</v>
      </c>
      <c r="K606" s="108">
        <f>SUM(K603:K605)</f>
        <v>214324.72999999998</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1027.5</v>
      </c>
      <c r="G612" s="18">
        <f>115.18+182.56</f>
        <v>297.74</v>
      </c>
      <c r="H612" s="18">
        <v>0</v>
      </c>
      <c r="I612" s="18">
        <v>0</v>
      </c>
      <c r="J612" s="18">
        <v>0</v>
      </c>
      <c r="K612" s="18">
        <v>0</v>
      </c>
      <c r="L612" s="88">
        <f>SUM(F612:K612)</f>
        <v>1325.24</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1027.5</v>
      </c>
      <c r="G615" s="108">
        <f t="shared" si="49"/>
        <v>297.74</v>
      </c>
      <c r="H615" s="108">
        <f t="shared" si="49"/>
        <v>0</v>
      </c>
      <c r="I615" s="108">
        <f t="shared" si="49"/>
        <v>0</v>
      </c>
      <c r="J615" s="108">
        <f t="shared" si="49"/>
        <v>0</v>
      </c>
      <c r="K615" s="108">
        <f t="shared" si="49"/>
        <v>0</v>
      </c>
      <c r="L615" s="89">
        <f t="shared" si="49"/>
        <v>1325.24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1210973.4100000001</v>
      </c>
      <c r="H618" s="109">
        <f>SUM(F52)</f>
        <v>1210973.4100000001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352393.93</v>
      </c>
      <c r="H619" s="109">
        <f>SUM(G52)</f>
        <v>352393.93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414299.15</v>
      </c>
      <c r="H620" s="109">
        <f>SUM(H52)</f>
        <v>414299.15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727616.12</v>
      </c>
      <c r="H622" s="109">
        <f>SUM(J52)</f>
        <v>727616.12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1131347.3800000001</v>
      </c>
      <c r="H623" s="109">
        <f>F477</f>
        <v>1131347.3800000027</v>
      </c>
      <c r="I623" s="121" t="s">
        <v>101</v>
      </c>
      <c r="J623" s="109">
        <f t="shared" ref="J623:J656" si="50">G623-H623</f>
        <v>-2.5611370801925659E-9</v>
      </c>
      <c r="K623" s="109"/>
      <c r="L623" s="109"/>
      <c r="M623" s="8"/>
    </row>
    <row r="624" spans="1:14" s="3" customFormat="1" ht="12.2" customHeight="1" x14ac:dyDescent="0.15">
      <c r="A624" s="97"/>
      <c r="B624" s="105"/>
      <c r="C624" s="119"/>
      <c r="D624" s="119"/>
      <c r="E624" s="119"/>
      <c r="F624" s="119" t="s">
        <v>866</v>
      </c>
      <c r="G624" s="109">
        <f>G51</f>
        <v>121022.18</v>
      </c>
      <c r="H624" s="109">
        <f>G477</f>
        <v>121022.17999999993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305.57</v>
      </c>
      <c r="H625" s="109">
        <f>H477</f>
        <v>305.56999999983236</v>
      </c>
      <c r="I625" s="121" t="s">
        <v>103</v>
      </c>
      <c r="J625" s="109">
        <f t="shared" si="50"/>
        <v>1.6763124222052284E-10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727616.12</v>
      </c>
      <c r="H627" s="109">
        <f>J477</f>
        <v>727616.12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16759984.500000002</v>
      </c>
      <c r="H628" s="104">
        <f>SUM(F469)</f>
        <v>16759984.500000002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709868.24</v>
      </c>
      <c r="H629" s="104">
        <f>SUM(G469)</f>
        <v>709868.24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1744303.1899999997</v>
      </c>
      <c r="H630" s="104">
        <f>SUM(H469)</f>
        <v>1744303.1899999997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41000</v>
      </c>
      <c r="H632" s="104">
        <f>SUM(J469)</f>
        <v>41000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17458365.469999999</v>
      </c>
      <c r="H633" s="104">
        <f>SUM(F473)</f>
        <v>17458365.469999999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1744303.22</v>
      </c>
      <c r="H634" s="104">
        <f>SUM(H473)</f>
        <v>1744303.22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303.86</v>
      </c>
      <c r="H635" s="104">
        <f>I370</f>
        <v>303.86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654467.03</v>
      </c>
      <c r="H636" s="104">
        <f>SUM(G473)</f>
        <v>654467.03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41000</v>
      </c>
      <c r="H638" s="164">
        <f>SUM(J469)</f>
        <v>41000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725514.88</v>
      </c>
      <c r="H640" s="104">
        <f>SUM(F462)</f>
        <v>725514.88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2101.2399999999998</v>
      </c>
      <c r="H641" s="104">
        <f>SUM(G462)</f>
        <v>2101.2399999999998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727616.12</v>
      </c>
      <c r="H643" s="104">
        <f>SUM(I462)</f>
        <v>727616.12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41000</v>
      </c>
      <c r="H646" s="104">
        <f>G409</f>
        <v>41000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41000</v>
      </c>
      <c r="H647" s="104">
        <f>L409</f>
        <v>41000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817210.85</v>
      </c>
      <c r="H648" s="104">
        <f>L209+L227+L245</f>
        <v>817210.85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214324.72999999998</v>
      </c>
      <c r="H649" s="104">
        <f>(J258+J339)-(J256+J337)</f>
        <v>214324.73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327047.23</v>
      </c>
      <c r="H650" s="104">
        <f>H599</f>
        <v>327047.23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192860.71</v>
      </c>
      <c r="H651" s="104">
        <f>I599</f>
        <v>192860.71</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297302.91000000003</v>
      </c>
      <c r="H652" s="104">
        <f>J599</f>
        <v>297302.91000000003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41000</v>
      </c>
      <c r="H656" s="104">
        <f>K267+K348</f>
        <v>41000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6180360.0582319992</v>
      </c>
      <c r="G661" s="19">
        <f>(L230+L310+L360)</f>
        <v>5329746.0738519998</v>
      </c>
      <c r="H661" s="19">
        <f>(L248+L329+L361)</f>
        <v>6371643.8279159991</v>
      </c>
      <c r="I661" s="19">
        <f>SUM(F661:H661)</f>
        <v>17881749.959999997</v>
      </c>
      <c r="J661" s="13"/>
      <c r="K661" s="13"/>
      <c r="L661" s="13"/>
      <c r="M661" s="9"/>
    </row>
    <row r="662" spans="1:13" s="3" customFormat="1" ht="12.2" customHeight="1" x14ac:dyDescent="0.2">
      <c r="A662" s="1" t="s">
        <v>127</v>
      </c>
      <c r="F662" s="19">
        <f>(L359/IF(SUM(L359:L361)=0,1,SUM(L359:L361))*(SUM(G97:G110)))</f>
        <v>13862.105685999999</v>
      </c>
      <c r="G662" s="19">
        <f>(L360/IF(SUM(L359:L361)=0,1,SUM(L359:L361))*(SUM(G97:G110)))</f>
        <v>12016.559070999996</v>
      </c>
      <c r="H662" s="19">
        <f>(L361/IF(SUM(L359:L361)=0,1,SUM(L359:L361))*(SUM(G97:G110)))</f>
        <v>11405.105243</v>
      </c>
      <c r="I662" s="19">
        <f>SUM(F662:H662)</f>
        <v>37283.769999999997</v>
      </c>
      <c r="J662"/>
      <c r="K662" s="13"/>
      <c r="L662" s="13"/>
      <c r="M662" s="8"/>
    </row>
    <row r="663" spans="1:13" s="3" customFormat="1" ht="12.2" customHeight="1" x14ac:dyDescent="0.2">
      <c r="A663" s="1" t="s">
        <v>128</v>
      </c>
      <c r="F663" s="19">
        <f>(L209+L288)-(J209+J288)</f>
        <v>330727.12</v>
      </c>
      <c r="G663" s="19">
        <f>(L227+L307)-(J227+J307)</f>
        <v>196050.66999999998</v>
      </c>
      <c r="H663" s="19">
        <f>(L245+L326)-(J245+J326)</f>
        <v>300330.56000000006</v>
      </c>
      <c r="I663" s="19">
        <f>SUM(F663:H663)</f>
        <v>827108.35000000009</v>
      </c>
      <c r="J663"/>
      <c r="K663" s="13"/>
      <c r="L663" s="13"/>
      <c r="M663" s="9"/>
    </row>
    <row r="664" spans="1:13" s="3" customFormat="1" ht="12.2" customHeight="1" x14ac:dyDescent="0.15">
      <c r="A664" s="197" t="s">
        <v>129</v>
      </c>
      <c r="B664" s="169"/>
      <c r="C664" s="169"/>
      <c r="D664" s="169"/>
      <c r="E664" s="169"/>
      <c r="F664" s="198">
        <f>SUM(F576:F588)+SUM(H603:H605)+SUM(L612)</f>
        <v>75665.159444000004</v>
      </c>
      <c r="G664" s="198">
        <f>SUM(G576:G588)+SUM(I603:I605)+L613</f>
        <v>70489.601234000002</v>
      </c>
      <c r="H664" s="198">
        <f>SUM(H576:H588)+SUM(J603:J605)+L614</f>
        <v>470724.21932199999</v>
      </c>
      <c r="I664" s="19">
        <f>SUM(F664:H664)</f>
        <v>616878.98</v>
      </c>
      <c r="J664" s="13"/>
      <c r="K664" s="13"/>
      <c r="L664" s="13"/>
      <c r="M664" s="9"/>
    </row>
    <row r="665" spans="1:13" s="3" customFormat="1" ht="12.2" customHeight="1" x14ac:dyDescent="0.15">
      <c r="A665" s="1" t="s">
        <v>130</v>
      </c>
      <c r="F665" s="19">
        <f>F661-SUM(F662:F664)</f>
        <v>5760105.6731019989</v>
      </c>
      <c r="G665" s="19">
        <f>G661-SUM(G662:G664)</f>
        <v>5051189.243547</v>
      </c>
      <c r="H665" s="19">
        <f>H661-SUM(H662:H664)</f>
        <v>5589183.9433509987</v>
      </c>
      <c r="I665" s="19">
        <f>I661-SUM(I662:I664)</f>
        <v>16400478.859999998</v>
      </c>
      <c r="J665" s="13"/>
      <c r="K665" s="13"/>
      <c r="L665" s="13"/>
      <c r="M665" s="8"/>
    </row>
    <row r="666" spans="1:13" s="3" customFormat="1" ht="12.2" customHeight="1" x14ac:dyDescent="0.2">
      <c r="A666" s="1" t="s">
        <v>131</v>
      </c>
      <c r="F666" s="245">
        <v>342.58</v>
      </c>
      <c r="G666" s="246">
        <v>271.35000000000002</v>
      </c>
      <c r="H666" s="246">
        <v>262.87</v>
      </c>
      <c r="I666" s="19">
        <f>SUM(F666:H666)</f>
        <v>876.80000000000007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16813.900000000001</v>
      </c>
      <c r="G668" s="19">
        <f>ROUND(G665/G666,2)</f>
        <v>18615.03</v>
      </c>
      <c r="H668" s="19">
        <f>ROUND(H665/H666,2)</f>
        <v>21262.16</v>
      </c>
      <c r="I668" s="19">
        <f>ROUND(I665/I666,2)</f>
        <v>18704.93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3.22</v>
      </c>
      <c r="I671" s="19">
        <f>SUM(F671:H671)</f>
        <v>3.22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16813.900000000001</v>
      </c>
      <c r="G673" s="19">
        <f>ROUND((G665+G670)/(G666+G671),2)</f>
        <v>18615.03</v>
      </c>
      <c r="H673" s="19">
        <f>ROUND((H665+H670)/(H666+H671),2)</f>
        <v>21004.86</v>
      </c>
      <c r="I673" s="19">
        <f>ROUND((I665+I670)/(I666+I671),2)</f>
        <v>18636.48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9" sqref="C29"/>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129943.43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67353.19</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39890.589999999997</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f>1183.2+19744.52+763.98+1007.95</f>
        <v>22699.65</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2"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Mascenic Regional</v>
      </c>
      <c r="C5" s="375"/>
      <c r="D5" s="375"/>
      <c r="E5" s="375"/>
      <c r="F5" s="375"/>
    </row>
    <row r="8" spans="1:9" ht="18" x14ac:dyDescent="0.25">
      <c r="A8" s="312" t="s">
        <v>1568</v>
      </c>
      <c r="F8" s="319" t="s">
        <v>1586</v>
      </c>
    </row>
    <row r="9" spans="1:9" ht="15" x14ac:dyDescent="0.2">
      <c r="A9" s="310" t="s">
        <v>1569</v>
      </c>
      <c r="B9" s="313">
        <f>'DOE25'!G97</f>
        <v>37283.769999999997</v>
      </c>
      <c r="F9" s="310" t="s">
        <v>1582</v>
      </c>
    </row>
    <row r="10" spans="1:9" ht="15" x14ac:dyDescent="0.2">
      <c r="A10" s="310" t="s">
        <v>1570</v>
      </c>
      <c r="B10" s="313">
        <f>'DOE25'!G112-'DOE25'!G97</f>
        <v>0</v>
      </c>
      <c r="F10" s="310" t="s">
        <v>1583</v>
      </c>
    </row>
    <row r="11" spans="1:9" ht="15" x14ac:dyDescent="0.2">
      <c r="A11" s="310" t="s">
        <v>1571</v>
      </c>
      <c r="B11" s="313">
        <f>'DOE25'!G140</f>
        <v>8153.09</v>
      </c>
      <c r="F11" s="310" t="s">
        <v>1584</v>
      </c>
    </row>
    <row r="12" spans="1:9" ht="15" x14ac:dyDescent="0.2">
      <c r="A12" s="310" t="s">
        <v>1572</v>
      </c>
      <c r="B12" s="313">
        <f>'DOE25'!G170</f>
        <v>664431.38</v>
      </c>
      <c r="F12" s="310" t="s">
        <v>1585</v>
      </c>
    </row>
    <row r="13" spans="1:9" ht="15" x14ac:dyDescent="0.2">
      <c r="A13" s="310" t="s">
        <v>1573</v>
      </c>
      <c r="B13" s="313">
        <f>'DOE25'!G193-'DOE25'!G180</f>
        <v>0</v>
      </c>
      <c r="F13" s="310" t="s">
        <v>1595</v>
      </c>
    </row>
    <row r="14" spans="1:9" ht="18" x14ac:dyDescent="0.25">
      <c r="A14" s="312" t="s">
        <v>732</v>
      </c>
      <c r="B14" s="314">
        <f>SUM(B9:B13)</f>
        <v>709868.24</v>
      </c>
    </row>
    <row r="16" spans="1:9" ht="18" x14ac:dyDescent="0.25">
      <c r="A16" s="312" t="s">
        <v>786</v>
      </c>
      <c r="F16" s="319" t="s">
        <v>1587</v>
      </c>
    </row>
    <row r="17" spans="1:6" ht="15" x14ac:dyDescent="0.2">
      <c r="A17" s="310" t="s">
        <v>1574</v>
      </c>
      <c r="B17" s="313">
        <f>'DOE25'!L363-'DOE25'!L362</f>
        <v>654467.03</v>
      </c>
      <c r="F17" s="310" t="s">
        <v>1588</v>
      </c>
    </row>
    <row r="18" spans="1:6" ht="15" x14ac:dyDescent="0.2">
      <c r="A18" s="310" t="s">
        <v>1575</v>
      </c>
      <c r="B18" s="323"/>
      <c r="F18" s="319" t="s">
        <v>1612</v>
      </c>
    </row>
    <row r="19" spans="1:6" ht="18" x14ac:dyDescent="0.25">
      <c r="A19" s="312" t="s">
        <v>725</v>
      </c>
      <c r="B19" s="314">
        <f>SUM(B17:B18)</f>
        <v>654467.03</v>
      </c>
    </row>
    <row r="21" spans="1:6" ht="18.75" thickBot="1" x14ac:dyDescent="0.3">
      <c r="A21" s="312" t="s">
        <v>1576</v>
      </c>
    </row>
    <row r="22" spans="1:6" ht="18.75" thickTop="1" x14ac:dyDescent="0.25">
      <c r="A22" s="312" t="s">
        <v>1577</v>
      </c>
      <c r="B22" s="318">
        <f>B14-B19</f>
        <v>55401.209999999963</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65620.97</v>
      </c>
      <c r="F31" s="310" t="s">
        <v>1592</v>
      </c>
    </row>
    <row r="33" spans="1:6" ht="15" x14ac:dyDescent="0.2">
      <c r="A33" s="310" t="s">
        <v>1635</v>
      </c>
      <c r="B33" s="313">
        <f>'DOE25'!G477</f>
        <v>121022.17999999993</v>
      </c>
      <c r="F33" s="310" t="s">
        <v>1593</v>
      </c>
    </row>
    <row r="36" spans="1:6" ht="15" x14ac:dyDescent="0.2">
      <c r="A36" s="310" t="s">
        <v>1579</v>
      </c>
      <c r="B36" s="324">
        <v>29634.86</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Mascenic Regional</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4690719.0699999994</v>
      </c>
      <c r="C9" s="228">
        <f>'DOE25'!G198+'DOE25'!G216+'DOE25'!G234+'DOE25'!G277+'DOE25'!G296+'DOE25'!G315</f>
        <v>2398898.3199999998</v>
      </c>
    </row>
    <row r="10" spans="1:3" x14ac:dyDescent="0.2">
      <c r="A10" t="s">
        <v>775</v>
      </c>
      <c r="B10" s="239">
        <f>4194422.61+164925</f>
        <v>4359347.6100000003</v>
      </c>
      <c r="C10" s="239">
        <f>(B10/B13)*(2263372.76+135525.56)</f>
        <v>2229430.3926252853</v>
      </c>
    </row>
    <row r="11" spans="1:3" x14ac:dyDescent="0.2">
      <c r="A11" t="s">
        <v>776</v>
      </c>
      <c r="B11" s="239">
        <v>72280.23</v>
      </c>
      <c r="C11" s="239">
        <f>(B11/B13)*(2263372.76+135525.56)</f>
        <v>36965.104865300222</v>
      </c>
    </row>
    <row r="12" spans="1:3" x14ac:dyDescent="0.2">
      <c r="A12" t="s">
        <v>777</v>
      </c>
      <c r="B12" s="239">
        <f>147226.98+111864.24+0.01</f>
        <v>259091.23000000004</v>
      </c>
      <c r="C12" s="239">
        <f>(B12/B13)*(2263372.76+135525.56)</f>
        <v>132502.82250941399</v>
      </c>
    </row>
    <row r="13" spans="1:3" x14ac:dyDescent="0.2">
      <c r="A13" t="str">
        <f>IF(B9=B13,IF(C9=C13,"Check Total OK","Check Total Error"),"Check Total Error")</f>
        <v>Check Total OK</v>
      </c>
      <c r="B13" s="230">
        <f>SUM(B10:B12)</f>
        <v>4690719.0700000012</v>
      </c>
      <c r="C13" s="230">
        <f>SUM(C10:C12)</f>
        <v>2398898.3199999994</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1057995.0900000001</v>
      </c>
      <c r="C18" s="228">
        <f>'DOE25'!G199+'DOE25'!G217+'DOE25'!G235+'DOE25'!G278+'DOE25'!G297+'DOE25'!G316</f>
        <v>562977.81000000006</v>
      </c>
    </row>
    <row r="19" spans="1:3" x14ac:dyDescent="0.2">
      <c r="A19" t="s">
        <v>775</v>
      </c>
      <c r="B19" s="239">
        <f>327232.35+213160.05</f>
        <v>540392.39999999991</v>
      </c>
      <c r="C19" s="239">
        <f>(B19/B22)*(397827.49+165150.32)</f>
        <v>287552.30791538366</v>
      </c>
    </row>
    <row r="20" spans="1:3" x14ac:dyDescent="0.2">
      <c r="A20" t="s">
        <v>776</v>
      </c>
      <c r="B20" s="239">
        <f>429274.79+61091.45</f>
        <v>490366.24</v>
      </c>
      <c r="C20" s="239">
        <f>(B20/B22)*(397827.49+165150.32)</f>
        <v>260932.50762925038</v>
      </c>
    </row>
    <row r="21" spans="1:3" x14ac:dyDescent="0.2">
      <c r="A21" t="s">
        <v>777</v>
      </c>
      <c r="B21" s="239">
        <v>27236.449999999997</v>
      </c>
      <c r="C21" s="239">
        <f>(B21/B22)*(397827.49+165150.32)</f>
        <v>14492.994455366048</v>
      </c>
    </row>
    <row r="22" spans="1:3" x14ac:dyDescent="0.2">
      <c r="A22" t="str">
        <f>IF(B18=B22,IF(C18=C22,"Check Total OK","Check Total Error"),"Check Total Error")</f>
        <v>Check Total OK</v>
      </c>
      <c r="B22" s="230">
        <f>SUM(B19:B21)</f>
        <v>1057995.0899999999</v>
      </c>
      <c r="C22" s="230">
        <f>SUM(C19:C21)</f>
        <v>562977.81000000006</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64157.78</v>
      </c>
      <c r="C27" s="233">
        <f>'DOE25'!G200+'DOE25'!G218+'DOE25'!G236+'DOE25'!G279+'DOE25'!G298+'DOE25'!G317</f>
        <v>23716.500000000004</v>
      </c>
    </row>
    <row r="28" spans="1:3" x14ac:dyDescent="0.2">
      <c r="A28" t="s">
        <v>775</v>
      </c>
      <c r="B28" s="239">
        <v>64157.78</v>
      </c>
      <c r="C28" s="239">
        <v>23716.500000000004</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64157.78</v>
      </c>
      <c r="C31" s="230">
        <f>SUM(C28:C30)</f>
        <v>23716.500000000004</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118189.31</v>
      </c>
      <c r="C36" s="234">
        <f>'DOE25'!G201+'DOE25'!G219+'DOE25'!G237+'DOE25'!G280+'DOE25'!G299+'DOE25'!G318</f>
        <v>23935.07</v>
      </c>
    </row>
    <row r="37" spans="1:3" x14ac:dyDescent="0.2">
      <c r="A37" t="s">
        <v>775</v>
      </c>
      <c r="B37" s="239">
        <v>18772.509999999998</v>
      </c>
      <c r="C37" s="239">
        <v>4537.66</v>
      </c>
    </row>
    <row r="38" spans="1:3" x14ac:dyDescent="0.2">
      <c r="A38" t="s">
        <v>776</v>
      </c>
      <c r="B38" s="239">
        <v>0</v>
      </c>
      <c r="C38" s="239">
        <v>0</v>
      </c>
    </row>
    <row r="39" spans="1:3" x14ac:dyDescent="0.2">
      <c r="A39" t="s">
        <v>777</v>
      </c>
      <c r="B39" s="239">
        <v>99416.8</v>
      </c>
      <c r="C39" s="239">
        <v>19397.41</v>
      </c>
    </row>
    <row r="40" spans="1:3" x14ac:dyDescent="0.2">
      <c r="A40" t="str">
        <f>IF(B36=B40,IF(C36=C40,"Check Total OK","Check Total Error"),"Check Total Error")</f>
        <v>Check Total OK</v>
      </c>
      <c r="B40" s="230">
        <f>SUM(B37:B39)</f>
        <v>118189.31</v>
      </c>
      <c r="C40" s="230">
        <f>SUM(C37:C39)</f>
        <v>23935.07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B41" sqref="B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Mascenic Regional</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8793226.0399999991</v>
      </c>
      <c r="D5" s="20">
        <f>SUM('DOE25'!L198:L201)+SUM('DOE25'!L216:L219)+SUM('DOE25'!L234:L237)-F5-G5-H5</f>
        <v>8757851.6199999992</v>
      </c>
      <c r="E5" s="242"/>
      <c r="F5" s="243">
        <v>0</v>
      </c>
      <c r="G5" s="53">
        <f>SUM('DOE25'!J198:J201)+SUM('DOE25'!J216:J219)+SUM('DOE25'!J234:J237)</f>
        <v>24007.010000000002</v>
      </c>
      <c r="H5" s="53">
        <f>SUM('DOE25'!K198:K201)+SUM('DOE25'!K216:K219)+SUM('DOE25'!K234:K237)</f>
        <v>11367.41</v>
      </c>
      <c r="I5" s="255"/>
    </row>
    <row r="6" spans="1:9" x14ac:dyDescent="0.2">
      <c r="A6" s="32">
        <v>2100</v>
      </c>
      <c r="B6" t="s">
        <v>796</v>
      </c>
      <c r="C6" s="274">
        <f t="shared" si="0"/>
        <v>1324507.68</v>
      </c>
      <c r="D6" s="20">
        <f>'DOE25'!L203+'DOE25'!L221+'DOE25'!L239-F6-G6-H6</f>
        <v>1287103.1099999999</v>
      </c>
      <c r="E6" s="242"/>
      <c r="F6" s="243">
        <f>62077.98-25000</f>
        <v>37077.980000000003</v>
      </c>
      <c r="G6" s="53">
        <f>'DOE25'!J203+'DOE25'!J221+'DOE25'!J239</f>
        <v>301.58999999999997</v>
      </c>
      <c r="H6" s="53">
        <f>'DOE25'!K203+'DOE25'!K221+'DOE25'!K239</f>
        <v>25</v>
      </c>
      <c r="I6" s="255"/>
    </row>
    <row r="7" spans="1:9" x14ac:dyDescent="0.2">
      <c r="A7" s="32">
        <v>2200</v>
      </c>
      <c r="B7" t="s">
        <v>821</v>
      </c>
      <c r="C7" s="274">
        <f t="shared" si="0"/>
        <v>253427.88999999998</v>
      </c>
      <c r="D7" s="20">
        <f>'DOE25'!L204+'DOE25'!L222+'DOE25'!L240-F7-G7-H7</f>
        <v>252678.34999999998</v>
      </c>
      <c r="E7" s="242"/>
      <c r="F7" s="243">
        <v>0</v>
      </c>
      <c r="G7" s="53">
        <f>'DOE25'!J204+'DOE25'!J222+'DOE25'!J240</f>
        <v>749.54</v>
      </c>
      <c r="H7" s="53">
        <f>'DOE25'!K204+'DOE25'!K222+'DOE25'!K240</f>
        <v>0</v>
      </c>
      <c r="I7" s="255"/>
    </row>
    <row r="8" spans="1:9" x14ac:dyDescent="0.2">
      <c r="A8" s="32">
        <v>2300</v>
      </c>
      <c r="B8" t="s">
        <v>797</v>
      </c>
      <c r="C8" s="274">
        <f t="shared" si="0"/>
        <v>354992.83</v>
      </c>
      <c r="D8" s="242"/>
      <c r="E8" s="20">
        <f>'DOE25'!L205+'DOE25'!L223+'DOE25'!L241-F8-G8-H8-D9-D11</f>
        <v>346394</v>
      </c>
      <c r="F8" s="243">
        <v>0</v>
      </c>
      <c r="G8" s="53">
        <f>'DOE25'!J205+'DOE25'!J223+'DOE25'!J241</f>
        <v>239.99</v>
      </c>
      <c r="H8" s="53">
        <f>'DOE25'!K205+'DOE25'!K223+'DOE25'!K241</f>
        <v>8358.84</v>
      </c>
      <c r="I8" s="255"/>
    </row>
    <row r="9" spans="1:9" ht="14.25" x14ac:dyDescent="0.2">
      <c r="A9" s="32">
        <v>2310</v>
      </c>
      <c r="B9" s="184" t="s">
        <v>888</v>
      </c>
      <c r="C9" s="274">
        <f t="shared" si="0"/>
        <v>121385.93</v>
      </c>
      <c r="D9" s="243">
        <v>121385.93</v>
      </c>
      <c r="E9" s="242"/>
      <c r="F9" s="252"/>
      <c r="G9" s="252"/>
      <c r="H9" s="252"/>
      <c r="I9" s="255"/>
    </row>
    <row r="10" spans="1:9" ht="14.25" x14ac:dyDescent="0.2">
      <c r="A10" s="32">
        <v>2317</v>
      </c>
      <c r="B10" s="184" t="s">
        <v>889</v>
      </c>
      <c r="C10" s="274">
        <f t="shared" si="0"/>
        <v>23850</v>
      </c>
      <c r="D10" s="242"/>
      <c r="E10" s="243">
        <v>23850</v>
      </c>
      <c r="F10" s="252"/>
      <c r="G10" s="252"/>
      <c r="H10" s="252"/>
      <c r="I10" s="255"/>
    </row>
    <row r="11" spans="1:9" ht="14.25" x14ac:dyDescent="0.2">
      <c r="A11" s="32">
        <v>2321</v>
      </c>
      <c r="B11" s="184" t="s">
        <v>890</v>
      </c>
      <c r="C11" s="274">
        <f t="shared" si="0"/>
        <v>253950.47</v>
      </c>
      <c r="D11" s="243">
        <v>253950.47</v>
      </c>
      <c r="E11" s="242"/>
      <c r="F11" s="252"/>
      <c r="G11" s="252"/>
      <c r="H11" s="252"/>
      <c r="I11" s="255"/>
    </row>
    <row r="12" spans="1:9" x14ac:dyDescent="0.2">
      <c r="A12" s="32">
        <v>2400</v>
      </c>
      <c r="B12" t="s">
        <v>711</v>
      </c>
      <c r="C12" s="274">
        <f t="shared" si="0"/>
        <v>1357355.28</v>
      </c>
      <c r="D12" s="20">
        <f>'DOE25'!L206+'DOE25'!L224+'DOE25'!L242-F12-G12-H12</f>
        <v>1347898.9000000001</v>
      </c>
      <c r="E12" s="242"/>
      <c r="F12" s="243">
        <v>0</v>
      </c>
      <c r="G12" s="53">
        <f>'DOE25'!J206+'DOE25'!J224+'DOE25'!J242</f>
        <v>0</v>
      </c>
      <c r="H12" s="53">
        <f>'DOE25'!K206+'DOE25'!K224+'DOE25'!K242</f>
        <v>9456.3799999999992</v>
      </c>
      <c r="I12" s="255"/>
    </row>
    <row r="13" spans="1:9" x14ac:dyDescent="0.2">
      <c r="A13" s="32">
        <v>2500</v>
      </c>
      <c r="B13" t="s">
        <v>798</v>
      </c>
      <c r="C13" s="274">
        <f t="shared" si="0"/>
        <v>375897.08000000007</v>
      </c>
      <c r="D13" s="242"/>
      <c r="E13" s="20">
        <f>'DOE25'!L207+'DOE25'!L225+'DOE25'!L243-F13-G13-H13</f>
        <v>372440.06000000006</v>
      </c>
      <c r="F13" s="243">
        <v>0</v>
      </c>
      <c r="G13" s="53">
        <f>'DOE25'!J207+'DOE25'!J225+'DOE25'!J243</f>
        <v>0</v>
      </c>
      <c r="H13" s="53">
        <f>'DOE25'!K207+'DOE25'!K225+'DOE25'!K243</f>
        <v>3457.02</v>
      </c>
      <c r="I13" s="255"/>
    </row>
    <row r="14" spans="1:9" x14ac:dyDescent="0.2">
      <c r="A14" s="32">
        <v>2600</v>
      </c>
      <c r="B14" t="s">
        <v>819</v>
      </c>
      <c r="C14" s="274">
        <f t="shared" si="0"/>
        <v>1485649.31</v>
      </c>
      <c r="D14" s="20">
        <f>'DOE25'!L208+'DOE25'!L226+'DOE25'!L244-F14-G14-H14</f>
        <v>1469816.12</v>
      </c>
      <c r="E14" s="242"/>
      <c r="F14" s="243">
        <f>29721-25000</f>
        <v>4721</v>
      </c>
      <c r="G14" s="53">
        <f>'DOE25'!J208+'DOE25'!J226+'DOE25'!J244</f>
        <v>11112.19</v>
      </c>
      <c r="H14" s="53">
        <f>'DOE25'!K208+'DOE25'!K226+'DOE25'!K244</f>
        <v>0</v>
      </c>
      <c r="I14" s="255"/>
    </row>
    <row r="15" spans="1:9" x14ac:dyDescent="0.2">
      <c r="A15" s="32">
        <v>2700</v>
      </c>
      <c r="B15" t="s">
        <v>799</v>
      </c>
      <c r="C15" s="274">
        <f t="shared" si="0"/>
        <v>817210.85</v>
      </c>
      <c r="D15" s="20">
        <f>'DOE25'!L209+'DOE25'!L227+'DOE25'!L245-F15-G15-H15</f>
        <v>7812.5</v>
      </c>
      <c r="E15" s="242"/>
      <c r="F15" s="243">
        <f>834398.35-25000</f>
        <v>809398.35</v>
      </c>
      <c r="G15" s="53">
        <f>'DOE25'!J209+'DOE25'!J227+'DOE25'!J245</f>
        <v>0</v>
      </c>
      <c r="H15" s="53">
        <f>'DOE25'!K209+'DOE25'!K227+'DOE25'!K245</f>
        <v>0</v>
      </c>
      <c r="I15" s="255"/>
    </row>
    <row r="16" spans="1:9" x14ac:dyDescent="0.2">
      <c r="A16" s="32">
        <v>2800</v>
      </c>
      <c r="B16" t="s">
        <v>800</v>
      </c>
      <c r="C16" s="274">
        <f t="shared" si="0"/>
        <v>367498.36</v>
      </c>
      <c r="D16" s="242"/>
      <c r="E16" s="20">
        <f>'DOE25'!L210+'DOE25'!L228+'DOE25'!L246-F16-G16-H16</f>
        <v>367488.37</v>
      </c>
      <c r="F16" s="243">
        <v>0</v>
      </c>
      <c r="G16" s="53">
        <f>'DOE25'!J210+'DOE25'!J228+'DOE25'!J246</f>
        <v>0</v>
      </c>
      <c r="H16" s="53">
        <f>'DOE25'!K210+'DOE25'!K228+'DOE25'!K246</f>
        <v>9.99</v>
      </c>
      <c r="I16" s="255"/>
    </row>
    <row r="17" spans="1:9" x14ac:dyDescent="0.2">
      <c r="A17" s="32">
        <v>1600</v>
      </c>
      <c r="B17" t="s">
        <v>801</v>
      </c>
      <c r="C17" s="274">
        <f t="shared" si="0"/>
        <v>0</v>
      </c>
      <c r="D17" s="20">
        <f>'DOE25'!L252-F17-G17-H17</f>
        <v>0</v>
      </c>
      <c r="E17" s="242"/>
      <c r="F17" s="243">
        <v>0</v>
      </c>
      <c r="G17" s="53">
        <f>'DOE25'!J252</f>
        <v>0</v>
      </c>
      <c r="H17" s="53">
        <f>'DOE25'!K252</f>
        <v>0</v>
      </c>
      <c r="I17" s="255"/>
    </row>
    <row r="18" spans="1:9" x14ac:dyDescent="0.2">
      <c r="A18" s="32">
        <v>1700</v>
      </c>
      <c r="B18" t="s">
        <v>802</v>
      </c>
      <c r="C18" s="274">
        <f t="shared" si="0"/>
        <v>0</v>
      </c>
      <c r="D18" s="20">
        <f>'DOE25'!L253-F18-G18-H18</f>
        <v>0</v>
      </c>
      <c r="E18" s="242"/>
      <c r="F18" s="243">
        <v>0</v>
      </c>
      <c r="G18" s="53">
        <f>'DOE25'!J253</f>
        <v>0</v>
      </c>
      <c r="H18" s="53">
        <f>'DOE25'!K253</f>
        <v>0</v>
      </c>
      <c r="I18" s="255"/>
    </row>
    <row r="19" spans="1:9" x14ac:dyDescent="0.2">
      <c r="A19" s="32">
        <v>1800</v>
      </c>
      <c r="B19" t="s">
        <v>803</v>
      </c>
      <c r="C19" s="274">
        <f t="shared" si="0"/>
        <v>0</v>
      </c>
      <c r="D19" s="20">
        <f>'DOE25'!L254-F19-G19-H19</f>
        <v>0</v>
      </c>
      <c r="E19" s="242"/>
      <c r="F19" s="243">
        <v>0</v>
      </c>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1912263.75</v>
      </c>
      <c r="D25" s="242"/>
      <c r="E25" s="242"/>
      <c r="F25" s="254"/>
      <c r="G25" s="252"/>
      <c r="H25" s="252"/>
      <c r="I25" s="253">
        <f>'DOE25'!L261+'DOE25'!L262+'DOE25'!L342+'DOE25'!L343</f>
        <v>1912263.75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654467.03000000014</v>
      </c>
      <c r="D29" s="282">
        <f>'DOE25'!L359+'DOE25'!L360+'DOE25'!L361-'DOE25'!I368-F29-G29-H29</f>
        <v>112142.10000000003</v>
      </c>
      <c r="E29" s="242"/>
      <c r="F29" s="243">
        <f>374655.8+178183.2-25000</f>
        <v>527839</v>
      </c>
      <c r="G29" s="53">
        <f>'DOE25'!J359+'DOE25'!J360+'DOE25'!J361</f>
        <v>14485.93</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1722181.21</v>
      </c>
      <c r="D31" s="20">
        <f>'DOE25'!L291+'DOE25'!L310+'DOE25'!L329+'DOE25'!L334+'DOE25'!L335+'DOE25'!L336-F31-G31-H31</f>
        <v>1538971.1600000001</v>
      </c>
      <c r="E31" s="242"/>
      <c r="F31" s="243">
        <v>0</v>
      </c>
      <c r="G31" s="53">
        <f>'DOE25'!J291+'DOE25'!J310+'DOE25'!J329+'DOE25'!J334+'DOE25'!J335+'DOE25'!J336</f>
        <v>177914.41</v>
      </c>
      <c r="H31" s="53">
        <f>'DOE25'!K291+'DOE25'!K310+'DOE25'!K329+'DOE25'!K334+'DOE25'!K335+'DOE25'!K336</f>
        <v>5295.64</v>
      </c>
      <c r="I31" s="255"/>
    </row>
    <row r="32" spans="1:9" ht="12" thickBot="1" x14ac:dyDescent="0.25">
      <c r="C32" s="275"/>
      <c r="G32" s="250"/>
      <c r="H32" s="250"/>
      <c r="I32" s="257"/>
    </row>
    <row r="33" spans="1:9" ht="12" thickTop="1" x14ac:dyDescent="0.2">
      <c r="B33" t="s">
        <v>809</v>
      </c>
      <c r="D33" s="244">
        <f t="shared" ref="D33:I33" si="1">SUM(D5:D31)</f>
        <v>15149610.26</v>
      </c>
      <c r="E33" s="244">
        <f t="shared" si="1"/>
        <v>1110172.4300000002</v>
      </c>
      <c r="F33" s="244">
        <f t="shared" si="1"/>
        <v>1379036.33</v>
      </c>
      <c r="G33" s="244">
        <f t="shared" si="1"/>
        <v>228810.66</v>
      </c>
      <c r="H33" s="244">
        <f t="shared" si="1"/>
        <v>37970.28</v>
      </c>
      <c r="I33" s="244">
        <f t="shared" si="1"/>
        <v>1912263.75</v>
      </c>
    </row>
    <row r="35" spans="1:9" ht="12" thickBot="1" x14ac:dyDescent="0.25">
      <c r="B35" s="250" t="s">
        <v>831</v>
      </c>
      <c r="D35" s="251">
        <f>E33</f>
        <v>1110172.4300000002</v>
      </c>
      <c r="E35" s="247"/>
      <c r="F35" s="328" t="s">
        <v>1617</v>
      </c>
      <c r="G35" s="329"/>
      <c r="H35" s="329"/>
      <c r="I35" s="329"/>
    </row>
    <row r="36" spans="1:9" ht="12" thickTop="1" x14ac:dyDescent="0.2">
      <c r="B36" t="s">
        <v>810</v>
      </c>
      <c r="D36" s="20">
        <f>D33</f>
        <v>15149610.26</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I4" sqref="I4:I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Mascenic Regional</v>
      </c>
      <c r="B2" s="126">
        <f>'DOE25'!B2</f>
        <v>342</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5937029.2199999997</v>
      </c>
      <c r="G4" s="299">
        <f>'DOE25'!L212+'DOE25'!L291</f>
        <v>5937029.2164779995</v>
      </c>
      <c r="H4" s="340">
        <f>F4-G4</f>
        <v>3.5220002755522728E-3</v>
      </c>
      <c r="I4" s="383" t="str">
        <f>IF(H4=0,"","ISSUES!! Please review page 7 and 11 totals in comparison with total on this page")</f>
        <v>ISSUES!! Please review page 7 and 11 totals in comparison with total on this page</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0</v>
      </c>
      <c r="E5" s="290">
        <v>0</v>
      </c>
      <c r="F5" s="303">
        <f>D5+E5</f>
        <v>0</v>
      </c>
      <c r="G5" s="293"/>
      <c r="H5" s="293"/>
      <c r="I5" s="384"/>
      <c r="N5"/>
    </row>
    <row r="6" spans="1:18" x14ac:dyDescent="0.2">
      <c r="A6" s="126" t="str" cm="1">
        <f t="array" ref="A6">IFERROR(INDEX('School Tables'!$A$4:$G$325,'School Tables'!$J4,3),"")</f>
        <v>Highbridge Hill Elementary School</v>
      </c>
      <c r="B6" s="300">
        <f>IFERROR(VLOOKUP(A6,'School Tables'!$C$3:$D$365,2,FALSE),"")</f>
        <v>28990</v>
      </c>
      <c r="C6" s="293" t="str">
        <f>IFERROR(INDEX('School Tables'!$B$3:$B$365,MATCH('School Level Expenditures'!B6,'School Tables'!$D$3:$D$365,0)),"")</f>
        <v>Mascenic Regional</v>
      </c>
      <c r="D6" s="290">
        <v>5128734.25</v>
      </c>
      <c r="E6" s="290">
        <v>808294.97</v>
      </c>
      <c r="F6" s="303">
        <f t="shared" ref="F6:F20" si="0">D6+E6</f>
        <v>5937029.2199999997</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5128734.25</v>
      </c>
      <c r="E21" s="338">
        <f>SUM(E5:E20)</f>
        <v>808294.97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5118811.3499999996</v>
      </c>
      <c r="G24" s="299">
        <f>'DOE25'!L230+'DOE25'!L310</f>
        <v>5118811.350083</v>
      </c>
      <c r="H24" s="340">
        <f>F24-G24</f>
        <v>-8.3000399172306061E-5</v>
      </c>
      <c r="I24" s="383" t="str">
        <f>IF(H24=0,"","ISSUES!! Please review page 8 and 12 totals in comparison with total on this page")</f>
        <v>ISSUES!! Please review page 8 and 12 totals in comparison with total on this page</v>
      </c>
      <c r="N24"/>
    </row>
    <row r="25" spans="1:14" x14ac:dyDescent="0.2">
      <c r="A25" s="126" t="s">
        <v>1548</v>
      </c>
      <c r="B25" s="300">
        <v>99999</v>
      </c>
      <c r="C25" s="293" t="s">
        <v>1548</v>
      </c>
      <c r="D25" s="290">
        <v>0</v>
      </c>
      <c r="E25" s="290">
        <v>0</v>
      </c>
      <c r="F25" s="303">
        <f>D25+E25</f>
        <v>0</v>
      </c>
      <c r="G25" s="293"/>
      <c r="H25" s="293"/>
      <c r="I25" s="384"/>
      <c r="N25"/>
    </row>
    <row r="26" spans="1:14" x14ac:dyDescent="0.2">
      <c r="A26" s="126" t="str" cm="1">
        <f t="array" ref="A26">IFERROR(INDEX('School Tables'!$L$4:$R$75,'School Tables'!$U4,3),"")</f>
        <v>Boynton Middle School</v>
      </c>
      <c r="B26" s="300">
        <f>IFERROR(VLOOKUP(A26,'School Tables'!$N$4:$O$75,2,FALSE),"")</f>
        <v>26685</v>
      </c>
      <c r="C26" s="293" t="str">
        <f>IFERROR(INDEX('School Tables'!$M$4:$M$75,MATCH('School Level Expenditures'!A26,'School Tables'!$N$4:$N$75,0)),"")</f>
        <v>Mascenic Regional</v>
      </c>
      <c r="D26" s="290">
        <v>4650781.3899999997</v>
      </c>
      <c r="E26" s="290">
        <v>468029.96</v>
      </c>
      <c r="F26" s="303">
        <f t="shared" ref="F26:F32" si="1">D26+E26</f>
        <v>5118811.3499999996</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4650781.3899999997</v>
      </c>
      <c r="E33" s="338">
        <f>SUM(E25:E32)</f>
        <v>468029.96</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6171442.3600000003</v>
      </c>
      <c r="G36" s="299">
        <f>'DOE25'!L248+'DOE25'!L329</f>
        <v>6171442.3634389993</v>
      </c>
      <c r="H36" s="340">
        <f>F36-G36</f>
        <v>-3.4389989450573921E-3</v>
      </c>
      <c r="I36" s="383" t="str">
        <f>IF(H36=0,"","ISSUES!! Please review page 9 and 13 totals in comparison with total on this page")</f>
        <v>ISSUES!! Please review page 9 and 13 totals in comparison with total on this page</v>
      </c>
      <c r="N36"/>
    </row>
    <row r="37" spans="1:14" x14ac:dyDescent="0.2">
      <c r="A37" s="126" t="s">
        <v>1548</v>
      </c>
      <c r="B37" s="300">
        <v>99999</v>
      </c>
      <c r="C37" s="293" t="s">
        <v>1548</v>
      </c>
      <c r="D37" s="290">
        <v>0</v>
      </c>
      <c r="E37" s="290">
        <v>0</v>
      </c>
      <c r="F37" s="303">
        <f t="shared" ref="F37:F42" si="2">D37+E37</f>
        <v>0</v>
      </c>
      <c r="G37" s="293"/>
      <c r="H37" s="293"/>
      <c r="I37" s="384"/>
      <c r="N37"/>
    </row>
    <row r="38" spans="1:14" x14ac:dyDescent="0.2">
      <c r="A38" s="126" t="str" cm="1">
        <f t="array" ref="A38">IFERROR(INDEX('School Tables'!$W$4:$AC$100,'School Tables'!$AF4,3),"")</f>
        <v>Mascenic Regional High School</v>
      </c>
      <c r="B38" s="300">
        <f>IFERROR(VLOOKUP(A38,'School Tables'!$Y$4:$Z$100,2,FALSE),"")</f>
        <v>23050</v>
      </c>
      <c r="C38" s="293" t="str">
        <f>IFERROR(INDEX('School Tables'!$X$4:$X$100,MATCH('School Level Expenditures'!A38,'School Tables'!$Y$4:$Y$100,0)),"")</f>
        <v>Mascenic Regional</v>
      </c>
      <c r="D38" s="290">
        <v>5725586.0800000001</v>
      </c>
      <c r="E38" s="290">
        <v>445856.28</v>
      </c>
      <c r="F38" s="303">
        <f t="shared" si="2"/>
        <v>6171442.3600000003</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5725586.0800000001</v>
      </c>
      <c r="E43" s="339">
        <f>SUM(E37:E42)</f>
        <v>445856.28</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Mascenic Regional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941283.04</v>
      </c>
      <c r="D8" s="95">
        <f>'DOE25'!G9</f>
        <v>0</v>
      </c>
      <c r="E8" s="95">
        <f>'DOE25'!H9</f>
        <v>0</v>
      </c>
      <c r="F8" s="95">
        <f>'DOE25'!I9</f>
        <v>0</v>
      </c>
      <c r="G8" s="95">
        <f>'DOE25'!J9</f>
        <v>0</v>
      </c>
      <c r="H8" s="124">
        <f>SUM(C8:G8)</f>
        <v>941283.04</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225152.8</v>
      </c>
      <c r="D11" s="95">
        <f>'DOE25'!G12</f>
        <v>170805.66</v>
      </c>
      <c r="E11" s="95">
        <f>'DOE25'!H12</f>
        <v>0</v>
      </c>
      <c r="F11" s="95">
        <f>'DOE25'!I12</f>
        <v>0</v>
      </c>
      <c r="G11" s="95">
        <f>'DOE25'!J12</f>
        <v>0</v>
      </c>
      <c r="H11" s="124">
        <f t="shared" si="0"/>
        <v>395958.45999999996</v>
      </c>
      <c r="I11" s="124"/>
    </row>
    <row r="12" spans="1:9" x14ac:dyDescent="0.2">
      <c r="A12" s="1" t="s">
        <v>143</v>
      </c>
      <c r="B12" s="6">
        <v>140</v>
      </c>
      <c r="C12" s="95">
        <f>'DOE25'!F13</f>
        <v>0</v>
      </c>
      <c r="D12" s="95">
        <f>'DOE25'!G13</f>
        <v>159569.21</v>
      </c>
      <c r="E12" s="95">
        <f>'DOE25'!H13</f>
        <v>414299.15</v>
      </c>
      <c r="F12" s="95">
        <f>'DOE25'!I13</f>
        <v>0</v>
      </c>
      <c r="G12" s="95">
        <f>'DOE25'!J13</f>
        <v>727616.12</v>
      </c>
      <c r="H12" s="124">
        <f t="shared" si="0"/>
        <v>1301484.48</v>
      </c>
      <c r="I12" s="124"/>
    </row>
    <row r="13" spans="1:9" x14ac:dyDescent="0.2">
      <c r="A13" s="1" t="s">
        <v>144</v>
      </c>
      <c r="B13" s="6">
        <v>150</v>
      </c>
      <c r="C13" s="95">
        <f>'DOE25'!F14</f>
        <v>44537.57</v>
      </c>
      <c r="D13" s="95">
        <f>'DOE25'!G14</f>
        <v>0</v>
      </c>
      <c r="E13" s="95">
        <f>'DOE25'!H14</f>
        <v>0</v>
      </c>
      <c r="F13" s="95">
        <f>'DOE25'!I14</f>
        <v>0</v>
      </c>
      <c r="G13" s="95">
        <f>'DOE25'!J14</f>
        <v>0</v>
      </c>
      <c r="H13" s="124">
        <f t="shared" si="0"/>
        <v>44537.57</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22019.06</v>
      </c>
      <c r="E15" s="95">
        <f>'DOE25'!H16</f>
        <v>0</v>
      </c>
      <c r="F15" s="95">
        <f>'DOE25'!I16</f>
        <v>0</v>
      </c>
      <c r="G15" s="24" t="s">
        <v>288</v>
      </c>
      <c r="H15" s="124">
        <f t="shared" si="0"/>
        <v>22019.06</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1210973.4100000001</v>
      </c>
      <c r="D18" s="41">
        <f>SUM(D8:D17)</f>
        <v>352393.93</v>
      </c>
      <c r="E18" s="41">
        <f>SUM(E8:E17)</f>
        <v>414299.15</v>
      </c>
      <c r="F18" s="41">
        <f>SUM(F8:F17)</f>
        <v>0</v>
      </c>
      <c r="G18" s="41">
        <f>SUM(G8:G17)</f>
        <v>727616.12</v>
      </c>
      <c r="H18" s="41">
        <f t="shared" si="0"/>
        <v>2705282.6100000003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395958.46</v>
      </c>
      <c r="F21" s="95">
        <f>'DOE25'!I22</f>
        <v>0</v>
      </c>
      <c r="G21" s="95">
        <f>'DOE25'!J22</f>
        <v>0</v>
      </c>
      <c r="H21" s="124">
        <f t="shared" ref="H21:H31" si="1">SUM(C21:G21)</f>
        <v>395958.46</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61696.990000000005</v>
      </c>
      <c r="D23" s="95">
        <f>'DOE25'!G24</f>
        <v>221238.93</v>
      </c>
      <c r="E23" s="95">
        <f>'DOE25'!H24</f>
        <v>0</v>
      </c>
      <c r="F23" s="95">
        <f>'DOE25'!I24</f>
        <v>0</v>
      </c>
      <c r="G23" s="95">
        <f>'DOE25'!J24</f>
        <v>0</v>
      </c>
      <c r="H23" s="124">
        <f t="shared" si="1"/>
        <v>282935.92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17929.04</v>
      </c>
      <c r="D27" s="95">
        <f>'DOE25'!G28</f>
        <v>0</v>
      </c>
      <c r="E27" s="95">
        <f>'DOE25'!H28</f>
        <v>0</v>
      </c>
      <c r="F27" s="95">
        <f>'DOE25'!I28</f>
        <v>0</v>
      </c>
      <c r="G27" s="24" t="s">
        <v>288</v>
      </c>
      <c r="H27" s="124">
        <f t="shared" si="1"/>
        <v>17929.04</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10132.82</v>
      </c>
      <c r="E29" s="95">
        <f>'DOE25'!H30</f>
        <v>18035.12</v>
      </c>
      <c r="F29" s="95">
        <f>'DOE25'!I30</f>
        <v>0</v>
      </c>
      <c r="G29" s="24" t="s">
        <v>288</v>
      </c>
      <c r="H29" s="124">
        <f t="shared" si="1"/>
        <v>28167.94</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79626.03</v>
      </c>
      <c r="D31" s="41">
        <f>SUM(D21:D30)</f>
        <v>231371.75</v>
      </c>
      <c r="E31" s="41">
        <f>SUM(E21:E30)</f>
        <v>413993.58</v>
      </c>
      <c r="F31" s="41">
        <f>SUM(F21:F30)</f>
        <v>0</v>
      </c>
      <c r="G31" s="41">
        <f>SUM(G21:G30)</f>
        <v>0</v>
      </c>
      <c r="H31" s="41">
        <f t="shared" si="1"/>
        <v>724991.3600000001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22019.06</v>
      </c>
      <c r="E34" s="95">
        <f>'DOE25'!H35</f>
        <v>0</v>
      </c>
      <c r="F34" s="95">
        <f>'DOE25'!I35</f>
        <v>0</v>
      </c>
      <c r="G34" s="24" t="s">
        <v>288</v>
      </c>
      <c r="H34" s="124">
        <f t="shared" ref="H34:H51" si="2">SUM(C34:G34)</f>
        <v>22019.06</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55947.389999999992</v>
      </c>
      <c r="E39" s="24" t="s">
        <v>288</v>
      </c>
      <c r="F39" s="24" t="s">
        <v>288</v>
      </c>
      <c r="G39" s="24" t="s">
        <v>288</v>
      </c>
      <c r="H39" s="124">
        <f t="shared" si="2"/>
        <v>55947.389999999992</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41000</v>
      </c>
      <c r="D43" s="95">
        <f>'DOE25'!G44</f>
        <v>0</v>
      </c>
      <c r="E43" s="95">
        <f>'DOE25'!H44</f>
        <v>0</v>
      </c>
      <c r="F43" s="95">
        <f>'DOE25'!I44</f>
        <v>0</v>
      </c>
      <c r="G43" s="24" t="s">
        <v>288</v>
      </c>
      <c r="H43" s="124">
        <f t="shared" si="2"/>
        <v>41000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218439</v>
      </c>
      <c r="D45" s="24" t="s">
        <v>288</v>
      </c>
      <c r="E45" s="24" t="s">
        <v>288</v>
      </c>
      <c r="F45" s="24" t="s">
        <v>288</v>
      </c>
      <c r="G45" s="24" t="s">
        <v>288</v>
      </c>
      <c r="H45" s="124">
        <f t="shared" si="2"/>
        <v>218439</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305.57</v>
      </c>
      <c r="F47" s="95">
        <f>'DOE25'!I48</f>
        <v>0</v>
      </c>
      <c r="G47" s="95">
        <f>'DOE25'!J48</f>
        <v>727616.12</v>
      </c>
      <c r="H47" s="124">
        <f t="shared" si="2"/>
        <v>727921.69</v>
      </c>
      <c r="I47" s="124"/>
    </row>
    <row r="48" spans="1:9" x14ac:dyDescent="0.2">
      <c r="A48" s="1" t="s">
        <v>882</v>
      </c>
      <c r="B48" s="6">
        <v>753</v>
      </c>
      <c r="C48" s="95">
        <f>'DOE25'!F49</f>
        <v>18950</v>
      </c>
      <c r="D48" s="95">
        <f>'DOE25'!G49</f>
        <v>43055.73</v>
      </c>
      <c r="E48" s="95">
        <f>'DOE25'!H49</f>
        <v>0</v>
      </c>
      <c r="F48" s="95">
        <f>'DOE25'!I49</f>
        <v>0</v>
      </c>
      <c r="G48" s="95">
        <f>'DOE25'!J49</f>
        <v>0</v>
      </c>
      <c r="H48" s="124">
        <f t="shared" si="2"/>
        <v>62005.73</v>
      </c>
      <c r="I48" s="124"/>
    </row>
    <row r="49" spans="1:9" ht="12" thickBot="1" x14ac:dyDescent="0.25">
      <c r="A49" s="29" t="s">
        <v>883</v>
      </c>
      <c r="B49" s="71">
        <v>770</v>
      </c>
      <c r="C49" s="95">
        <f>'DOE25'!F50</f>
        <v>852958.38000000012</v>
      </c>
      <c r="D49" s="24" t="s">
        <v>288</v>
      </c>
      <c r="E49" s="24" t="s">
        <v>288</v>
      </c>
      <c r="F49" s="24" t="s">
        <v>288</v>
      </c>
      <c r="G49" s="24" t="s">
        <v>288</v>
      </c>
      <c r="H49" s="124">
        <f t="shared" si="2"/>
        <v>852958.38000000012</v>
      </c>
      <c r="I49" s="124"/>
    </row>
    <row r="50" spans="1:9" ht="12.75" thickTop="1" thickBot="1" x14ac:dyDescent="0.25">
      <c r="A50" s="38" t="s">
        <v>884</v>
      </c>
      <c r="B50" s="48"/>
      <c r="C50" s="41">
        <f>SUM(C34:C49)</f>
        <v>1131347.3800000001</v>
      </c>
      <c r="D50" s="41">
        <f>SUM(D34:D49)</f>
        <v>121022.18</v>
      </c>
      <c r="E50" s="41">
        <f>SUM(E34:E49)</f>
        <v>305.57</v>
      </c>
      <c r="F50" s="41">
        <f>SUM(F34:F49)</f>
        <v>0</v>
      </c>
      <c r="G50" s="41">
        <f>SUM(G34:G49)</f>
        <v>727616.12</v>
      </c>
      <c r="H50" s="41">
        <f t="shared" si="2"/>
        <v>1980291.25</v>
      </c>
      <c r="I50" s="124"/>
    </row>
    <row r="51" spans="1:9" ht="12" thickTop="1" x14ac:dyDescent="0.2">
      <c r="A51" s="38" t="s">
        <v>885</v>
      </c>
      <c r="B51" s="2"/>
      <c r="C51" s="41">
        <f>C50+C31</f>
        <v>1210973.4100000001</v>
      </c>
      <c r="D51" s="41">
        <f>D50+D31</f>
        <v>352393.93</v>
      </c>
      <c r="E51" s="41">
        <f>E50+E31</f>
        <v>414299.15</v>
      </c>
      <c r="F51" s="41">
        <f>F50+F31</f>
        <v>0</v>
      </c>
      <c r="G51" s="41">
        <f>G50+G31</f>
        <v>727616.12</v>
      </c>
      <c r="H51" s="41">
        <f t="shared" si="2"/>
        <v>2705282.6100000003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8737573.5</v>
      </c>
      <c r="D56" s="95">
        <f>'DOE25'!G60</f>
        <v>0</v>
      </c>
      <c r="E56" s="95">
        <f>'DOE25'!H60</f>
        <v>0</v>
      </c>
      <c r="F56" s="95">
        <f>'DOE25'!I60</f>
        <v>0</v>
      </c>
      <c r="G56" s="95">
        <f>'DOE25'!J60</f>
        <v>0</v>
      </c>
      <c r="H56" s="124">
        <f t="shared" ref="H56:H63" si="3">SUM(C56:G56)</f>
        <v>8737573.5</v>
      </c>
      <c r="I56"/>
    </row>
    <row r="57" spans="1:9" x14ac:dyDescent="0.2">
      <c r="A57" s="1" t="s">
        <v>164</v>
      </c>
      <c r="B57" s="6" t="s">
        <v>165</v>
      </c>
      <c r="C57" s="95">
        <f>'DOE25'!F79</f>
        <v>27956.25</v>
      </c>
      <c r="D57" s="24" t="s">
        <v>288</v>
      </c>
      <c r="E57" s="95">
        <f>'DOE25'!H79</f>
        <v>0</v>
      </c>
      <c r="F57" s="24" t="s">
        <v>288</v>
      </c>
      <c r="G57" s="24" t="s">
        <v>288</v>
      </c>
      <c r="H57" s="124">
        <f t="shared" si="3"/>
        <v>27956.25</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1207.3399999999999</v>
      </c>
      <c r="D59" s="95">
        <f>'DOE25'!G96</f>
        <v>0</v>
      </c>
      <c r="E59" s="95">
        <f>'DOE25'!H96</f>
        <v>0</v>
      </c>
      <c r="F59" s="95">
        <f>'DOE25'!I96</f>
        <v>0</v>
      </c>
      <c r="G59" s="95">
        <f>'DOE25'!J96</f>
        <v>0</v>
      </c>
      <c r="H59" s="124">
        <f t="shared" si="3"/>
        <v>1207.3399999999999</v>
      </c>
      <c r="I59"/>
    </row>
    <row r="60" spans="1:9" x14ac:dyDescent="0.2">
      <c r="A60" s="1" t="s">
        <v>170</v>
      </c>
      <c r="B60" s="118" t="s">
        <v>171</v>
      </c>
      <c r="C60" s="24" t="s">
        <v>288</v>
      </c>
      <c r="D60" s="95">
        <f>'DOE25'!G97</f>
        <v>37283.769999999997</v>
      </c>
      <c r="E60" s="24" t="s">
        <v>288</v>
      </c>
      <c r="F60" s="24" t="s">
        <v>288</v>
      </c>
      <c r="G60" s="24" t="s">
        <v>288</v>
      </c>
      <c r="H60" s="124">
        <f t="shared" si="3"/>
        <v>37283.769999999997</v>
      </c>
      <c r="I60"/>
    </row>
    <row r="61" spans="1:9" ht="12" thickBot="1" x14ac:dyDescent="0.25">
      <c r="A61" s="1" t="s">
        <v>172</v>
      </c>
      <c r="B61" s="118" t="s">
        <v>173</v>
      </c>
      <c r="C61" s="95">
        <f>SUM('DOE25'!F98:F110)</f>
        <v>55260.920000000006</v>
      </c>
      <c r="D61" s="95">
        <f>SUM('DOE25'!G98:G110)</f>
        <v>0</v>
      </c>
      <c r="E61" s="95">
        <f>SUM('DOE25'!H98:H110)</f>
        <v>40673.019999999997</v>
      </c>
      <c r="F61" s="95">
        <f>SUM('DOE25'!I98:I110)</f>
        <v>0</v>
      </c>
      <c r="G61" s="95">
        <f>SUM('DOE25'!J98:J110)</f>
        <v>0</v>
      </c>
      <c r="H61" s="124">
        <f t="shared" si="3"/>
        <v>95933.94</v>
      </c>
      <c r="I61"/>
    </row>
    <row r="62" spans="1:9" ht="12.75" thickTop="1" thickBot="1" x14ac:dyDescent="0.25">
      <c r="A62" s="29" t="s">
        <v>174</v>
      </c>
      <c r="B62" s="6"/>
      <c r="C62" s="130">
        <f>SUM(C57:C61)</f>
        <v>84424.510000000009</v>
      </c>
      <c r="D62" s="130">
        <f>SUM(D57:D61)</f>
        <v>37283.769999999997</v>
      </c>
      <c r="E62" s="130">
        <f>SUM(E57:E61)</f>
        <v>40673.019999999997</v>
      </c>
      <c r="F62" s="130">
        <f>SUM(F57:F61)</f>
        <v>0</v>
      </c>
      <c r="G62" s="130">
        <f>SUM(G57:G61)</f>
        <v>0</v>
      </c>
      <c r="H62" s="124">
        <f t="shared" si="3"/>
        <v>162381.29999999999</v>
      </c>
      <c r="I62"/>
    </row>
    <row r="63" spans="1:9" ht="12" thickTop="1" x14ac:dyDescent="0.2">
      <c r="A63" s="29" t="s">
        <v>175</v>
      </c>
      <c r="B63" s="6"/>
      <c r="C63" s="22">
        <f>C56+C62</f>
        <v>8821998.0099999998</v>
      </c>
      <c r="D63" s="22">
        <f>D56+D62</f>
        <v>37283.769999999997</v>
      </c>
      <c r="E63" s="22">
        <f>E56+E62</f>
        <v>40673.019999999997</v>
      </c>
      <c r="F63" s="22">
        <f>F56+F62</f>
        <v>0</v>
      </c>
      <c r="G63" s="22">
        <f>G56+G62</f>
        <v>0</v>
      </c>
      <c r="H63" s="124">
        <f t="shared" si="3"/>
        <v>8899954.7999999989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5442835.3600000003</v>
      </c>
      <c r="D66" s="24" t="s">
        <v>288</v>
      </c>
      <c r="E66" s="24" t="s">
        <v>288</v>
      </c>
      <c r="F66" s="24" t="s">
        <v>288</v>
      </c>
      <c r="G66" s="24" t="s">
        <v>288</v>
      </c>
      <c r="H66" s="124">
        <f t="shared" ref="H66:H81" si="4">SUM(C66:G66)</f>
        <v>5442835.3600000003</v>
      </c>
      <c r="I66"/>
    </row>
    <row r="67" spans="1:9" x14ac:dyDescent="0.2">
      <c r="A67" s="1" t="s">
        <v>770</v>
      </c>
      <c r="B67" s="6">
        <v>3112</v>
      </c>
      <c r="C67" s="95">
        <f>'DOE25'!F118</f>
        <v>1080579</v>
      </c>
      <c r="D67" s="24"/>
      <c r="E67" s="24"/>
      <c r="F67" s="24"/>
      <c r="G67" s="24"/>
      <c r="H67" s="124">
        <f t="shared" si="4"/>
        <v>1080579</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6523414.3600000003</v>
      </c>
      <c r="D70" s="139">
        <f>D69</f>
        <v>0</v>
      </c>
      <c r="E70" s="139">
        <f>E69</f>
        <v>0</v>
      </c>
      <c r="F70" s="139">
        <f>F69</f>
        <v>0</v>
      </c>
      <c r="G70" s="139">
        <f>G69</f>
        <v>0</v>
      </c>
      <c r="H70" s="124">
        <f t="shared" si="4"/>
        <v>6523414.3600000003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797013.02</v>
      </c>
      <c r="D72" s="24" t="s">
        <v>288</v>
      </c>
      <c r="E72" s="24" t="s">
        <v>288</v>
      </c>
      <c r="F72" s="95">
        <f>'DOE25'!I123</f>
        <v>0</v>
      </c>
      <c r="G72" s="24" t="s">
        <v>288</v>
      </c>
      <c r="H72" s="124">
        <f t="shared" si="4"/>
        <v>797013.02</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77356.09</v>
      </c>
      <c r="D75" s="24" t="s">
        <v>288</v>
      </c>
      <c r="E75" s="24" t="s">
        <v>288</v>
      </c>
      <c r="F75" s="24" t="s">
        <v>288</v>
      </c>
      <c r="G75" s="24" t="s">
        <v>288</v>
      </c>
      <c r="H75" s="124">
        <f t="shared" si="4"/>
        <v>77356.09</v>
      </c>
      <c r="I75"/>
    </row>
    <row r="76" spans="1:9" x14ac:dyDescent="0.2">
      <c r="A76" s="1" t="s">
        <v>257</v>
      </c>
      <c r="B76" s="6" t="s">
        <v>179</v>
      </c>
      <c r="C76" s="95">
        <f>SUM('DOE25'!F127:F130)</f>
        <v>37499.21</v>
      </c>
      <c r="D76" s="24" t="s">
        <v>288</v>
      </c>
      <c r="E76" s="95">
        <f>SUM('DOE25'!H127:H130)</f>
        <v>6548.87</v>
      </c>
      <c r="F76" s="95">
        <f>SUM('DOE25'!I127:I130)</f>
        <v>0</v>
      </c>
      <c r="G76" s="24" t="s">
        <v>288</v>
      </c>
      <c r="H76" s="124">
        <f t="shared" si="4"/>
        <v>44048.08</v>
      </c>
      <c r="I76"/>
    </row>
    <row r="77" spans="1:9" ht="12" thickBot="1" x14ac:dyDescent="0.25">
      <c r="A77" s="1" t="s">
        <v>258</v>
      </c>
      <c r="B77" s="6" t="s">
        <v>180</v>
      </c>
      <c r="C77" s="95">
        <f>SUM('DOE25'!F131:F135)</f>
        <v>0</v>
      </c>
      <c r="D77" s="95">
        <f>SUM('DOE25'!G131:G135)</f>
        <v>8153.09</v>
      </c>
      <c r="E77" s="95">
        <f>SUM('DOE25'!H131:H135)</f>
        <v>0</v>
      </c>
      <c r="F77" s="95">
        <f>SUM('DOE25'!I131:I135)</f>
        <v>0</v>
      </c>
      <c r="G77" s="95">
        <f>SUM('DOE25'!J131:J135)</f>
        <v>0</v>
      </c>
      <c r="H77" s="124">
        <f t="shared" si="4"/>
        <v>8153.09</v>
      </c>
      <c r="I77"/>
    </row>
    <row r="78" spans="1:9" ht="12.75" thickTop="1" thickBot="1" x14ac:dyDescent="0.25">
      <c r="A78" s="29" t="s">
        <v>259</v>
      </c>
      <c r="B78" s="6"/>
      <c r="C78" s="130">
        <f>SUM(C72:C77)</f>
        <v>911868.32</v>
      </c>
      <c r="D78" s="130">
        <f>SUM(D72:D77)</f>
        <v>8153.09</v>
      </c>
      <c r="E78" s="130">
        <f>SUM(E72:E77)</f>
        <v>6548.87</v>
      </c>
      <c r="F78" s="130">
        <f>SUM(F72:F77)</f>
        <v>0</v>
      </c>
      <c r="G78" s="130">
        <f>SUM(G72:G77)</f>
        <v>0</v>
      </c>
      <c r="H78" s="124">
        <f t="shared" si="4"/>
        <v>926570.27999999991</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7435282.6800000006</v>
      </c>
      <c r="D81" s="130">
        <f>SUM(D79:D80)+D78+D70</f>
        <v>8153.09</v>
      </c>
      <c r="E81" s="130">
        <f>SUM(E79:E80)+E78+E70</f>
        <v>6548.87</v>
      </c>
      <c r="F81" s="130">
        <f>SUM(F79:F80)+F78+F70</f>
        <v>0</v>
      </c>
      <c r="G81" s="130">
        <f>SUM(G79:G80)+G78+G70</f>
        <v>0</v>
      </c>
      <c r="H81" s="130">
        <f t="shared" si="4"/>
        <v>7449984.6400000006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1297.5</v>
      </c>
      <c r="F87" s="95">
        <f>SUM('DOE25'!I149:I152)</f>
        <v>0</v>
      </c>
      <c r="G87" s="24" t="s">
        <v>288</v>
      </c>
      <c r="H87" s="124">
        <f t="shared" si="5"/>
        <v>1297.5</v>
      </c>
    </row>
    <row r="88" spans="1:9" x14ac:dyDescent="0.2">
      <c r="A88" s="287" t="s">
        <v>747</v>
      </c>
      <c r="B88" s="325" t="s">
        <v>184</v>
      </c>
      <c r="C88" s="326">
        <f>SUM('DOE25'!F153:F162)</f>
        <v>68143.09</v>
      </c>
      <c r="D88" s="326">
        <f>SUM('DOE25'!G153:G162)</f>
        <v>664431.38</v>
      </c>
      <c r="E88" s="326">
        <f>SUM('DOE25'!H153:H162)</f>
        <v>1695783.7999999998</v>
      </c>
      <c r="F88" s="326">
        <f>SUM('DOE25'!I153:I162)</f>
        <v>0</v>
      </c>
      <c r="G88" s="24" t="s">
        <v>288</v>
      </c>
      <c r="H88" s="124">
        <f t="shared" si="5"/>
        <v>2428358.2699999996</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68143.09</v>
      </c>
      <c r="D91" s="131">
        <f>SUM(D85:D90)</f>
        <v>664431.38</v>
      </c>
      <c r="E91" s="131">
        <f>SUM(E85:E90)</f>
        <v>1697081.2999999998</v>
      </c>
      <c r="F91" s="131">
        <f>SUM(F85:F90)</f>
        <v>0</v>
      </c>
      <c r="G91" s="24" t="s">
        <v>288</v>
      </c>
      <c r="H91" s="124">
        <f t="shared" si="5"/>
        <v>2429655.7699999996</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412339.71</v>
      </c>
      <c r="D93" s="24" t="s">
        <v>288</v>
      </c>
      <c r="E93" s="24" t="s">
        <v>288</v>
      </c>
      <c r="F93" s="95">
        <f>SUM('DOE25'!I174:I176)</f>
        <v>0</v>
      </c>
      <c r="G93" s="24" t="s">
        <v>288</v>
      </c>
      <c r="H93" s="124">
        <f t="shared" si="5"/>
        <v>412339.71</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41000</v>
      </c>
      <c r="H96" s="124">
        <f t="shared" si="5"/>
        <v>41000</v>
      </c>
    </row>
    <row r="97" spans="1:8" x14ac:dyDescent="0.2">
      <c r="A97" t="s">
        <v>754</v>
      </c>
      <c r="B97" s="32" t="s">
        <v>188</v>
      </c>
      <c r="C97" s="95">
        <f>SUM('DOE25'!F181:F182)</f>
        <v>22122.01</v>
      </c>
      <c r="D97" s="95">
        <f>SUM('DOE25'!G181:G182)</f>
        <v>0</v>
      </c>
      <c r="E97" s="95">
        <f>SUM('DOE25'!H181:H182)</f>
        <v>0</v>
      </c>
      <c r="F97" s="95">
        <f>SUM('DOE25'!I181:I182)</f>
        <v>0</v>
      </c>
      <c r="G97" s="95">
        <f>SUM('DOE25'!J181:J182)</f>
        <v>0</v>
      </c>
      <c r="H97" s="124">
        <f t="shared" si="5"/>
        <v>22122.01</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99</v>
      </c>
      <c r="D101" s="95">
        <f>'DOE25'!G190</f>
        <v>0</v>
      </c>
      <c r="E101" s="95">
        <f>'DOE25'!H190</f>
        <v>0</v>
      </c>
      <c r="F101" s="95">
        <f>'DOE25'!I190</f>
        <v>0</v>
      </c>
      <c r="G101" s="24" t="s">
        <v>288</v>
      </c>
      <c r="H101" s="124">
        <f t="shared" si="5"/>
        <v>99</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434560.72000000003</v>
      </c>
      <c r="D103" s="86">
        <f>SUM(D93:D102)</f>
        <v>0</v>
      </c>
      <c r="E103" s="86">
        <f>SUM(E93:E102)</f>
        <v>0</v>
      </c>
      <c r="F103" s="86">
        <f>SUM(F93:F102)</f>
        <v>0</v>
      </c>
      <c r="G103" s="86">
        <f>SUM(G93:G102)</f>
        <v>41000</v>
      </c>
      <c r="H103" s="86">
        <f t="shared" si="5"/>
        <v>475560.72000000003</v>
      </c>
    </row>
    <row r="104" spans="1:8" ht="12.75" thickTop="1" thickBot="1" x14ac:dyDescent="0.25">
      <c r="A104" s="33" t="s">
        <v>761</v>
      </c>
      <c r="C104" s="86">
        <f>C63+C81+C91+C103</f>
        <v>16759984.500000002</v>
      </c>
      <c r="D104" s="86">
        <f>D63+D81+D91+D103</f>
        <v>709868.24</v>
      </c>
      <c r="E104" s="86">
        <f>E63+E81+E91+E103</f>
        <v>1744303.1899999997</v>
      </c>
      <c r="F104" s="86">
        <f>F63+F81+F91+F103</f>
        <v>0</v>
      </c>
      <c r="G104" s="86">
        <f>G63+G81+G103</f>
        <v>41000</v>
      </c>
      <c r="H104" s="86">
        <f t="shared" si="5"/>
        <v>19255155.930000003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6955446.3200000003</v>
      </c>
      <c r="D109" s="24" t="s">
        <v>288</v>
      </c>
      <c r="E109" s="95">
        <f>('DOE25'!L277)+('DOE25'!L296)+('DOE25'!L315)</f>
        <v>630382.03</v>
      </c>
      <c r="F109" s="24" t="s">
        <v>288</v>
      </c>
      <c r="G109" s="24" t="s">
        <v>288</v>
      </c>
      <c r="H109" s="124">
        <f t="shared" ref="H109:H115" si="6">SUM(C109:G109)</f>
        <v>7585828.3500000006</v>
      </c>
    </row>
    <row r="110" spans="1:8" x14ac:dyDescent="0.2">
      <c r="A110" t="s">
        <v>198</v>
      </c>
      <c r="B110" s="32" t="s">
        <v>199</v>
      </c>
      <c r="C110" s="95">
        <f>('DOE25'!L199)+('DOE25'!L217)+('DOE25'!L235)</f>
        <v>1565629.5699999998</v>
      </c>
      <c r="D110" s="24" t="s">
        <v>288</v>
      </c>
      <c r="E110" s="95">
        <f>('DOE25'!L278)+('DOE25'!L297)+('DOE25'!L316)</f>
        <v>447756.07000000007</v>
      </c>
      <c r="F110" s="24" t="s">
        <v>288</v>
      </c>
      <c r="G110" s="24" t="s">
        <v>288</v>
      </c>
      <c r="H110" s="124">
        <f t="shared" si="6"/>
        <v>2013385.64</v>
      </c>
    </row>
    <row r="111" spans="1:8" x14ac:dyDescent="0.2">
      <c r="A111" t="s">
        <v>200</v>
      </c>
      <c r="B111" s="32" t="s">
        <v>165</v>
      </c>
      <c r="C111" s="95">
        <f>('DOE25'!L200)+('DOE25'!L218)+('DOE25'!L236)</f>
        <v>99482.66</v>
      </c>
      <c r="D111" s="24" t="s">
        <v>288</v>
      </c>
      <c r="E111" s="95">
        <f>('DOE25'!L279)+('DOE25'!L298)+('DOE25'!L317)</f>
        <v>0</v>
      </c>
      <c r="F111" s="24" t="s">
        <v>288</v>
      </c>
      <c r="G111" s="24" t="s">
        <v>288</v>
      </c>
      <c r="H111" s="124">
        <f t="shared" si="6"/>
        <v>99482.66</v>
      </c>
    </row>
    <row r="112" spans="1:8" x14ac:dyDescent="0.2">
      <c r="A112" t="s">
        <v>201</v>
      </c>
      <c r="B112" s="32" t="s">
        <v>167</v>
      </c>
      <c r="C112" s="95">
        <f>('DOE25'!L201)+('DOE25'!L219)+('DOE25'!L237)</f>
        <v>172667.49</v>
      </c>
      <c r="D112" s="24" t="s">
        <v>288</v>
      </c>
      <c r="E112" s="95">
        <f>+('DOE25'!L280)+('DOE25'!L299)+('DOE25'!L318)</f>
        <v>43094.52</v>
      </c>
      <c r="F112" s="24" t="s">
        <v>288</v>
      </c>
      <c r="G112" s="24" t="s">
        <v>288</v>
      </c>
      <c r="H112" s="124">
        <f t="shared" si="6"/>
        <v>215762.00999999998</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8793226.040000001</v>
      </c>
      <c r="D115" s="86">
        <f>SUM(D109:D114)</f>
        <v>0</v>
      </c>
      <c r="E115" s="86">
        <f>SUM(E109:E114)</f>
        <v>1121232.6200000001</v>
      </c>
      <c r="F115" s="86">
        <f>SUM(F109:F114)</f>
        <v>0</v>
      </c>
      <c r="G115" s="86">
        <f>SUM(G109:G114)</f>
        <v>0</v>
      </c>
      <c r="H115" s="86">
        <f t="shared" si="6"/>
        <v>9914458.6600000001</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1324507.68</v>
      </c>
      <c r="D118" s="24" t="s">
        <v>288</v>
      </c>
      <c r="E118" s="95">
        <f>+('DOE25'!L282)+('DOE25'!L301)+('DOE25'!L320)</f>
        <v>281026.84999999998</v>
      </c>
      <c r="F118" s="24" t="s">
        <v>288</v>
      </c>
      <c r="G118" s="24" t="s">
        <v>288</v>
      </c>
      <c r="H118" s="124">
        <f t="shared" ref="H118:H145" si="7">SUM(C118:G118)</f>
        <v>1605534.5299999998</v>
      </c>
    </row>
    <row r="119" spans="1:8" x14ac:dyDescent="0.2">
      <c r="A119" t="s">
        <v>208</v>
      </c>
      <c r="B119" s="32" t="s">
        <v>209</v>
      </c>
      <c r="C119" s="95">
        <f>('DOE25'!L204)+('DOE25'!L222)+('DOE25'!L240)</f>
        <v>253427.88999999998</v>
      </c>
      <c r="D119" s="24" t="s">
        <v>288</v>
      </c>
      <c r="E119" s="95">
        <f>+('DOE25'!L283)+('DOE25'!L302)+('DOE25'!L321)</f>
        <v>161953.48000000001</v>
      </c>
      <c r="F119" s="24" t="s">
        <v>288</v>
      </c>
      <c r="G119" s="24" t="s">
        <v>288</v>
      </c>
      <c r="H119" s="124">
        <f t="shared" si="7"/>
        <v>415381.37</v>
      </c>
    </row>
    <row r="120" spans="1:8" x14ac:dyDescent="0.2">
      <c r="A120" t="s">
        <v>210</v>
      </c>
      <c r="B120" s="32" t="s">
        <v>211</v>
      </c>
      <c r="C120" s="95">
        <f>('DOE25'!L205)+('DOE25'!L223)+('DOE25'!L241)</f>
        <v>730329.23</v>
      </c>
      <c r="D120" s="24" t="s">
        <v>288</v>
      </c>
      <c r="E120" s="95">
        <f>+('DOE25'!L284)+('DOE25'!L303)+('DOE25'!L322)</f>
        <v>18155.57</v>
      </c>
      <c r="F120" s="24" t="s">
        <v>288</v>
      </c>
      <c r="G120" s="24" t="s">
        <v>288</v>
      </c>
      <c r="H120" s="124">
        <f t="shared" si="7"/>
        <v>748484.79999999993</v>
      </c>
    </row>
    <row r="121" spans="1:8" x14ac:dyDescent="0.2">
      <c r="A121" t="s">
        <v>212</v>
      </c>
      <c r="B121" s="32" t="s">
        <v>213</v>
      </c>
      <c r="C121" s="95">
        <f>('DOE25'!L206)+('DOE25'!L224)+('DOE25'!L242)</f>
        <v>1357355.28</v>
      </c>
      <c r="D121" s="24" t="s">
        <v>288</v>
      </c>
      <c r="E121" s="95">
        <f>+('DOE25'!L285)+('DOE25'!L304)+('DOE25'!L323)</f>
        <v>0</v>
      </c>
      <c r="F121" s="24" t="s">
        <v>288</v>
      </c>
      <c r="G121" s="24" t="s">
        <v>288</v>
      </c>
      <c r="H121" s="124">
        <f t="shared" si="7"/>
        <v>1357355.28</v>
      </c>
    </row>
    <row r="122" spans="1:8" x14ac:dyDescent="0.2">
      <c r="A122" t="s">
        <v>214</v>
      </c>
      <c r="B122" s="32" t="s">
        <v>215</v>
      </c>
      <c r="C122" s="95">
        <f>('DOE25'!L207)+('DOE25'!L225)+('DOE25'!L243)</f>
        <v>375897.08000000007</v>
      </c>
      <c r="D122" s="24" t="s">
        <v>288</v>
      </c>
      <c r="E122" s="95">
        <f>+('DOE25'!L286)+('DOE25'!L305)+('DOE25'!L324)</f>
        <v>14310</v>
      </c>
      <c r="F122" s="24" t="s">
        <v>288</v>
      </c>
      <c r="G122" s="24" t="s">
        <v>288</v>
      </c>
      <c r="H122" s="124">
        <f t="shared" si="7"/>
        <v>390207.08000000007</v>
      </c>
    </row>
    <row r="123" spans="1:8" x14ac:dyDescent="0.2">
      <c r="A123" t="s">
        <v>216</v>
      </c>
      <c r="B123" s="32" t="s">
        <v>217</v>
      </c>
      <c r="C123" s="95">
        <f>('DOE25'!L208)+('DOE25'!L226)+('DOE25'!L244)</f>
        <v>1485649.31</v>
      </c>
      <c r="D123" s="24" t="s">
        <v>288</v>
      </c>
      <c r="E123" s="95">
        <f>+('DOE25'!L287)+('DOE25'!L306)+('DOE25'!L325)</f>
        <v>115605.19</v>
      </c>
      <c r="F123" s="24" t="s">
        <v>288</v>
      </c>
      <c r="G123" s="24" t="s">
        <v>288</v>
      </c>
      <c r="H123" s="124">
        <f t="shared" si="7"/>
        <v>1601254.5</v>
      </c>
    </row>
    <row r="124" spans="1:8" x14ac:dyDescent="0.2">
      <c r="A124" t="s">
        <v>218</v>
      </c>
      <c r="B124" s="32" t="s">
        <v>219</v>
      </c>
      <c r="C124" s="95">
        <f>('DOE25'!L209)+('DOE25'!L227)+('DOE25'!L245+'DOE25'!L255)</f>
        <v>817210.85</v>
      </c>
      <c r="D124" s="24" t="s">
        <v>288</v>
      </c>
      <c r="E124" s="95">
        <f>+('DOE25'!L288)+('DOE25'!L307)+('DOE25'!L326)</f>
        <v>9897.5</v>
      </c>
      <c r="F124" s="24" t="s">
        <v>288</v>
      </c>
      <c r="G124" s="24" t="s">
        <v>288</v>
      </c>
      <c r="H124" s="124">
        <f t="shared" si="7"/>
        <v>827108.35</v>
      </c>
    </row>
    <row r="125" spans="1:8" x14ac:dyDescent="0.2">
      <c r="A125" t="s">
        <v>220</v>
      </c>
      <c r="B125" s="32" t="s">
        <v>221</v>
      </c>
      <c r="C125" s="95">
        <f>('DOE25'!L210)+('DOE25'!L228)+('DOE25'!L246)</f>
        <v>367498.36</v>
      </c>
      <c r="D125" s="24" t="s">
        <v>288</v>
      </c>
      <c r="E125" s="95">
        <f>+('DOE25'!L289)+('DOE25'!L308)+('DOE25'!L327)</f>
        <v>0</v>
      </c>
      <c r="F125" s="24" t="s">
        <v>288</v>
      </c>
      <c r="G125" s="24" t="s">
        <v>288</v>
      </c>
      <c r="H125" s="124">
        <f t="shared" si="7"/>
        <v>367498.36</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654467.03</v>
      </c>
      <c r="E127" s="24" t="s">
        <v>288</v>
      </c>
      <c r="F127" s="24" t="s">
        <v>288</v>
      </c>
      <c r="G127" s="24" t="s">
        <v>288</v>
      </c>
      <c r="H127" s="124">
        <f t="shared" si="7"/>
        <v>654467.03</v>
      </c>
    </row>
    <row r="128" spans="1:8" ht="12.75" thickTop="1" thickBot="1" x14ac:dyDescent="0.25">
      <c r="A128" s="33" t="s">
        <v>226</v>
      </c>
      <c r="C128" s="86">
        <f>SUM(C118:C127)</f>
        <v>6711875.6800000006</v>
      </c>
      <c r="D128" s="86">
        <f>SUM(D118:D127)</f>
        <v>654467.03</v>
      </c>
      <c r="E128" s="86">
        <f>SUM(E118:E127)</f>
        <v>600948.59</v>
      </c>
      <c r="F128" s="86">
        <f>SUM(F118:F127)</f>
        <v>0</v>
      </c>
      <c r="G128" s="86">
        <f>SUM(G118:G127)</f>
        <v>0</v>
      </c>
      <c r="H128" s="86">
        <f t="shared" si="7"/>
        <v>7967291.3000000007</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1475000</v>
      </c>
      <c r="D131" s="24" t="s">
        <v>288</v>
      </c>
      <c r="E131" s="129">
        <f>'DOE25'!L342</f>
        <v>0</v>
      </c>
      <c r="F131" s="24" t="s">
        <v>288</v>
      </c>
      <c r="G131" s="24" t="s">
        <v>288</v>
      </c>
      <c r="H131" s="124">
        <f t="shared" si="7"/>
        <v>1475000</v>
      </c>
    </row>
    <row r="132" spans="1:8" x14ac:dyDescent="0.2">
      <c r="A132" t="s">
        <v>230</v>
      </c>
      <c r="B132" s="32">
        <v>5120</v>
      </c>
      <c r="C132" s="95">
        <f>'DOE25'!L262</f>
        <v>437263.75</v>
      </c>
      <c r="D132" s="24" t="s">
        <v>288</v>
      </c>
      <c r="E132" s="129">
        <f>'DOE25'!L343</f>
        <v>0</v>
      </c>
      <c r="F132" s="24" t="s">
        <v>288</v>
      </c>
      <c r="G132" s="24" t="s">
        <v>288</v>
      </c>
      <c r="H132" s="124">
        <f t="shared" si="7"/>
        <v>437263.75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22122.01</v>
      </c>
      <c r="F134" s="95">
        <f>'DOE25'!K382</f>
        <v>0</v>
      </c>
      <c r="G134" s="95">
        <f>'DOE25'!K435</f>
        <v>0</v>
      </c>
      <c r="H134" s="124">
        <f t="shared" si="7"/>
        <v>22122.01</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41000</v>
      </c>
      <c r="D138" s="24" t="s">
        <v>288</v>
      </c>
      <c r="E138" s="24" t="s">
        <v>288</v>
      </c>
      <c r="F138" s="24" t="s">
        <v>288</v>
      </c>
      <c r="G138" s="24" t="s">
        <v>288</v>
      </c>
      <c r="H138" s="124">
        <f t="shared" si="7"/>
        <v>41000</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1953263.75</v>
      </c>
      <c r="D144" s="141">
        <f>SUM(D130:D143)</f>
        <v>0</v>
      </c>
      <c r="E144" s="141">
        <f>SUM(E130:E143)</f>
        <v>22122.01</v>
      </c>
      <c r="F144" s="141">
        <f>SUM(F130:F143)</f>
        <v>0</v>
      </c>
      <c r="G144" s="141">
        <f>SUM(G130:G143)</f>
        <v>0</v>
      </c>
      <c r="H144" s="141">
        <f t="shared" si="7"/>
        <v>1975385.76</v>
      </c>
    </row>
    <row r="145" spans="1:9" ht="12.75" thickTop="1" thickBot="1" x14ac:dyDescent="0.25">
      <c r="A145" s="33" t="s">
        <v>244</v>
      </c>
      <c r="C145" s="86">
        <f>(C115+C128+C144)</f>
        <v>17458365.470000003</v>
      </c>
      <c r="D145" s="86">
        <f>(D115+D128+D144)</f>
        <v>654467.03</v>
      </c>
      <c r="E145" s="86">
        <f>(E115+E128+E144)</f>
        <v>1744303.22</v>
      </c>
      <c r="F145" s="86">
        <f>(F115+F128+F144)</f>
        <v>0</v>
      </c>
      <c r="G145" s="86">
        <f>(G115+G128+G144)</f>
        <v>0</v>
      </c>
      <c r="H145" s="86">
        <f t="shared" si="7"/>
        <v>19857135.720000003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16</v>
      </c>
      <c r="C151" s="153">
        <f>'DOE25'!G491</f>
        <v>0</v>
      </c>
      <c r="D151" s="153">
        <f>'DOE25'!H491</f>
        <v>0</v>
      </c>
      <c r="E151" s="153">
        <f>'DOE25'!I491</f>
        <v>0</v>
      </c>
      <c r="F151" s="153">
        <f>'DOE25'!J491</f>
        <v>0</v>
      </c>
      <c r="G151" s="24" t="s">
        <v>288</v>
      </c>
    </row>
    <row r="152" spans="1:9" x14ac:dyDescent="0.2">
      <c r="A152" s="136" t="s">
        <v>28</v>
      </c>
      <c r="B152" s="152" t="str">
        <f>'DOE25'!F492</f>
        <v>06/10</v>
      </c>
      <c r="C152" s="152">
        <f>'DOE25'!G492</f>
        <v>0</v>
      </c>
      <c r="D152" s="152">
        <f>'DOE25'!H492</f>
        <v>0</v>
      </c>
      <c r="E152" s="152">
        <f>'DOE25'!I492</f>
        <v>0</v>
      </c>
      <c r="F152" s="152">
        <f>'DOE25'!J492</f>
        <v>0</v>
      </c>
      <c r="G152" s="24" t="s">
        <v>288</v>
      </c>
    </row>
    <row r="153" spans="1:9" x14ac:dyDescent="0.2">
      <c r="A153" s="136" t="s">
        <v>29</v>
      </c>
      <c r="B153" s="152" t="str">
        <f>'DOE25'!F493</f>
        <v>09/26</v>
      </c>
      <c r="C153" s="152">
        <f>'DOE25'!G493</f>
        <v>0</v>
      </c>
      <c r="D153" s="152">
        <f>'DOE25'!H493</f>
        <v>0</v>
      </c>
      <c r="E153" s="152">
        <f>'DOE25'!I493</f>
        <v>0</v>
      </c>
      <c r="F153" s="152">
        <f>'DOE25'!J493</f>
        <v>0</v>
      </c>
      <c r="G153" s="24" t="s">
        <v>288</v>
      </c>
    </row>
    <row r="154" spans="1:9" x14ac:dyDescent="0.2">
      <c r="A154" s="136" t="s">
        <v>30</v>
      </c>
      <c r="B154" s="137">
        <f>'DOE25'!F494</f>
        <v>23623315</v>
      </c>
      <c r="C154" s="137">
        <f>'DOE25'!G494</f>
        <v>0</v>
      </c>
      <c r="D154" s="137">
        <f>'DOE25'!H494</f>
        <v>0</v>
      </c>
      <c r="E154" s="137">
        <f>'DOE25'!I494</f>
        <v>0</v>
      </c>
      <c r="F154" s="137">
        <f>'DOE25'!J494</f>
        <v>0</v>
      </c>
      <c r="G154" s="24" t="s">
        <v>288</v>
      </c>
    </row>
    <row r="155" spans="1:9" x14ac:dyDescent="0.2">
      <c r="A155" s="136" t="s">
        <v>31</v>
      </c>
      <c r="B155" s="137">
        <f>'DOE25'!F495</f>
        <v>5.39</v>
      </c>
      <c r="C155" s="137">
        <f>'DOE25'!G495</f>
        <v>0</v>
      </c>
      <c r="D155" s="137">
        <f>'DOE25'!H495</f>
        <v>0</v>
      </c>
      <c r="E155" s="137">
        <f>'DOE25'!I495</f>
        <v>0</v>
      </c>
      <c r="F155" s="137">
        <f>'DOE25'!J495</f>
        <v>0</v>
      </c>
      <c r="G155" s="24" t="s">
        <v>288</v>
      </c>
    </row>
    <row r="156" spans="1:9" x14ac:dyDescent="0.2">
      <c r="A156" s="22" t="s">
        <v>32</v>
      </c>
      <c r="B156" s="137">
        <f>'DOE25'!F496</f>
        <v>8850000</v>
      </c>
      <c r="C156" s="137">
        <f>'DOE25'!G496</f>
        <v>0</v>
      </c>
      <c r="D156" s="137">
        <f>'DOE25'!H496</f>
        <v>0</v>
      </c>
      <c r="E156" s="137">
        <f>'DOE25'!I496</f>
        <v>0</v>
      </c>
      <c r="F156" s="137">
        <f>'DOE25'!J496</f>
        <v>0</v>
      </c>
      <c r="G156" s="138">
        <f>SUM(B156:F156)</f>
        <v>8850000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1475000</v>
      </c>
      <c r="C158" s="137">
        <f>'DOE25'!G498</f>
        <v>0</v>
      </c>
      <c r="D158" s="137">
        <f>'DOE25'!H498</f>
        <v>0</v>
      </c>
      <c r="E158" s="137">
        <f>'DOE25'!I498</f>
        <v>0</v>
      </c>
      <c r="F158" s="137">
        <f>'DOE25'!J498</f>
        <v>0</v>
      </c>
      <c r="G158" s="138">
        <f t="shared" si="8"/>
        <v>1475000</v>
      </c>
    </row>
    <row r="159" spans="1:9" x14ac:dyDescent="0.2">
      <c r="A159" s="22" t="s">
        <v>35</v>
      </c>
      <c r="B159" s="137">
        <f>'DOE25'!F499</f>
        <v>7375000</v>
      </c>
      <c r="C159" s="137">
        <f>'DOE25'!G499</f>
        <v>0</v>
      </c>
      <c r="D159" s="137">
        <f>'DOE25'!H499</f>
        <v>0</v>
      </c>
      <c r="E159" s="137">
        <f>'DOE25'!I499</f>
        <v>0</v>
      </c>
      <c r="F159" s="137">
        <f>'DOE25'!J499</f>
        <v>0</v>
      </c>
      <c r="G159" s="138">
        <f t="shared" si="8"/>
        <v>7375000</v>
      </c>
    </row>
    <row r="160" spans="1:9" x14ac:dyDescent="0.2">
      <c r="A160" s="22" t="s">
        <v>36</v>
      </c>
      <c r="B160" s="137">
        <f>'DOE25'!F500</f>
        <v>993781.25</v>
      </c>
      <c r="C160" s="137">
        <f>'DOE25'!G500</f>
        <v>0</v>
      </c>
      <c r="D160" s="137">
        <f>'DOE25'!H500</f>
        <v>0</v>
      </c>
      <c r="E160" s="137">
        <f>'DOE25'!I500</f>
        <v>0</v>
      </c>
      <c r="F160" s="137">
        <f>'DOE25'!J500</f>
        <v>0</v>
      </c>
      <c r="G160" s="138">
        <f t="shared" si="8"/>
        <v>993781.25</v>
      </c>
    </row>
    <row r="161" spans="1:7" x14ac:dyDescent="0.2">
      <c r="A161" s="22" t="s">
        <v>37</v>
      </c>
      <c r="B161" s="137">
        <f>'DOE25'!F501</f>
        <v>8368781.25</v>
      </c>
      <c r="C161" s="137">
        <f>'DOE25'!G501</f>
        <v>0</v>
      </c>
      <c r="D161" s="137">
        <f>'DOE25'!H501</f>
        <v>0</v>
      </c>
      <c r="E161" s="137">
        <f>'DOE25'!I501</f>
        <v>0</v>
      </c>
      <c r="F161" s="137">
        <f>'DOE25'!J501</f>
        <v>0</v>
      </c>
      <c r="G161" s="138">
        <f t="shared" si="8"/>
        <v>8368781.25</v>
      </c>
    </row>
    <row r="162" spans="1:7" x14ac:dyDescent="0.2">
      <c r="A162" s="22" t="s">
        <v>38</v>
      </c>
      <c r="B162" s="137">
        <f>'DOE25'!F502</f>
        <v>1475000</v>
      </c>
      <c r="C162" s="137">
        <f>'DOE25'!G502</f>
        <v>0</v>
      </c>
      <c r="D162" s="137">
        <f>'DOE25'!H502</f>
        <v>0</v>
      </c>
      <c r="E162" s="137">
        <f>'DOE25'!I502</f>
        <v>0</v>
      </c>
      <c r="F162" s="137">
        <f>'DOE25'!J502</f>
        <v>0</v>
      </c>
      <c r="G162" s="138">
        <f t="shared" si="8"/>
        <v>1475000</v>
      </c>
    </row>
    <row r="163" spans="1:7" x14ac:dyDescent="0.2">
      <c r="A163" s="22" t="s">
        <v>39</v>
      </c>
      <c r="B163" s="137">
        <f>'DOE25'!F503</f>
        <v>357761.25</v>
      </c>
      <c r="C163" s="137">
        <f>'DOE25'!G503</f>
        <v>0</v>
      </c>
      <c r="D163" s="137">
        <f>'DOE25'!H503</f>
        <v>0</v>
      </c>
      <c r="E163" s="137">
        <f>'DOE25'!I503</f>
        <v>0</v>
      </c>
      <c r="F163" s="137">
        <f>'DOE25'!J503</f>
        <v>0</v>
      </c>
      <c r="G163" s="138">
        <f t="shared" si="8"/>
        <v>357761.25</v>
      </c>
    </row>
    <row r="164" spans="1:7" x14ac:dyDescent="0.2">
      <c r="A164" s="22" t="s">
        <v>246</v>
      </c>
      <c r="B164" s="137">
        <f>'DOE25'!F504</f>
        <v>1832761.25</v>
      </c>
      <c r="C164" s="137">
        <f>'DOE25'!G504</f>
        <v>0</v>
      </c>
      <c r="D164" s="137">
        <f>'DOE25'!H504</f>
        <v>0</v>
      </c>
      <c r="E164" s="137">
        <f>'DOE25'!I504</f>
        <v>0</v>
      </c>
      <c r="F164" s="137">
        <f>'DOE25'!J504</f>
        <v>0</v>
      </c>
      <c r="G164" s="138">
        <f t="shared" si="8"/>
        <v>1832761.25</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Mascenic Regional</v>
      </c>
    </row>
    <row r="3" spans="1:4" x14ac:dyDescent="0.2">
      <c r="B3" s="187" t="s">
        <v>1799</v>
      </c>
    </row>
    <row r="4" spans="1:4" x14ac:dyDescent="0.2">
      <c r="B4" t="s">
        <v>61</v>
      </c>
      <c r="C4" s="178">
        <f>IF('DOE25'!F666+'DOE25'!F671=0,0,ROUND('DOE25'!F673,0))</f>
        <v>16814</v>
      </c>
    </row>
    <row r="5" spans="1:4" x14ac:dyDescent="0.2">
      <c r="B5" t="s">
        <v>700</v>
      </c>
      <c r="C5" s="178">
        <f>IF('DOE25'!G666+'DOE25'!G671=0,0,ROUND('DOE25'!G673,0))</f>
        <v>18615</v>
      </c>
    </row>
    <row r="6" spans="1:4" x14ac:dyDescent="0.2">
      <c r="B6" t="s">
        <v>62</v>
      </c>
      <c r="C6" s="178">
        <f>IF('DOE25'!H666+'DOE25'!H671=0,0,ROUND('DOE25'!H673,0))</f>
        <v>21005</v>
      </c>
    </row>
    <row r="7" spans="1:4" x14ac:dyDescent="0.2">
      <c r="B7" t="s">
        <v>701</v>
      </c>
      <c r="C7" s="178">
        <f>IF('DOE25'!I666+'DOE25'!I671=0,0,ROUND('DOE25'!I673,0))</f>
        <v>18636</v>
      </c>
    </row>
    <row r="9" spans="1:4" x14ac:dyDescent="0.2">
      <c r="A9" s="186" t="s">
        <v>94</v>
      </c>
      <c r="B9" s="187" t="s">
        <v>1800</v>
      </c>
      <c r="C9" s="180" t="s">
        <v>720</v>
      </c>
      <c r="D9" s="180" t="s">
        <v>721</v>
      </c>
    </row>
    <row r="10" spans="1:4" x14ac:dyDescent="0.2">
      <c r="A10">
        <v>1100</v>
      </c>
      <c r="B10" t="s">
        <v>702</v>
      </c>
      <c r="C10" s="178">
        <f>ROUND('DOE25'!L198+'DOE25'!L216+'DOE25'!L234+'DOE25'!L277+'DOE25'!L296+'DOE25'!L315,0)</f>
        <v>7585828</v>
      </c>
      <c r="D10" s="181">
        <f>ROUND((C10/$C$28)*100,1)</f>
        <v>41.5</v>
      </c>
    </row>
    <row r="11" spans="1:4" x14ac:dyDescent="0.2">
      <c r="A11">
        <v>1200</v>
      </c>
      <c r="B11" t="s">
        <v>703</v>
      </c>
      <c r="C11" s="178">
        <f>ROUND('DOE25'!L199+'DOE25'!L217+'DOE25'!L235+'DOE25'!L278+'DOE25'!L297+'DOE25'!L316,0)</f>
        <v>2013386</v>
      </c>
      <c r="D11" s="181">
        <f>ROUND((C11/$C$28)*100,1)</f>
        <v>11</v>
      </c>
    </row>
    <row r="12" spans="1:4" x14ac:dyDescent="0.2">
      <c r="A12">
        <v>1300</v>
      </c>
      <c r="B12" t="s">
        <v>704</v>
      </c>
      <c r="C12" s="178">
        <f>ROUND('DOE25'!L200+'DOE25'!L218+'DOE25'!L236+'DOE25'!L279+'DOE25'!L298+'DOE25'!L317,0)</f>
        <v>99483</v>
      </c>
      <c r="D12" s="181">
        <f>ROUND((C12/$C$28)*100,1)</f>
        <v>0.5</v>
      </c>
    </row>
    <row r="13" spans="1:4" x14ac:dyDescent="0.2">
      <c r="A13">
        <v>1400</v>
      </c>
      <c r="B13" t="s">
        <v>705</v>
      </c>
      <c r="C13" s="178">
        <f>ROUND('DOE25'!L201+'DOE25'!L219+'DOE25'!L237+'DOE25'!L280+'DOE25'!L299+'DOE25'!L318,0)</f>
        <v>215762</v>
      </c>
      <c r="D13" s="181">
        <f>ROUND((C13/$C$28)*100,1)</f>
        <v>1.2</v>
      </c>
    </row>
    <row r="14" spans="1:4" x14ac:dyDescent="0.2">
      <c r="D14" s="181"/>
    </row>
    <row r="15" spans="1:4" x14ac:dyDescent="0.2">
      <c r="A15">
        <v>2100</v>
      </c>
      <c r="B15" t="s">
        <v>706</v>
      </c>
      <c r="C15" s="178">
        <f>ROUND('DOE25'!L203+'DOE25'!L221+'DOE25'!L239+'DOE25'!L282+'DOE25'!L301+'DOE25'!L320,0)</f>
        <v>1605535</v>
      </c>
      <c r="D15" s="181">
        <f t="shared" ref="D15:D27" si="0">ROUND((C15/$C$28)*100,1)</f>
        <v>8.8000000000000007</v>
      </c>
    </row>
    <row r="16" spans="1:4" x14ac:dyDescent="0.2">
      <c r="A16">
        <v>2200</v>
      </c>
      <c r="B16" t="s">
        <v>707</v>
      </c>
      <c r="C16" s="178">
        <f>ROUND('DOE25'!L204+'DOE25'!L222+'DOE25'!L240+'DOE25'!L283+'DOE25'!L302+'DOE25'!L321,0)</f>
        <v>415381</v>
      </c>
      <c r="D16" s="181">
        <f t="shared" si="0"/>
        <v>2.2999999999999998</v>
      </c>
    </row>
    <row r="17" spans="1:4" x14ac:dyDescent="0.2">
      <c r="A17" s="182" t="s">
        <v>723</v>
      </c>
      <c r="B17" t="s">
        <v>738</v>
      </c>
      <c r="C17" s="178">
        <f>ROUND('DOE25'!L205+'DOE25'!L210+'DOE25'!L223+'DOE25'!L228+'DOE25'!L241+'DOE25'!L246+'DOE25'!L284+'DOE25'!L289+'DOE25'!L303+'DOE25'!L308+'DOE25'!L322+'DOE25'!L327,0)</f>
        <v>1115983</v>
      </c>
      <c r="D17" s="181">
        <f t="shared" si="0"/>
        <v>6.1</v>
      </c>
    </row>
    <row r="18" spans="1:4" x14ac:dyDescent="0.2">
      <c r="A18">
        <v>2400</v>
      </c>
      <c r="B18" t="s">
        <v>711</v>
      </c>
      <c r="C18" s="178">
        <f>ROUND('DOE25'!L206+'DOE25'!L224+'DOE25'!L242+'DOE25'!L285+'DOE25'!L304+'DOE25'!L323,0)</f>
        <v>1357355</v>
      </c>
      <c r="D18" s="181">
        <f t="shared" si="0"/>
        <v>7.4</v>
      </c>
    </row>
    <row r="19" spans="1:4" x14ac:dyDescent="0.2">
      <c r="A19">
        <v>2500</v>
      </c>
      <c r="B19" t="s">
        <v>708</v>
      </c>
      <c r="C19" s="178">
        <f>ROUND('DOE25'!L207+'DOE25'!L225+'DOE25'!L243+'DOE25'!L286+'DOE25'!L305+'DOE25'!L324,0)</f>
        <v>390207</v>
      </c>
      <c r="D19" s="181">
        <f t="shared" si="0"/>
        <v>2.1</v>
      </c>
    </row>
    <row r="20" spans="1:4" x14ac:dyDescent="0.2">
      <c r="A20">
        <v>2600</v>
      </c>
      <c r="B20" t="s">
        <v>709</v>
      </c>
      <c r="C20" s="178">
        <f>ROUND('DOE25'!L208+'DOE25'!L226+'DOE25'!L244+'DOE25'!L287+'DOE25'!L306+'DOE25'!L325,0)</f>
        <v>1601255</v>
      </c>
      <c r="D20" s="181">
        <f t="shared" si="0"/>
        <v>8.8000000000000007</v>
      </c>
    </row>
    <row r="21" spans="1:4" x14ac:dyDescent="0.2">
      <c r="A21">
        <v>2700</v>
      </c>
      <c r="B21" t="s">
        <v>710</v>
      </c>
      <c r="C21" s="178">
        <f>ROUND('DOE25'!L209+'DOE25'!L227+'DOE25'!L245+'DOE25'!L288+'DOE25'!L307+'DOE25'!L326,0)</f>
        <v>827108</v>
      </c>
      <c r="D21" s="181">
        <f t="shared" si="0"/>
        <v>4.5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437264</v>
      </c>
      <c r="D25" s="181">
        <f t="shared" si="0"/>
        <v>2.4</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617183.23</v>
      </c>
      <c r="D27" s="181">
        <f t="shared" si="0"/>
        <v>3.4</v>
      </c>
    </row>
    <row r="28" spans="1:4" x14ac:dyDescent="0.2">
      <c r="B28" s="186" t="s">
        <v>719</v>
      </c>
      <c r="C28" s="179">
        <f>SUM(C10:C27)</f>
        <v>18281730.23</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18281730.23</v>
      </c>
    </row>
    <row r="31" spans="1:4" x14ac:dyDescent="0.2">
      <c r="B31" s="33"/>
      <c r="C31" s="179"/>
    </row>
    <row r="32" spans="1:4" x14ac:dyDescent="0.2">
      <c r="A32">
        <v>5100</v>
      </c>
      <c r="B32" s="33" t="s">
        <v>726</v>
      </c>
      <c r="C32" s="179">
        <f>ROUND('DOE25'!L261+'DOE25'!L342,0)</f>
        <v>1475000</v>
      </c>
    </row>
    <row r="34" spans="1:4" x14ac:dyDescent="0.2">
      <c r="A34" s="186" t="s">
        <v>94</v>
      </c>
      <c r="B34" s="187" t="s">
        <v>1801</v>
      </c>
      <c r="C34" s="180" t="s">
        <v>720</v>
      </c>
      <c r="D34" s="180" t="s">
        <v>721</v>
      </c>
    </row>
    <row r="35" spans="1:4" x14ac:dyDescent="0.2">
      <c r="A35">
        <v>1100</v>
      </c>
      <c r="B35" s="184" t="s">
        <v>727</v>
      </c>
      <c r="C35" s="178">
        <f>ROUND('DOE25'!F60+'DOE25'!G60+'DOE25'!H60+'DOE25'!I60+'DOE25'!J60,0)</f>
        <v>8737574</v>
      </c>
      <c r="D35" s="181">
        <f t="shared" ref="D35:D40" si="1">ROUND((C35/$C$41)*100,1)</f>
        <v>45.6</v>
      </c>
    </row>
    <row r="36" spans="1:4" x14ac:dyDescent="0.2">
      <c r="B36" s="184" t="s">
        <v>739</v>
      </c>
      <c r="C36" s="178">
        <f>SUM('DOE25'!F112:J112)-SUM('DOE25'!G97:G110)+('DOE25'!F175+'DOE25'!F176+'DOE25'!I175+'DOE25'!I176)-C35</f>
        <v>537436.74000000022</v>
      </c>
      <c r="D36" s="181">
        <f t="shared" si="1"/>
        <v>2.8</v>
      </c>
    </row>
    <row r="37" spans="1:4" x14ac:dyDescent="0.2">
      <c r="A37" s="182" t="s">
        <v>835</v>
      </c>
      <c r="B37" s="184" t="s">
        <v>728</v>
      </c>
      <c r="C37" s="178">
        <f>ROUND('DOE25'!F117+'DOE25'!F118,0)</f>
        <v>6523414</v>
      </c>
      <c r="D37" s="181">
        <f t="shared" si="1"/>
        <v>34.1</v>
      </c>
    </row>
    <row r="38" spans="1:4" x14ac:dyDescent="0.2">
      <c r="A38" s="182" t="s">
        <v>734</v>
      </c>
      <c r="B38" s="184" t="s">
        <v>729</v>
      </c>
      <c r="C38" s="178">
        <f>ROUND(SUM('DOE25'!F140:J140)-SUM('DOE25'!F117:F119),0)</f>
        <v>926570</v>
      </c>
      <c r="D38" s="181">
        <f t="shared" si="1"/>
        <v>4.8</v>
      </c>
    </row>
    <row r="39" spans="1:4" x14ac:dyDescent="0.2">
      <c r="A39">
        <v>4000</v>
      </c>
      <c r="B39" s="184" t="s">
        <v>730</v>
      </c>
      <c r="C39" s="178">
        <f>ROUND('DOE25'!F170+'DOE25'!G170+'DOE25'!H170+'DOE25'!I170,0)</f>
        <v>2429656</v>
      </c>
      <c r="D39" s="181">
        <f t="shared" si="1"/>
        <v>12.7</v>
      </c>
    </row>
    <row r="40" spans="1:4" x14ac:dyDescent="0.2">
      <c r="A40" s="182" t="s">
        <v>735</v>
      </c>
      <c r="B40" s="184" t="s">
        <v>731</v>
      </c>
      <c r="C40" s="178">
        <f>ROUND(SUM('DOE25'!F190:F192)+SUM('DOE25'!G190:G192)+SUM('DOE25'!H190:H192)+SUM('DOE25'!I190:I192),0)</f>
        <v>99</v>
      </c>
      <c r="D40" s="181">
        <f t="shared" si="1"/>
        <v>0</v>
      </c>
    </row>
    <row r="41" spans="1:4" x14ac:dyDescent="0.2">
      <c r="B41" s="186" t="s">
        <v>732</v>
      </c>
      <c r="C41" s="179">
        <f>SUM(C35:C40)</f>
        <v>19154749.740000002</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Mascenic Regional</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122</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8</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54</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f>IF('School Level Expenditures'!$B$2='School Tables'!L11,'School Tables'!S11,"")</f>
        <v>8</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f>IF('School Level Expenditures'!$B$2='School Tables'!W57,'School Tables'!AD57,"")</f>
        <v>54</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f>IF('School Level Expenditures'!$B$2=A125,'School Tables'!H125,"")</f>
        <v>122</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2022-08-09T13:45:21Z</cp:lastPrinted>
  <dcterms:created xsi:type="dcterms:W3CDTF">1997-12-04T19:04:30Z</dcterms:created>
  <dcterms:modified xsi:type="dcterms:W3CDTF">2022-12-28T13:35:09Z</dcterms:modified>
</cp:coreProperties>
</file>