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8BA0A1DD-1A1F-4BEB-9445-C391A78F7AD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10" i="1" l="1"/>
  <c r="G310" i="1"/>
  <c r="H310" i="1"/>
  <c r="I310" i="1"/>
  <c r="J310" i="1"/>
  <c r="K310" i="1"/>
  <c r="F529" i="1"/>
  <c r="F527" i="1"/>
  <c r="B21" i="12"/>
  <c r="B19" i="12"/>
  <c r="B20" i="12"/>
  <c r="F534" i="1"/>
  <c r="F522" i="1"/>
  <c r="F235" i="1" l="1"/>
  <c r="H237" i="1"/>
  <c r="F237" i="1"/>
  <c r="H198" i="1"/>
  <c r="F198" i="1"/>
  <c r="F234" i="1"/>
  <c r="C38" i="12"/>
  <c r="F201" i="1" l="1"/>
  <c r="B12" i="12" l="1"/>
  <c r="C19" i="12"/>
  <c r="B11" i="12" l="1"/>
  <c r="B10" i="12"/>
  <c r="C39" i="12"/>
  <c r="C37" i="12"/>
  <c r="B39" i="12"/>
  <c r="E13" i="17"/>
  <c r="H155" i="1"/>
  <c r="E9" i="17"/>
  <c r="D7" i="14" l="1"/>
  <c r="D6" i="14"/>
  <c r="D38" i="14"/>
  <c r="D8" i="14"/>
  <c r="H316" i="1" l="1"/>
  <c r="H315" i="1"/>
  <c r="I240" i="1"/>
  <c r="H240" i="1"/>
  <c r="H199" i="1"/>
  <c r="H283" i="1"/>
  <c r="H320" i="1"/>
  <c r="F277" i="1"/>
  <c r="H277" i="1"/>
  <c r="J256" i="1"/>
  <c r="K262" i="1"/>
  <c r="K261" i="1"/>
  <c r="J605" i="1"/>
  <c r="H48" i="1"/>
  <c r="H22" i="1"/>
  <c r="H469" i="1"/>
  <c r="H13" i="1"/>
  <c r="H605" i="1"/>
  <c r="H65" i="1"/>
  <c r="H244" i="1"/>
  <c r="I244" i="1"/>
  <c r="H241" i="1"/>
  <c r="F239" i="1"/>
  <c r="I235" i="1"/>
  <c r="J208" i="1"/>
  <c r="H208" i="1"/>
  <c r="I208" i="1"/>
  <c r="H205" i="1"/>
  <c r="H204" i="1"/>
  <c r="F204" i="1"/>
  <c r="J235" i="1"/>
  <c r="J199" i="1"/>
  <c r="J234" i="1"/>
  <c r="K198" i="1"/>
  <c r="J198" i="1"/>
  <c r="J277" i="1" l="1"/>
  <c r="H246" i="1" l="1"/>
  <c r="H210" i="1"/>
  <c r="H162" i="1"/>
  <c r="H235" i="1" l="1"/>
  <c r="K241" i="1"/>
  <c r="J241" i="1"/>
  <c r="I241" i="1"/>
  <c r="G241" i="1"/>
  <c r="F241" i="1"/>
  <c r="H239" i="1"/>
  <c r="K239" i="1"/>
  <c r="G239" i="1"/>
  <c r="G235" i="1"/>
  <c r="I234" i="1"/>
  <c r="H234" i="1"/>
  <c r="G234" i="1"/>
  <c r="G244" i="1"/>
  <c r="F244" i="1"/>
  <c r="J283" i="1"/>
  <c r="G205" i="1"/>
  <c r="F205" i="1"/>
  <c r="K203" i="1"/>
  <c r="G203" i="1"/>
  <c r="G199" i="1"/>
  <c r="G198" i="1"/>
  <c r="J278" i="1"/>
  <c r="H154" i="1"/>
  <c r="H596" i="1" l="1"/>
  <c r="J469" i="1"/>
  <c r="H209" i="1"/>
  <c r="H245" i="1"/>
  <c r="F442" i="1" l="1"/>
  <c r="F469" i="1"/>
  <c r="F502" i="1"/>
  <c r="F503" i="1"/>
  <c r="F499" i="1"/>
  <c r="F498" i="1"/>
  <c r="G499" i="1"/>
  <c r="H499" i="1"/>
  <c r="I499" i="1"/>
  <c r="I529" i="1"/>
  <c r="I524" i="1"/>
  <c r="H529" i="1"/>
  <c r="H522" i="1"/>
  <c r="H524" i="1"/>
  <c r="G524" i="1"/>
  <c r="G529" i="1"/>
  <c r="G534" i="1"/>
  <c r="F524" i="1"/>
  <c r="G522" i="1"/>
  <c r="J527" i="1"/>
  <c r="J522" i="1"/>
  <c r="I522" i="1"/>
  <c r="H527" i="1"/>
  <c r="G527" i="1"/>
  <c r="G532" i="1"/>
  <c r="I316" i="1" l="1"/>
  <c r="F316" i="1"/>
  <c r="I283" i="1"/>
  <c r="G282" i="1"/>
  <c r="F282" i="1"/>
  <c r="I277" i="1" l="1"/>
  <c r="H473" i="1"/>
  <c r="G208" i="1" l="1"/>
  <c r="F208" i="1"/>
  <c r="K205" i="1"/>
  <c r="J205" i="1"/>
  <c r="I205" i="1"/>
  <c r="H203" i="1"/>
  <c r="F203" i="1"/>
  <c r="H201" i="1"/>
  <c r="F199" i="1"/>
  <c r="I199" i="1"/>
  <c r="I198" i="1"/>
  <c r="J321" i="1"/>
  <c r="G321" i="1"/>
  <c r="F321" i="1"/>
  <c r="I321" i="1"/>
  <c r="H321" i="1"/>
  <c r="K321" i="1"/>
  <c r="K320" i="1"/>
  <c r="J320" i="1"/>
  <c r="I320" i="1"/>
  <c r="G320" i="1"/>
  <c r="F320" i="1"/>
  <c r="J318" i="1"/>
  <c r="G316" i="1"/>
  <c r="J316" i="1"/>
  <c r="J315" i="1"/>
  <c r="I315" i="1"/>
  <c r="F315" i="1"/>
  <c r="B9" i="12" s="1"/>
  <c r="I287" i="1"/>
  <c r="G283" i="1"/>
  <c r="F283" i="1"/>
  <c r="K283" i="1"/>
  <c r="K282" i="1"/>
  <c r="J282" i="1"/>
  <c r="I282" i="1"/>
  <c r="G278" i="1"/>
  <c r="C18" i="12" s="1"/>
  <c r="F278" i="1"/>
  <c r="J204" i="1"/>
  <c r="G204" i="1"/>
  <c r="I204" i="1"/>
  <c r="I203" i="1"/>
  <c r="B18" i="12" l="1"/>
  <c r="K415" i="1"/>
  <c r="G397" i="1"/>
  <c r="C12" i="12" l="1"/>
  <c r="C11" i="12"/>
  <c r="C10" i="12"/>
  <c r="H583" i="1"/>
  <c r="F583" i="1"/>
  <c r="E17" i="17"/>
  <c r="G318" i="1" l="1"/>
  <c r="G315" i="1"/>
  <c r="C9" i="12" s="1"/>
  <c r="G280" i="1" l="1"/>
  <c r="H242" i="1"/>
  <c r="G242" i="1"/>
  <c r="F242" i="1"/>
  <c r="G240" i="1"/>
  <c r="F240" i="1"/>
  <c r="I239" i="1"/>
  <c r="J237" i="1"/>
  <c r="I237" i="1"/>
  <c r="G237" i="1"/>
  <c r="J206" i="1" l="1"/>
  <c r="I206" i="1"/>
  <c r="H206" i="1"/>
  <c r="G206" i="1"/>
  <c r="F206" i="1"/>
  <c r="I201" i="1"/>
  <c r="G201" i="1"/>
  <c r="G158" i="1"/>
  <c r="G97" i="1"/>
  <c r="F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G662" i="1" s="1"/>
  <c r="I368" i="1"/>
  <c r="J291" i="1"/>
  <c r="J329" i="1"/>
  <c r="K291"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13" i="12"/>
  <c r="C13"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I170" i="1"/>
  <c r="H140" i="1" l="1"/>
  <c r="I409" i="1"/>
  <c r="H137" i="2"/>
  <c r="C32" i="10"/>
  <c r="C125" i="2"/>
  <c r="C110" i="2"/>
  <c r="H135" i="2"/>
  <c r="H73" i="2"/>
  <c r="E121" i="2"/>
  <c r="H72" i="2"/>
  <c r="H58" i="2"/>
  <c r="C120" i="2"/>
  <c r="H120" i="2" s="1"/>
  <c r="C119" i="2"/>
  <c r="G646" i="1"/>
  <c r="G62" i="2"/>
  <c r="D18" i="13"/>
  <c r="C18" i="13" s="1"/>
  <c r="D15" i="13"/>
  <c r="C15" i="13" s="1"/>
  <c r="H102" i="2"/>
  <c r="H101" i="2"/>
  <c r="H100" i="2"/>
  <c r="H99" i="2"/>
  <c r="H98" i="2"/>
  <c r="H79" i="2"/>
  <c r="H76" i="2"/>
  <c r="H15" i="2"/>
  <c r="H477" i="1"/>
  <c r="H625" i="1" s="1"/>
  <c r="J625" i="1" s="1"/>
  <c r="G477" i="1"/>
  <c r="J652" i="1"/>
  <c r="E112" i="2"/>
  <c r="C13" i="10"/>
  <c r="C12" i="10"/>
  <c r="C121" i="2"/>
  <c r="C112" i="2"/>
  <c r="A40" i="12"/>
  <c r="H23" i="2"/>
  <c r="D6" i="13"/>
  <c r="C6" i="13" s="1"/>
  <c r="E13" i="13"/>
  <c r="C13" i="13" s="1"/>
  <c r="D144" i="2"/>
  <c r="H97" i="2"/>
  <c r="H96" i="2"/>
  <c r="H93" i="2"/>
  <c r="H87" i="2"/>
  <c r="H80" i="2"/>
  <c r="H77" i="2"/>
  <c r="H61" i="2"/>
  <c r="H26" i="2"/>
  <c r="H22" i="2"/>
  <c r="H143" i="2"/>
  <c r="H113" i="2"/>
  <c r="H132" i="2"/>
  <c r="H36" i="2"/>
  <c r="H38" i="2"/>
  <c r="H43" i="2"/>
  <c r="H44" i="2"/>
  <c r="H47" i="2"/>
  <c r="H48" i="2"/>
  <c r="H125" i="2"/>
  <c r="H89" i="2"/>
  <c r="H59" i="2"/>
  <c r="H35" i="2"/>
  <c r="H34" i="2"/>
  <c r="H13" i="2"/>
  <c r="H9" i="2"/>
  <c r="H94" i="2"/>
  <c r="H69" i="2"/>
  <c r="H30" i="2"/>
  <c r="H29" i="2"/>
  <c r="H28" i="2"/>
  <c r="H27" i="2"/>
  <c r="H25" i="2"/>
  <c r="H24" i="2"/>
  <c r="H17" i="2"/>
  <c r="H12"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H18" i="2" s="1"/>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H110" i="2"/>
  <c r="H122" i="2"/>
  <c r="E51" i="2"/>
  <c r="H121" i="2"/>
  <c r="H112" i="2"/>
  <c r="F661" i="1"/>
  <c r="F665" i="1" s="1"/>
  <c r="F668" i="1" s="1"/>
  <c r="I663" i="1"/>
  <c r="G24" i="14"/>
  <c r="H24" i="14" s="1"/>
  <c r="I24" i="14" s="1"/>
  <c r="H119" i="2"/>
  <c r="H134" i="2"/>
  <c r="H42" i="2"/>
  <c r="H91" i="2"/>
  <c r="H118" i="2"/>
  <c r="H109" i="2"/>
  <c r="F194" i="1"/>
  <c r="G628" i="1" s="1"/>
  <c r="J628" i="1" s="1"/>
  <c r="H31" i="2"/>
  <c r="H62" i="2"/>
  <c r="E115" i="2"/>
  <c r="H114" i="2"/>
  <c r="D51" i="2"/>
  <c r="H57" i="2"/>
  <c r="H21" i="2"/>
  <c r="D128" i="2"/>
  <c r="D145" i="2" s="1"/>
  <c r="H127" i="2"/>
  <c r="H103" i="2"/>
  <c r="H123" i="2"/>
  <c r="H78" i="2"/>
  <c r="H16" i="2"/>
  <c r="H50" i="2"/>
  <c r="E128" i="2"/>
  <c r="H85" i="2"/>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E145" i="2"/>
  <c r="H673" i="1"/>
  <c r="C6" i="10" s="1"/>
  <c r="H51" i="2"/>
  <c r="H128" i="2"/>
  <c r="C144" i="2"/>
  <c r="H144"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<sst xmlns="http://schemas.openxmlformats.org/spreadsheetml/2006/main" count="6534" uniqueCount="1806">
  <si>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</si>
  <si>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</si>
  <si>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</si>
  <si>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</si>
  <si>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</si>
  <si>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</si>
  <si>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</si>
  <si>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</si>
  <si>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</si>
  <si>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</si>
  <si>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</si>
  <si>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</si>
  <si>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</si>
  <si>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</si>
  <si>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</si>
  <si>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</si>
  <si>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</si>
  <si>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</si>
  <si>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</si>
  <si>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</si>
  <si>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</si>
  <si>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</si>
  <si>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</si>
  <si>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</si>
  <si>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</si>
  <si>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</si>
  <si>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</si>
  <si>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</si>
  <si>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</si>
  <si>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</si>
  <si>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</si>
  <si>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</si>
  <si>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</si>
  <si>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</si>
  <si>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</si>
  <si>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</si>
  <si>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</si>
  <si>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</si>
  <si>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</si>
  <si>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</si>
  <si>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</si>
  <si>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</si>
  <si>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</si>
  <si>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</si>
  <si>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</si>
  <si>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</si>
  <si>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</si>
  <si>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</si>
  <si>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</si>
  <si>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</si>
  <si>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</si>
  <si>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</si>
  <si>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</si>
  <si>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</si>
  <si>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</si>
  <si>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</si>
  <si>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</si>
  <si>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</si>
  <si>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</si>
  <si>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</si>
  <si>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</si>
  <si>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</si>
  <si>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</si>
  <si>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</si>
  <si>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</si>
  <si>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</si>
  <si>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</si>
  <si>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</si>
  <si>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</si>
  <si>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</si>
  <si>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</si>
  <si>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</si>
  <si>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</si>
  <si>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</si>
  <si>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</si>
  <si>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</si>
  <si>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</si>
  <si>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</si>
  <si>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</si>
  <si>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</si>
  <si>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</si>
  <si>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</si>
  <si>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</si>
  <si>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</si>
  <si>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</si>
  <si>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</si>
  <si>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</si>
  <si>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</si>
  <si>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</si>
  <si>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</si>
  <si>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</si>
  <si>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</si>
  <si>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</si>
  <si>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</si>
  <si>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</si>
  <si>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</si>
  <si>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</si>
  <si>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</si>
  <si>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</si>
  <si>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</si>
  <si>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</si>
  <si>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</si>
  <si>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</si>
  <si>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</si>
  <si>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</si>
  <si>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</si>
  <si>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</si>
  <si>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</si>
  <si>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</si>
  <si>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</si>
  <si>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</si>
  <si>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</si>
  <si>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</si>
  <si>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</si>
  <si>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</si>
  <si>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</si>
  <si>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</si>
  <si>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</si>
  <si>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</si>
  <si>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</si>
  <si>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</si>
  <si>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</si>
  <si>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</si>
  <si>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</si>
  <si>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</si>
  <si>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</si>
  <si>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</si>
  <si>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</si>
  <si>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</si>
  <si>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</si>
  <si>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</si>
  <si>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</si>
  <si>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</si>
  <si>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</si>
  <si>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</si>
  <si>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</si>
  <si>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</si>
  <si>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</si>
  <si>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</si>
  <si>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</si>
  <si>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</si>
  <si>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</si>
  <si>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</si>
  <si>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</si>
  <si>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</si>
  <si>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</si>
  <si>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</si>
  <si>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</si>
  <si>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</si>
  <si>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</si>
  <si>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</si>
  <si>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</si>
  <si>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</si>
  <si>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</si>
  <si>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</si>
  <si>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</si>
  <si>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</si>
  <si>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</si>
  <si>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</si>
  <si>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</si>
  <si>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</si>
  <si>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</si>
  <si>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</si>
  <si>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</si>
  <si>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</si>
  <si>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</si>
  <si>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</si>
  <si>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</si>
  <si>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</si>
  <si>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</si>
  <si>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</si>
  <si>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</si>
  <si>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</si>
  <si>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</si>
  <si>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</si>
  <si>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</si>
  <si>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</si>
  <si>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</si>
  <si>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</si>
  <si>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</si>
  <si>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</si>
  <si>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</si>
  <si>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</si>
  <si>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</si>
  <si>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</si>
  <si>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</si>
  <si>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</si>
  <si>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</si>
  <si>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</si>
  <si>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</si>
  <si>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</si>
  <si>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</si>
  <si>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</si>
  <si>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</si>
  <si>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</si>
  <si>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</si>
  <si>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</si>
  <si>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</si>
  <si>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</si>
  <si>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</si>
  <si>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</si>
  <si>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</si>
  <si>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</si>
  <si>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</si>
  <si>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</si>
  <si>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</si>
  <si>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</si>
  <si>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</si>
  <si>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</si>
  <si>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</si>
  <si>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</si>
  <si>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</si>
  <si>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</si>
  <si>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</si>
  <si>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</si>
  <si>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</si>
  <si>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</si>
  <si>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</si>
  <si>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</si>
  <si>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</si>
  <si>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</si>
  <si>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</si>
  <si>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</si>
  <si>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</si>
  <si>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</si>
  <si>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</si>
  <si>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</si>
  <si>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</si>
  <si>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</si>
  <si>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</si>
  <si>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</si>
  <si>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</si>
  <si>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</si>
  <si>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</si>
  <si>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</si>
  <si>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</si>
  <si>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</si>
  <si>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</si>
  <si>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</si>
  <si>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</si>
  <si>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</si>
  <si>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</si>
  <si>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</si>
  <si>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</si>
  <si>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</si>
  <si>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</si>
  <si>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</si>
  <si>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</si>
  <si>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</si>
  <si>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</si>
  <si>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</si>
  <si>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</si>
  <si>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</si>
  <si>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</si>
  <si>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</si>
  <si>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</si>
  <si>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</si>
  <si>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</si>
  <si>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</si>
  <si>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</si>
  <si>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</si>
  <si>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</si>
  <si>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</si>
  <si>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</si>
  <si>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</si>
  <si>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</si>
  <si>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</si>
  <si>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</si>
  <si>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</si>
  <si>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</si>
  <si>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</si>
  <si>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</si>
  <si>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</si>
  <si>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</si>
  <si>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</si>
  <si>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</si>
  <si>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</si>
  <si>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</si>
  <si>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</si>
  <si>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</si>
  <si>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</si>
  <si>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</si>
  <si>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</si>
  <si>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</si>
  <si>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</si>
  <si>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</si>
  <si>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</si>
  <si>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</si>
  <si>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</si>
  <si>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</si>
  <si>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</si>
  <si>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</si>
  <si>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</si>
  <si>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</si>
  <si>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</si>
  <si>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</si>
  <si>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</si>
  <si>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</si>
  <si>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</si>
  <si>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</si>
  <si>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</si>
  <si>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</si>
  <si>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</si>
  <si>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</si>
  <si>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</si>
  <si>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</si>
  <si>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</si>
  <si>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</si>
  <si>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</si>
  <si>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</si>
  <si>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</si>
  <si>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</si>
  <si>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</si>
  <si>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</si>
  <si>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</si>
  <si>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</si>
  <si>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</si>
  <si>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</si>
  <si>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</si>
  <si>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</si>
  <si>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</si>
  <si>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</si>
  <si>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</si>
  <si>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</si>
  <si>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</si>
  <si>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</si>
  <si>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</si>
  <si>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</si>
  <si>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</si>
  <si>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</si>
  <si>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</si>
  <si>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</si>
  <si>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</si>
  <si>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</si>
  <si>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</si>
  <si>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</si>
  <si>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</si>
  <si>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</si>
  <si>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</si>
  <si>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</si>
  <si>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</si>
  <si>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</si>
  <si>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</si>
  <si>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</si>
  <si>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</si>
  <si>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</si>
  <si>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</si>
  <si>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</si>
  <si>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</si>
  <si>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</si>
  <si>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</si>
  <si>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</si>
  <si>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</si>
  <si>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</si>
  <si>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</si>
  <si>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</si>
  <si>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</si>
  <si>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</si>
  <si>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</si>
  <si>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</si>
  <si>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</si>
  <si>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</si>
  <si>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</si>
  <si>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</si>
  <si>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</si>
  <si>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</si>
  <si>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</si>
  <si>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</si>
  <si>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</si>
  <si>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</si>
  <si>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</si>
  <si>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</si>
  <si>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</si>
  <si>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</si>
  <si>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</si>
  <si>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</si>
  <si>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</si>
  <si>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</si>
  <si>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</si>
  <si>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</si>
  <si>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</si>
  <si>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</si>
  <si>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</si>
  <si>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</si>
  <si>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</si>
  <si>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</si>
  <si>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</si>
  <si>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</si>
  <si>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</si>
  <si>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</si>
  <si>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</si>
  <si>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</si>
  <si>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</si>
  <si>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</si>
  <si>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</si>
  <si>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</si>
  <si>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</si>
  <si>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</si>
  <si>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</si>
  <si>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</si>
  <si>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</si>
  <si>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</si>
  <si>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</si>
  <si>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</si>
  <si>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</si>
  <si>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</si>
  <si>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</si>
  <si>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</si>
  <si>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</si>
  <si>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</si>
  <si>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</si>
  <si>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</si>
  <si>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</si>
  <si>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</si>
  <si>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</si>
  <si>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</si>
  <si>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</si>
  <si>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</si>
  <si>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</si>
  <si>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</si>
  <si>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</si>
  <si>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</si>
  <si>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</si>
  <si>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</si>
  <si>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</si>
  <si>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</si>
  <si>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</si>
  <si>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</si>
  <si>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</si>
  <si>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</si>
  <si>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</si>
  <si>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</si>
  <si>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</si>
  <si>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</si>
  <si>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</si>
  <si>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</si>
  <si>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</si>
  <si>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</si>
  <si>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</si>
  <si>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</si>
  <si>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</si>
  <si>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</si>
  <si>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</si>
  <si>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</si>
  <si>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</si>
  <si>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</si>
  <si>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</si>
  <si>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</si>
  <si>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</si>
  <si>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</si>
  <si>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</si>
  <si>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</si>
  <si>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</si>
  <si>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</si>
  <si>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</si>
  <si>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</si>
  <si>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</si>
  <si>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</si>
  <si>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</si>
  <si>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</si>
  <si>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</si>
  <si>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</si>
  <si>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</si>
  <si>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</si>
  <si>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</si>
  <si>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</si>
  <si>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</si>
  <si>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</si>
  <si>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</si>
  <si>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</si>
  <si>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</si>
  <si>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</si>
  <si>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</si>
  <si>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</si>
  <si>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</si>
  <si>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</si>
  <si>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</si>
  <si>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</si>
  <si>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</si>
  <si>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</si>
  <si>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</si>
  <si>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</si>
  <si>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</si>
  <si>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</si>
  <si>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</si>
  <si>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</si>
  <si>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</si>
  <si>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</si>
  <si>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</si>
  <si>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</si>
  <si>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</si>
  <si>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</si>
  <si>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</si>
  <si>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</si>
  <si>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</si>
  <si>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</si>
  <si>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</si>
  <si>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</si>
  <si>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</si>
  <si>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</si>
  <si>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</si>
  <si>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</si>
  <si>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</si>
  <si>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</si>
  <si>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</si>
  <si>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</si>
  <si>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</si>
  <si>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</si>
  <si>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</si>
  <si>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</si>
  <si>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</si>
  <si>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</si>
  <si>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</si>
  <si>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</si>
  <si>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</si>
  <si>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</si>
  <si>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</si>
  <si>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</si>
  <si>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</si>
  <si>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</si>
  <si>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</si>
  <si>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</si>
  <si>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</si>
  <si>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</si>
  <si>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</si>
  <si>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</si>
  <si>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</si>
  <si>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</si>
  <si>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</si>
  <si>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</si>
  <si>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</si>
  <si>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</si>
  <si>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</si>
  <si>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</si>
  <si>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</si>
  <si>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</si>
  <si>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</si>
  <si>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</si>
  <si>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</si>
  <si>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</si>
  <si>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</si>
  <si>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</si>
  <si>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</si>
  <si>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</si>
  <si>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</si>
  <si>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</si>
  <si>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</si>
  <si>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</si>
  <si>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</si>
  <si>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</si>
  <si>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</si>
  <si>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</si>
  <si>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</si>
  <si>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</si>
  <si>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</si>
  <si>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</si>
  <si>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</si>
  <si>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</si>
  <si>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</si>
  <si>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</si>
  <si>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</si>
  <si>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</si>
  <si>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</si>
  <si>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</si>
  <si>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</si>
  <si>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</si>
  <si>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</si>
  <si>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</si>
  <si>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</si>
  <si>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</si>
  <si>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</si>
  <si>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</si>
  <si>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</si>
  <si>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</si>
  <si>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</si>
  <si>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</si>
  <si>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</si>
  <si>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</si>
  <si>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</si>
  <si>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</si>
  <si>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</si>
  <si>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</si>
  <si>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</si>
  <si>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</si>
  <si>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</si>
  <si>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</si>
  <si>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</si>
  <si>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</si>
  <si>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</si>
  <si>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</si>
  <si>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</si>
  <si>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</si>
  <si>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</si>
  <si>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</si>
  <si>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</si>
  <si>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</si>
  <si>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</si>
  <si>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</si>
  <si>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</si>
  <si>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</si>
  <si>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</si>
  <si>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</si>
  <si>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</si>
  <si>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</si>
  <si>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</si>
  <si>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</si>
  <si>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</si>
  <si>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</si>
  <si>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</si>
  <si>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</si>
  <si>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</si>
  <si>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</si>
  <si>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</si>
  <si>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</si>
  <si>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</si>
  <si>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</si>
  <si>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</si>
  <si>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</si>
  <si>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</si>
  <si>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</si>
  <si>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</si>
  <si>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</si>
  <si>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</si>
  <si>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</si>
  <si>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</si>
  <si>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</si>
  <si>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</si>
  <si>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</si>
  <si>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</si>
  <si>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</si>
  <si>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</si>
  <si>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</si>
  <si>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</si>
  <si>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</si>
  <si>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</si>
  <si>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</si>
  <si>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</si>
  <si>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</si>
  <si>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</si>
  <si>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</si>
  <si>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</si>
  <si>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</si>
  <si>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</si>
  <si>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</si>
  <si>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</si>
  <si>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</si>
  <si>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</si>
  <si>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</si>
  <si>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</si>
  <si>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</si>
  <si>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</si>
  <si>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</si>
  <si>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</si>
  <si>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</si>
  <si>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</si>
  <si>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</si>
  <si>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</si>
  <si>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</si>
  <si>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</si>
  <si>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</si>
  <si>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</si>
  <si>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</si>
  <si>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</si>
  <si>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</si>
  <si>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</si>
  <si>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</si>
  <si>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</si>
  <si>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</si>
  <si>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</si>
  <si>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</si>
  <si>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</si>
  <si>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</si>
  <si>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</si>
  <si>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</si>
  <si>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</si>
  <si>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</si>
  <si>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</si>
  <si>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</si>
  <si>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</si>
  <si>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</si>
  <si>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</si>
  <si>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</si>
  <si>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</si>
  <si>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</si>
  <si>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</si>
  <si>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</si>
  <si>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</si>
  <si>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</si>
  <si>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</si>
  <si>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</si>
  <si>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</si>
  <si>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</si>
  <si>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</si>
  <si>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</si>
  <si>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</si>
  <si>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</si>
  <si>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</si>
  <si>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</si>
  <si>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</si>
  <si>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</si>
  <si>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</si>
  <si>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</si>
  <si>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</si>
  <si>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</si>
  <si>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</si>
  <si>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</si>
  <si>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</si>
  <si>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</si>
  <si>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</si>
  <si>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</si>
  <si>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</si>
  <si>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</si>
  <si>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</si>
  <si>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</si>
  <si>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</si>
  <si>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</si>
  <si>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</si>
  <si>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</si>
  <si>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</si>
  <si>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</si>
  <si>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</si>
  <si>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</si>
  <si>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</si>
  <si>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</si>
  <si>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</si>
  <si>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</si>
  <si>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</si>
  <si>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</si>
  <si>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</si>
  <si>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</si>
  <si>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</si>
  <si>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</si>
  <si>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</si>
  <si>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</si>
  <si>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</si>
  <si>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</si>
  <si>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</si>
  <si>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</si>
  <si>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</si>
  <si>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</si>
  <si>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</si>
  <si>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</si>
  <si>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</si>
  <si>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</si>
  <si>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</si>
  <si>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</si>
  <si>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</si>
  <si>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</si>
  <si>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</si>
  <si>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</si>
  <si>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</si>
  <si>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</si>
  <si>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</si>
  <si>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</si>
  <si>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</si>
  <si>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</si>
  <si>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</si>
  <si>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</si>
  <si>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</si>
  <si>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</si>
  <si>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</si>
  <si>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</si>
  <si>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</si>
  <si>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</si>
  <si>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</si>
  <si>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</si>
  <si>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</si>
  <si>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</si>
  <si>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</si>
  <si>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</si>
  <si>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</si>
  <si>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</si>
  <si>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</si>
  <si>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</si>
  <si>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</si>
  <si>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</si>
  <si>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</si>
  <si>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</si>
  <si>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</si>
  <si>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</si>
  <si>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</si>
  <si>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</si>
  <si>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</si>
  <si>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</si>
  <si>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</si>
  <si>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</si>
  <si>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</si>
  <si>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</si>
  <si>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</si>
  <si>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</si>
  <si>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</si>
  <si>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</si>
  <si>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</si>
  <si>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</si>
  <si>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</si>
  <si>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</si>
  <si>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</si>
  <si>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</si>
  <si>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</si>
  <si>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</si>
  <si>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</si>
  <si>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</si>
  <si>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</si>
  <si>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</si>
  <si>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</si>
  <si>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</si>
  <si>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</si>
  <si>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</si>
  <si>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</si>
  <si>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</si>
  <si>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</si>
  <si>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</si>
  <si>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</si>
  <si>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</si>
  <si>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</si>
  <si>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</si>
  <si>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</si>
  <si>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</si>
  <si>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</si>
  <si>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</si>
  <si>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</si>
  <si>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</si>
  <si>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</si>
  <si>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</si>
  <si>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</si>
  <si>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</si>
  <si>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</si>
  <si>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</si>
  <si>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</si>
  <si>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</si>
  <si>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</si>
  <si>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</si>
  <si>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</si>
  <si>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</si>
  <si>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</si>
  <si>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</si>
  <si>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</si>
  <si>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</si>
  <si>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</si>
  <si>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</si>
  <si>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</si>
  <si>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</si>
  <si>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</si>
  <si>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</si>
  <si>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</si>
  <si>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</si>
  <si>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</si>
  <si>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</si>
  <si>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</si>
  <si>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</si>
  <si>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</si>
  <si>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</si>
  <si>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</si>
  <si>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</si>
  <si>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</si>
  <si>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</si>
  <si>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</si>
  <si>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</si>
  <si>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</si>
  <si>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</si>
  <si>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</si>
  <si>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</si>
  <si>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</si>
  <si>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</si>
  <si>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</si>
  <si>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</si>
  <si>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</si>
  <si>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</si>
  <si>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</si>
  <si>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</si>
  <si>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</si>
  <si>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</si>
  <si>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</si>
  <si>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</si>
  <si>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</si>
  <si>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</si>
  <si>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</si>
  <si>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</si>
  <si>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</si>
  <si>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</si>
  <si>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</si>
  <si>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</si>
  <si>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</si>
  <si>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</si>
  <si>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</si>
  <si>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</si>
  <si>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</si>
  <si>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</si>
  <si>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</si>
  <si>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</si>
  <si>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</si>
  <si>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</si>
  <si>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</si>
  <si>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</si>
  <si>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</si>
  <si>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</si>
  <si>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</si>
  <si>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</si>
  <si>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</si>
  <si>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</si>
  <si>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</si>
  <si>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</si>
  <si>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</si>
  <si>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</si>
  <si>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</si>
  <si>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</si>
  <si>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</si>
  <si>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</si>
  <si>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</si>
  <si>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</si>
  <si>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</si>
  <si>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</si>
  <si>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</si>
  <si>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</si>
  <si>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</si>
  <si>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</si>
  <si>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</si>
  <si>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</si>
  <si>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</si>
  <si>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</si>
  <si>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</si>
  <si>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</si>
  <si>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</si>
  <si>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</si>
  <si>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</si>
  <si>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</si>
  <si>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</si>
  <si>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</si>
  <si>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</si>
  <si>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</si>
  <si>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</si>
  <si>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</si>
  <si>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</si>
  <si>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</si>
  <si>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</si>
  <si>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</si>
  <si>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</si>
  <si>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</si>
  <si>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</si>
  <si>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</si>
  <si>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</si>
  <si>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</si>
  <si>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</si>
  <si>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</si>
  <si>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</si>
  <si>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</si>
  <si>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</si>
  <si>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</si>
  <si>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</si>
  <si>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</si>
  <si>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</si>
  <si>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</si>
  <si>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</si>
  <si>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</si>
  <si>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</si>
  <si>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</si>
  <si>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</si>
  <si>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</si>
  <si>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</si>
  <si>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</si>
  <si>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</si>
  <si>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</si>
  <si>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</si>
  <si>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</si>
  <si>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</si>
  <si>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</si>
  <si>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</si>
  <si>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</si>
  <si>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</si>
  <si>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</si>
  <si>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</si>
  <si>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</si>
  <si>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</si>
  <si>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</si>
  <si>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</si>
  <si>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</si>
  <si>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</si>
  <si>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</si>
  <si>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</si>
  <si>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</si>
  <si>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</si>
  <si>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</si>
  <si>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</si>
  <si>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</si>
  <si>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</si>
  <si>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</si>
  <si>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</si>
  <si>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</si>
  <si>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</si>
  <si>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</si>
  <si>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</si>
  <si>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</si>
  <si>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</si>
  <si>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</si>
  <si>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</si>
  <si>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</si>
  <si>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</si>
  <si>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</si>
  <si>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</si>
  <si>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</si>
  <si>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</si>
  <si>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</si>
  <si>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</si>
  <si>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</si>
  <si>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</si>
  <si>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</si>
  <si>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</si>
  <si>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</si>
  <si>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</si>
  <si>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</si>
  <si>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</si>
  <si>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</si>
  <si>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</si>
  <si>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</si>
  <si>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</si>
  <si>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</si>
  <si>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</si>
  <si>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</si>
  <si>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</si>
  <si>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</si>
  <si>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</si>
  <si>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</si>
  <si>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</si>
  <si>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</si>
  <si>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</si>
  <si>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</si>
  <si>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</si>
  <si>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</si>
  <si>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</si>
  <si>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</si>
  <si>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</si>
  <si>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</si>
  <si>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</si>
  <si>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</si>
  <si>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</si>
  <si>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</si>
  <si>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</si>
  <si>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</si>
  <si>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</si>
  <si>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</si>
  <si>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</si>
  <si>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</si>
  <si>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</si>
  <si>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</si>
  <si>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</si>
  <si>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</si>
  <si>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</si>
  <si>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</si>
  <si>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</si>
  <si>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</si>
  <si>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</si>
  <si>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</si>
  <si>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</si>
  <si>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</si>
  <si>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</si>
  <si>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</si>
  <si>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</si>
  <si>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</si>
  <si>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</si>
  <si>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</si>
  <si>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</si>
  <si>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</si>
  <si>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</si>
  <si>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</si>
  <si>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</si>
  <si>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</si>
  <si>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</si>
  <si>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</si>
  <si>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</si>
  <si>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</si>
  <si>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</si>
  <si>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</si>
  <si>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</si>
  <si>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</si>
  <si>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</si>
  <si>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</si>
  <si>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</si>
  <si>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</si>
  <si>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</si>
  <si>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</si>
  <si>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</si>
  <si>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</si>
  <si>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</si>
  <si>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</si>
  <si>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</si>
  <si>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</si>
  <si>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</si>
  <si>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</si>
  <si>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</si>
  <si>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</si>
  <si>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</si>
  <si>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</si>
  <si>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</si>
  <si>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</si>
  <si>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</si>
  <si>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</si>
  <si>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</si>
  <si>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</si>
  <si>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</si>
  <si>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</si>
  <si>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</si>
  <si>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</si>
  <si>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</si>
  <si>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</si>
  <si>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</si>
  <si>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</si>
  <si>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</si>
  <si>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</si>
  <si>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</si>
  <si>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</si>
  <si>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</si>
  <si>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</si>
  <si>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</si>
  <si>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</si>
  <si>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</si>
  <si>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</si>
  <si>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</si>
  <si>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</si>
  <si>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</si>
  <si>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</si>
  <si>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</si>
  <si>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</si>
  <si>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</si>
  <si>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</si>
  <si>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</si>
  <si>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</si>
  <si>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</si>
  <si>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</si>
  <si>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</si>
  <si>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</si>
  <si>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</si>
  <si>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</si>
  <si>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</si>
  <si>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</si>
  <si>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</si>
  <si>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</si>
  <si>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</si>
  <si>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</si>
  <si>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</si>
  <si>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</si>
  <si>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</si>
  <si>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</si>
  <si>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</si>
  <si>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</si>
  <si>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</si>
  <si>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</si>
  <si>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</si>
  <si>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</si>
  <si>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</si>
  <si>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</si>
  <si>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</si>
  <si>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</si>
  <si>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</si>
  <si>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</si>
  <si>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</si>
  <si>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</si>
  <si>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</si>
  <si>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</si>
  <si>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</si>
  <si>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</si>
  <si>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</si>
  <si>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</si>
  <si>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</si>
  <si>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</si>
  <si>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</si>
  <si>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</si>
  <si>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</si>
  <si>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</si>
  <si>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</si>
  <si>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</si>
  <si>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</si>
  <si>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</si>
  <si>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</si>
  <si>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</si>
  <si>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</si>
  <si>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</si>
  <si>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</si>
  <si>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</si>
  <si>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</si>
  <si>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</si>
  <si>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</si>
  <si>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</si>
  <si>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</si>
  <si>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</si>
  <si>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</si>
  <si>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</si>
  <si>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</si>
  <si>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</si>
  <si>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</si>
  <si>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</si>
  <si>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</si>
  <si>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</si>
  <si>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</si>
  <si>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</si>
  <si>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</si>
  <si>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</si>
  <si>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</si>
  <si>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</si>
  <si>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</si>
  <si>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</si>
  <si>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</si>
  <si>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</si>
  <si>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</si>
  <si>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</si>
  <si>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</si>
  <si>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</si>
  <si>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</si>
  <si>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</si>
  <si>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</si>
  <si>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</si>
  <si>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</si>
  <si>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</si>
  <si>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</si>
  <si>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</si>
  <si>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</si>
  <si>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</si>
  <si>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</si>
  <si>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</si>
  <si>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</si>
  <si>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</si>
  <si>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</si>
  <si>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</si>
  <si>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</si>
  <si>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</si>
  <si>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</si>
  <si>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</si>
  <si>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</si>
  <si>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</si>
  <si>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</si>
  <si>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</si>
  <si>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</si>
  <si>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</si>
  <si>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</si>
  <si>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</si>
  <si>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</si>
  <si>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</si>
  <si>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</si>
  <si>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</si>
  <si>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</si>
  <si>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</si>
  <si>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</si>
  <si>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</si>
  <si>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</si>
  <si>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</si>
  <si>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</si>
  <si>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</si>
  <si>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</si>
  <si>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</si>
  <si>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</si>
  <si>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</si>
  <si>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</si>
  <si>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</si>
  <si>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</si>
  <si>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</si>
  <si>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</si>
  <si>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</si>
  <si>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</si>
  <si>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</si>
  <si>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</si>
  <si>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</si>
  <si>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</si>
  <si>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</si>
  <si>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</si>
  <si>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</si>
  <si>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</si>
  <si>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</si>
  <si>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</si>
  <si>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</si>
  <si>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</si>
  <si>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</si>
  <si>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</si>
  <si>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</si>
  <si>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</si>
  <si>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</si>
  <si>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</si>
  <si>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</si>
  <si>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</si>
  <si>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</si>
  <si>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</si>
  <si>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</si>
  <si>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</si>
  <si>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</si>
  <si>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</si>
  <si>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</si>
  <si>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</si>
  <si>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</si>
  <si>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</si>
  <si>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</si>
  <si>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</si>
  <si>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</si>
  <si>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</si>
  <si>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</si>
  <si>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</si>
  <si>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</si>
  <si>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</si>
  <si>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</si>
  <si>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</si>
  <si>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</si>
  <si>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</si>
  <si>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</si>
  <si>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</si>
  <si>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</si>
  <si>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</si>
  <si>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</si>
  <si>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</si>
  <si>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</si>
  <si>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</si>
  <si>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</si>
  <si>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</si>
  <si>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</si>
  <si>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</si>
  <si>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</si>
  <si>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</si>
  <si>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</si>
  <si>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</si>
  <si>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</si>
  <si>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</si>
  <si>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</si>
  <si>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</si>
  <si>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</si>
  <si>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</si>
  <si>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</si>
  <si>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</si>
  <si>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</si>
  <si>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</si>
  <si>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</si>
  <si>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</si>
  <si>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</si>
  <si>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</si>
  <si>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</si>
  <si>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</si>
  <si>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</si>
  <si>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</si>
  <si>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</si>
  <si>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</si>
  <si>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</si>
  <si>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</si>
  <si>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</si>
  <si>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</si>
  <si>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</si>
  <si>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</si>
  <si>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</si>
  <si>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</si>
  <si>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</si>
  <si>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</si>
  <si>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</si>
  <si>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</si>
  <si>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</si>
  <si>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</si>
  <si>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</si>
  <si>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</si>
  <si>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</si>
  <si>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</si>
  <si>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</si>
  <si>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</si>
  <si>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</si>
  <si>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</si>
  <si>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</si>
  <si>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</si>
  <si>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</si>
  <si>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</si>
  <si>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</si>
  <si>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</si>
  <si>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</si>
  <si>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</si>
  <si>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</si>
  <si>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</si>
  <si>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</si>
  <si>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</si>
  <si>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</si>
  <si>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</si>
  <si>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</si>
  <si>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</si>
  <si>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</si>
  <si>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</si>
  <si>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</si>
  <si>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</si>
  <si>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</si>
  <si>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</si>
  <si>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</si>
  <si>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</si>
  <si>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</si>
  <si>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</si>
  <si>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</si>
  <si>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</si>
  <si>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</si>
  <si>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</si>
  <si>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</si>
  <si>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</si>
  <si>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</si>
  <si>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</si>
  <si>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</si>
  <si>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</si>
  <si>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</si>
  <si>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</si>
  <si>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</si>
  <si>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</si>
  <si>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</si>
  <si>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</si>
  <si>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</si>
  <si>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</si>
  <si>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</si>
  <si>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</si>
  <si>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</si>
  <si>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</si>
  <si>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</si>
  <si>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</si>
  <si>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</si>
  <si>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</si>
  <si>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</si>
  <si>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</si>
  <si>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</si>
  <si>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</si>
  <si>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</si>
  <si>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</si>
  <si>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</si>
  <si>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</si>
  <si>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</si>
  <si>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</si>
  <si>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</si>
  <si>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</si>
  <si>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</si>
  <si>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</si>
  <si>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</si>
  <si>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</si>
  <si>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</si>
  <si>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</si>
  <si>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</si>
  <si>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</si>
  <si>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</si>
  <si>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</si>
  <si>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</si>
  <si>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</si>
  <si>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</si>
  <si>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</si>
  <si>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</si>
  <si>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</si>
  <si>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</si>
  <si>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</si>
  <si>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</si>
  <si>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</si>
  <si>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</si>
  <si>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</si>
  <si>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</si>
  <si>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</si>
  <si>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</si>
  <si>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</si>
  <si>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</si>
  <si>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</si>
  <si>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</si>
  <si>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</si>
  <si>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</si>
  <si>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</si>
  <si>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</si>
  <si>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</si>
  <si>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</si>
  <si>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</si>
  <si>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</si>
  <si>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</si>
  <si>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</si>
  <si>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</si>
  <si>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</si>
  <si>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</si>
  <si>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</si>
  <si>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</si>
  <si>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</si>
  <si>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</si>
  <si>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</si>
  <si>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</si>
  <si>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</si>
  <si>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</si>
  <si>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</si>
  <si>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</si>
  <si>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</si>
  <si>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</si>
  <si>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</si>
  <si>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</si>
  <si>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</si>
  <si>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</si>
  <si>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</si>
  <si>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</si>
  <si>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</si>
  <si>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</si>
  <si>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</si>
  <si>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</si>
  <si>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</si>
  <si>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</si>
  <si>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</si>
  <si>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</si>
  <si>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</si>
  <si>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</si>
  <si>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</si>
  <si>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</si>
  <si>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</si>
  <si>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</si>
  <si>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</si>
  <si>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</si>
  <si>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</si>
  <si>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</si>
  <si>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</si>
  <si>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</si>
  <si>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</si>
  <si>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</si>
  <si>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</si>
  <si>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</si>
  <si>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</si>
  <si>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</si>
  <si>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</si>
  <si>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</si>
  <si>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</si>
  <si>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</si>
  <si>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</si>
  <si>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</si>
  <si>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</si>
  <si>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</si>
  <si>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</si>
  <si>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</si>
  <si>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</si>
  <si>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</si>
  <si>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</si>
  <si>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</si>
  <si>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</si>
  <si>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</si>
  <si>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</si>
  <si>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</si>
  <si>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</si>
  <si>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</si>
  <si>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</si>
  <si>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</si>
  <si>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</si>
  <si>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</si>
  <si>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</si>
  <si>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</si>
  <si>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</si>
  <si>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</si>
  <si>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</si>
  <si>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</si>
  <si>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</si>
  <si>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</si>
  <si>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</si>
  <si>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</si>
  <si>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</si>
  <si>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</si>
  <si>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</si>
  <si>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</si>
  <si>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</si>
  <si>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</si>
  <si>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</si>
  <si>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</si>
  <si>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</si>
  <si>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</si>
  <si>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</si>
  <si>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</si>
  <si>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</si>
  <si>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</si>
  <si>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</si>
  <si>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</si>
  <si>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</si>
  <si>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</si>
  <si>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</si>
  <si>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</si>
  <si>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</si>
  <si>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</si>
  <si>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</si>
  <si>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</si>
  <si>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</si>
  <si>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</si>
  <si>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</si>
  <si>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</si>
  <si>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</si>
  <si>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</si>
  <si>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</si>
  <si>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</si>
  <si>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</si>
  <si>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</si>
  <si>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</si>
  <si>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</si>
  <si>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</si>
  <si>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</si>
  <si>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</si>
  <si>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</si>
  <si>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</si>
  <si>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</si>
  <si>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</si>
  <si>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</si>
  <si>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</si>
  <si>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</si>
  <si>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</si>
  <si>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</si>
  <si>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</si>
  <si>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</si>
  <si>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</si>
  <si>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</si>
  <si>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</si>
  <si>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</si>
  <si>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</si>
  <si>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</si>
  <si>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</si>
  <si>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</si>
  <si>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</si>
  <si>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</si>
  <si>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</si>
  <si>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</si>
  <si>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</si>
  <si>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</si>
  <si>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</si>
  <si>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</si>
  <si>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</si>
  <si>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</si>
  <si>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</si>
  <si>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</si>
  <si>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</si>
  <si>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</si>
  <si>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</si>
  <si>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</si>
  <si>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</si>
  <si>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</si>
  <si>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</si>
  <si>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</si>
  <si>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</si>
  <si>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</si>
  <si>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</si>
  <si>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</si>
  <si>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</si>
  <si>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</si>
  <si>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</si>
  <si>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</si>
  <si>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</si>
  <si>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</si>
  <si>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</si>
  <si>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</si>
  <si>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</si>
  <si>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</si>
  <si>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</si>
  <si>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</si>
  <si>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</si>
  <si>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</si>
  <si>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</si>
  <si>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</si>
  <si>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</si>
  <si>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</si>
  <si>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</si>
  <si>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</si>
  <si>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</si>
  <si>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</si>
  <si>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</si>
  <si>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</si>
  <si>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</si>
  <si>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</si>
  <si>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</si>
  <si>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</si>
  <si>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</si>
  <si>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</si>
  <si>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</si>
  <si>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</si>
  <si>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</si>
  <si>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</si>
  <si>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</si>
  <si>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</si>
  <si>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</si>
  <si>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</si>
  <si>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</si>
  <si>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</si>
  <si>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</si>
  <si>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</si>
  <si>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</si>
  <si>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</si>
  <si>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</si>
  <si>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</si>
  <si>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</si>
  <si>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</si>
  <si>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</si>
  <si>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</si>
  <si>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</si>
  <si>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</si>
  <si>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</si>
  <si>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</si>
  <si>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</si>
  <si>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</si>
  <si>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</si>
  <si>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</si>
  <si>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</si>
  <si>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</si>
  <si>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</si>
  <si>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</si>
  <si>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</si>
  <si>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</si>
  <si>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</si>
  <si>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</si>
  <si>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</si>
  <si>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</si>
  <si>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</si>
  <si>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</si>
  <si>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</si>
  <si>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</si>
  <si>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</si>
  <si>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</si>
  <si>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</si>
  <si>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</si>
  <si>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</si>
  <si>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</si>
  <si>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</si>
  <si>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</si>
  <si>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</si>
  <si>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</si>
  <si>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</si>
  <si>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</si>
  <si>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</si>
  <si>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</si>
  <si>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</si>
  <si>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</si>
  <si>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</si>
  <si>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</si>
  <si>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</si>
  <si>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</si>
  <si>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</si>
  <si>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</si>
  <si>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</si>
  <si>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</si>
  <si>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</si>
  <si>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</si>
  <si>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</si>
  <si>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</si>
  <si>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</si>
  <si>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</si>
  <si>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</si>
  <si>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</si>
  <si>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</si>
  <si>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</si>
  <si>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</si>
  <si>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</si>
  <si>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</si>
  <si>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</si>
  <si>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</si>
  <si>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</si>
  <si>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</si>
  <si>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</si>
  <si>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</si>
  <si>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</si>
  <si>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</si>
  <si>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</si>
  <si>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</si>
  <si>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</si>
  <si>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</si>
  <si>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</si>
  <si>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</si>
  <si>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</si>
  <si>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</si>
  <si>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</si>
  <si>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</si>
  <si>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</si>
  <si>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</si>
  <si>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</si>
  <si>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</si>
  <si>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</si>
  <si>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</si>
  <si>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</si>
  <si>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</si>
  <si>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</si>
  <si>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</si>
  <si>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</si>
  <si>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</si>
  <si>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</si>
  <si>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</si>
  <si>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</si>
  <si>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</si>
  <si>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</si>
  <si>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</si>
  <si>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</si>
  <si>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</si>
  <si>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</si>
  <si>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</si>
  <si>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</si>
  <si>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</si>
  <si>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</si>
  <si>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</si>
  <si>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</si>
  <si>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</si>
  <si>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</si>
  <si>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</si>
  <si>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</si>
  <si>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</si>
  <si>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</si>
  <si>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</si>
  <si>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</si>
  <si>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</si>
  <si>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</si>
  <si>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</si>
  <si>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</si>
  <si>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</si>
  <si>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</si>
  <si>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</si>
  <si>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</si>
  <si>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</si>
  <si>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</si>
  <si>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</si>
  <si>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</si>
  <si>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</si>
  <si>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</si>
  <si>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</si>
  <si>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</si>
  <si>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</si>
  <si>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5/20/13</t>
  </si>
  <si>
    <t>6/12/14</t>
  </si>
  <si>
    <t>11/20/28</t>
  </si>
  <si>
    <t>12/15/39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</si>
</sst>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306" zoomScaleNormal="100" workbookViewId="0">
      <selection activeCell="F339" sqref="F33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1236</v>
      </c>
      <c r="B2">
        <f>INDEX('School Tables'!$AH$3:$AH$208,MATCH('DOE25'!A2,'School Tables'!$AJ$3:$AJ$208,0))</f>
        <v>343</v>
      </c>
      <c r="C2">
        <f>INDEX('School Tables'!$AI$3:$AI$208,MATCH('DOE25'!A2,'School Tables'!$AJ$3:$AJ$208,0))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2063999.23+100</f>
        <v>2064099.23</v>
      </c>
      <c r="G9" s="4"/>
      <c r="H9" s="18">
        <v>124378.22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4"/>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-192199.76</v>
      </c>
      <c r="G12" s="18"/>
      <c r="H12" s="18"/>
      <c r="I12" s="18"/>
      <c r="J12" s="13">
        <f>SUM(I442)</f>
        <v>911080.31</v>
      </c>
      <c r="K12" s="23" t="s">
        <v>288</v>
      </c>
      <c r="L12" s="23" t="s">
        <v>288</v>
      </c>
      <c r="M12" s="8"/>
      <c r="N12" s="165"/>
    </row>
    <row r="13" spans="1:14" s="3" customFormat="1" ht="12.2" customHeight="1" x14ac:dyDescent="0.15">
      <c r="A13" s="1" t="s">
        <v>604</v>
      </c>
      <c r="B13" s="2" t="s">
        <v>289</v>
      </c>
      <c r="C13" s="6">
        <v>5</v>
      </c>
      <c r="D13" s="2" t="s">
        <v>428</v>
      </c>
      <c r="E13" s="6">
        <v>140</v>
      </c>
      <c r="F13" s="18">
        <v>-0.04</v>
      </c>
      <c r="G13" s="18"/>
      <c r="H13" s="18">
        <f>195435.77</f>
        <v>195435.77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46041.120000000003</v>
      </c>
      <c r="G14" s="18">
        <v>233435.34</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1917940.55</v>
      </c>
      <c r="G19" s="38">
        <f>SUM(G10:G18)</f>
        <v>233435.34</v>
      </c>
      <c r="H19" s="38">
        <f>SUM(H9:H18)</f>
        <v>319813.99</v>
      </c>
      <c r="I19" s="38">
        <f>SUM(I9:I18)</f>
        <v>0</v>
      </c>
      <c r="J19" s="38">
        <f>SUM(J9:J18)</f>
        <v>911080.31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-185890.22</v>
      </c>
      <c r="H22" s="18">
        <f>195435.77-2460-133.62-199151.69</f>
        <v>-6309.5400000000081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331633.02</v>
      </c>
      <c r="G24" s="18">
        <v>264456.84999999998</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67404.800000000003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-873.49</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38074.35</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398164.33</v>
      </c>
      <c r="G32" s="38">
        <f>SUM(G22:G31)</f>
        <v>116640.97999999998</v>
      </c>
      <c r="H32" s="38">
        <f>SUM(H22:H31)</f>
        <v>-6309.5400000000081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180000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v>52500</v>
      </c>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v>500000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v>116794.36</v>
      </c>
      <c r="H48" s="18">
        <f>2460+133.62+199151.69+124378.22</f>
        <v>326123.53000000003</v>
      </c>
      <c r="I48" s="18"/>
      <c r="J48" s="13">
        <f>SUM(I460)</f>
        <v>911080.31</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787276.22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1519776.22</v>
      </c>
      <c r="G51" s="38">
        <f>SUM(G35:G50)</f>
        <v>116794.36</v>
      </c>
      <c r="H51" s="38">
        <f>SUM(H35:H50)</f>
        <v>326123.53000000003</v>
      </c>
      <c r="I51" s="38">
        <f>SUM(I35:I50)</f>
        <v>0</v>
      </c>
      <c r="J51" s="38">
        <f>SUM(J35:J50)</f>
        <v>911080.31</v>
      </c>
      <c r="K51" s="42" t="s">
        <v>288</v>
      </c>
      <c r="L51" s="42" t="s">
        <v>288</v>
      </c>
      <c r="N51" s="131"/>
    </row>
    <row r="52" spans="1:14" s="3" customFormat="1" ht="12.2" customHeight="1" thickTop="1" x14ac:dyDescent="0.15">
      <c r="A52" s="35" t="s">
        <v>455</v>
      </c>
      <c r="B52" s="36" t="s">
        <v>289</v>
      </c>
      <c r="C52" s="6">
        <v>37</v>
      </c>
      <c r="D52" s="36" t="s">
        <v>653</v>
      </c>
      <c r="E52" s="36"/>
      <c r="F52" s="38">
        <f>F51+F32</f>
        <v>1917940.55</v>
      </c>
      <c r="G52" s="38">
        <f>G51+G32</f>
        <v>233435.33999999997</v>
      </c>
      <c r="H52" s="38">
        <f>H51+H32</f>
        <v>319813.99</v>
      </c>
      <c r="I52" s="38">
        <f>I51+I32</f>
        <v>0</v>
      </c>
      <c r="J52" s="38">
        <f>J51+J32</f>
        <v>911080.31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19550787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19550787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v>59856</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f>44375+125</f>
        <v>44500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34283.370000000003</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34283.370000000003</v>
      </c>
      <c r="G79" s="42" t="s">
        <v>288</v>
      </c>
      <c r="H79" s="38">
        <f>SUM(H63:H78)</f>
        <v>104356</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2145.61</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f>7789+5052+4034</f>
        <v>16875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228282.11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25699.67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27845.279999999999</v>
      </c>
      <c r="G111" s="38">
        <f>SUM(G96:G110)</f>
        <v>16875</v>
      </c>
      <c r="H111" s="38">
        <f>SUM(H96:H110)</f>
        <v>228282.11</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19612915.650000002</v>
      </c>
      <c r="G112" s="38">
        <f>G60+G111</f>
        <v>16875</v>
      </c>
      <c r="H112" s="38">
        <f>H60+H79+H94+H111</f>
        <v>332638.11</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4768892.7699999996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2250339</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554.27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7019786.0399999991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404468.19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154644.39000000001</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19248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12651.11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578360.58000000007</v>
      </c>
      <c r="G136" s="38">
        <f>SUM(G123:G135)</f>
        <v>12651.11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7598146.6199999992</v>
      </c>
      <c r="G140" s="38">
        <f>G121+SUM(G136:G137)</f>
        <v>12651.11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215302.79</f>
        <v>215302.79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24574.93+16145.18+609.36+5940.46+3058.65+750+10000+1154.53+2349.5+4233.85</f>
        <v>68816.460000000006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771103.77+27243.23</f>
        <v>798347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410811.27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91685.58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f>20414.22+280231.72+148223.53</f>
        <v>448869.47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91685.58</v>
      </c>
      <c r="G163" s="38">
        <f>SUM(G150:G162)</f>
        <v>798347</v>
      </c>
      <c r="H163" s="38">
        <f>SUM(H150:H162)</f>
        <v>1143799.99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2407.13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94092.71</v>
      </c>
      <c r="G170" s="38">
        <f>G147+G163+SUM(G164:G169)</f>
        <v>798347</v>
      </c>
      <c r="H170" s="38">
        <f>H147+H163+SUM(H164:H169)</f>
        <v>1143799.99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135718.25</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135718.25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135718.25</v>
      </c>
      <c r="G193" s="38">
        <f>G184+SUM(G189:G192)</f>
        <v>0</v>
      </c>
      <c r="H193" s="38">
        <f>+H184+SUM(H189:H192)</f>
        <v>0</v>
      </c>
      <c r="I193" s="38">
        <f>I178+I184+SUM(I189:I192)</f>
        <v>0</v>
      </c>
      <c r="J193" s="38">
        <f>J184</f>
        <v>105000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27440873.230000004</v>
      </c>
      <c r="G194" s="38">
        <f>G112+G140+G170+G193</f>
        <v>827873.11</v>
      </c>
      <c r="H194" s="38">
        <f>H112+H140+H170+H193</f>
        <v>1476438.1</v>
      </c>
      <c r="I194" s="38">
        <f>I112+I140+I170+I193</f>
        <v>0</v>
      </c>
      <c r="J194" s="38">
        <f>J112+J140+J193</f>
        <v>105000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3484785.21+180100.02+151839.05+11319.28+24848.88</f>
        <v>3852892.4399999995</v>
      </c>
      <c r="G198" s="18">
        <f>1093663.09+28876.54+275228.89+5898.16+744282.41+75684.36+865.85</f>
        <v>2224499.2999999998</v>
      </c>
      <c r="H198" s="18">
        <f>4547.16+2812.15+16406.13+31947.34</f>
        <v>55712.78</v>
      </c>
      <c r="I198" s="18">
        <f>80396.39+80345.76+13650.62+520.21</f>
        <v>174912.97999999998</v>
      </c>
      <c r="J198" s="18">
        <f>3310.18+3212.59+96363.16</f>
        <v>102885.93000000001</v>
      </c>
      <c r="K198" s="18">
        <f>3199.5</f>
        <v>3199.5</v>
      </c>
      <c r="L198" s="13">
        <f>SUM(F198:K198)</f>
        <v>6414102.9299999997</v>
      </c>
      <c r="M198" s="8"/>
      <c r="N198" s="165"/>
    </row>
    <row r="199" spans="1:14" s="3" customFormat="1" ht="12.2" customHeight="1" x14ac:dyDescent="0.15">
      <c r="A199" s="1" t="s">
        <v>439</v>
      </c>
      <c r="B199" s="2" t="s">
        <v>341</v>
      </c>
      <c r="C199" s="2" t="s">
        <v>291</v>
      </c>
      <c r="D199" s="2" t="s">
        <v>431</v>
      </c>
      <c r="E199" s="6">
        <v>1200</v>
      </c>
      <c r="F199" s="18">
        <f>793996.71+935687+480092.8+38015.2</f>
        <v>2247791.71</v>
      </c>
      <c r="G199" s="18">
        <f>731705.33+35083.8+127252.08+85565.56+166934.81+223723.23+8499.08</f>
        <v>1378763.8900000001</v>
      </c>
      <c r="H199" s="18">
        <f>704003.85+34055.85+5657.83</f>
        <v>743717.52999999991</v>
      </c>
      <c r="I199" s="18">
        <f>401.24+318.36+5923.51</f>
        <v>6643.1100000000006</v>
      </c>
      <c r="J199" s="18">
        <f>21.98</f>
        <v>21.98</v>
      </c>
      <c r="K199" s="18"/>
      <c r="L199" s="13">
        <f>SUM(F199:K199)</f>
        <v>4376938.2200000007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22569+8000+4000</f>
        <v>34569</v>
      </c>
      <c r="G201" s="18">
        <f>2633.5+201.62+2696.66</f>
        <v>5531.78</v>
      </c>
      <c r="H201" s="18">
        <f>4335.5+19205+3629.19</f>
        <v>27169.69</v>
      </c>
      <c r="I201" s="18">
        <f>1932</f>
        <v>1932</v>
      </c>
      <c r="J201" s="18">
        <v>7402.8</v>
      </c>
      <c r="K201" s="18">
        <v>1463</v>
      </c>
      <c r="L201" s="13">
        <f>SUM(F201:K201)</f>
        <v>78068.27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236104+186179+38709</f>
        <v>460992</v>
      </c>
      <c r="G203" s="18">
        <f>78454.64+4192.02+17573.75+49629.08+45010.24+2558.4+13786.48+40905.33+28341.69</f>
        <v>280451.63</v>
      </c>
      <c r="H203" s="18">
        <f>343241.44</f>
        <v>343241.44</v>
      </c>
      <c r="I203" s="18">
        <f>1119.54+4439.63</f>
        <v>5559.17</v>
      </c>
      <c r="J203" s="18"/>
      <c r="K203" s="18">
        <f>3419.88</f>
        <v>3419.88</v>
      </c>
      <c r="L203" s="13">
        <f t="shared" ref="L203:L209" si="0">SUM(F203:K203)</f>
        <v>1093664.1199999999</v>
      </c>
      <c r="M203" s="8"/>
      <c r="N203" s="165"/>
    </row>
    <row r="204" spans="1:14" s="3" customFormat="1" ht="12.2" customHeight="1" x14ac:dyDescent="0.15">
      <c r="A204" s="1" t="s">
        <v>443</v>
      </c>
      <c r="B204" s="2" t="s">
        <v>341</v>
      </c>
      <c r="C204" s="2" t="s">
        <v>295</v>
      </c>
      <c r="D204" s="2" t="s">
        <v>431</v>
      </c>
      <c r="E204" s="6">
        <v>2200</v>
      </c>
      <c r="F204" s="18">
        <f>191295.76</f>
        <v>191295.76</v>
      </c>
      <c r="G204" s="18">
        <f>46937.88+3010.54+14169.08+40210.32</f>
        <v>104327.82</v>
      </c>
      <c r="H204" s="18">
        <f>24711.33</f>
        <v>24711.33</v>
      </c>
      <c r="I204" s="18">
        <f>1219.61+19890.71</f>
        <v>21110.32</v>
      </c>
      <c r="J204" s="18">
        <f>395.26</f>
        <v>395.26</v>
      </c>
      <c r="K204" s="18"/>
      <c r="L204" s="13">
        <f t="shared" si="0"/>
        <v>341840.49000000005</v>
      </c>
      <c r="M204" s="8"/>
      <c r="N204" s="165"/>
    </row>
    <row r="205" spans="1:14" s="3" customFormat="1" ht="12.2" customHeight="1" x14ac:dyDescent="0.15">
      <c r="A205" s="1" t="s">
        <v>444</v>
      </c>
      <c r="B205" s="2" t="s">
        <v>341</v>
      </c>
      <c r="C205" s="2" t="s">
        <v>296</v>
      </c>
      <c r="D205" s="2" t="s">
        <v>431</v>
      </c>
      <c r="E205" s="6">
        <v>2300</v>
      </c>
      <c r="F205" s="18">
        <f>3346.5+4153.8+1794+75037.5+481841.28</f>
        <v>566173.08000000007</v>
      </c>
      <c r="G205" s="18">
        <f>256.01+885.57+137.23+17468.76+237376.92</f>
        <v>256124.49000000002</v>
      </c>
      <c r="H205" s="18">
        <f>16603.39+30745.94+3914.8+177425.18</f>
        <v>228689.31</v>
      </c>
      <c r="I205" s="18">
        <f>4286.67+103122.94</f>
        <v>107409.61</v>
      </c>
      <c r="J205" s="18">
        <f>287.72</f>
        <v>287.72000000000003</v>
      </c>
      <c r="K205" s="18">
        <f>4884.68+14921.73</f>
        <v>19806.41</v>
      </c>
      <c r="L205" s="13">
        <f t="shared" si="0"/>
        <v>1178490.6200000001</v>
      </c>
      <c r="M205" s="8"/>
      <c r="N205" s="165"/>
    </row>
    <row r="206" spans="1:14" s="3" customFormat="1" ht="12.2" customHeight="1" x14ac:dyDescent="0.15">
      <c r="A206" s="1" t="s">
        <v>445</v>
      </c>
      <c r="B206" s="2" t="s">
        <v>341</v>
      </c>
      <c r="C206" s="2" t="s">
        <v>297</v>
      </c>
      <c r="D206" s="2" t="s">
        <v>431</v>
      </c>
      <c r="E206" s="6">
        <v>2400</v>
      </c>
      <c r="F206" s="18">
        <f>284115.82+208229.04+76500</f>
        <v>568844.86</v>
      </c>
      <c r="G206" s="18">
        <f>212601.72+10694.17+41465.12+29277.26+74257.83</f>
        <v>368296.10000000003</v>
      </c>
      <c r="H206" s="18">
        <f>2895.71+39787.59+1577.96+893.24</f>
        <v>45154.499999999993</v>
      </c>
      <c r="I206" s="18">
        <f>2274.45</f>
        <v>2274.4499999999998</v>
      </c>
      <c r="J206" s="18">
        <f>4292.4</f>
        <v>4292.3999999999996</v>
      </c>
      <c r="K206" s="18">
        <v>3814.94</v>
      </c>
      <c r="L206" s="13">
        <f t="shared" si="0"/>
        <v>992677.24999999988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338115.19+74446.52</f>
        <v>412561.71</v>
      </c>
      <c r="G208" s="18">
        <f>108095.4+4431.08+25328.68+46504.81+20691.53</f>
        <v>205051.5</v>
      </c>
      <c r="H208" s="18">
        <f>18404.6+69454.56+80217.13+25269.79+5165+66732.53+43835.42+44311.5</f>
        <v>353390.52999999997</v>
      </c>
      <c r="I208" s="18">
        <f>61961.85+86744.79+4709.82+21726.2+51355.6+12167.52+1776.03</f>
        <v>240441.81</v>
      </c>
      <c r="J208" s="18">
        <f>249.99+164.09+4693.6</f>
        <v>5107.68</v>
      </c>
      <c r="K208" s="18"/>
      <c r="L208" s="13">
        <f t="shared" si="0"/>
        <v>1216553.23</v>
      </c>
      <c r="M208" s="8"/>
      <c r="N208" s="165"/>
    </row>
    <row r="209" spans="1:14" s="3" customFormat="1" ht="12.2" customHeight="1" x14ac:dyDescent="0.15">
      <c r="A209" s="1" t="s">
        <v>448</v>
      </c>
      <c r="B209" s="2" t="s">
        <v>341</v>
      </c>
      <c r="C209" s="2" t="s">
        <v>300</v>
      </c>
      <c r="D209" s="2" t="s">
        <v>431</v>
      </c>
      <c r="E209" s="6">
        <v>2700</v>
      </c>
      <c r="F209" s="18"/>
      <c r="G209" s="18"/>
      <c r="H209" s="18">
        <f>8555+8948.2+966196.59</f>
        <v>983699.78999999992</v>
      </c>
      <c r="I209" s="18"/>
      <c r="J209" s="18"/>
      <c r="K209" s="18"/>
      <c r="L209" s="13">
        <f t="shared" si="0"/>
        <v>983699.78999999992</v>
      </c>
      <c r="M209" s="8"/>
      <c r="N209" s="165"/>
    </row>
    <row r="210" spans="1:14" s="3" customFormat="1" ht="12.2" customHeight="1" x14ac:dyDescent="0.15">
      <c r="A210" s="1" t="s">
        <v>449</v>
      </c>
      <c r="B210" s="2" t="s">
        <v>341</v>
      </c>
      <c r="C210" s="2" t="s">
        <v>343</v>
      </c>
      <c r="D210" s="2" t="s">
        <v>431</v>
      </c>
      <c r="E210" s="6">
        <v>2800</v>
      </c>
      <c r="F210" s="18"/>
      <c r="G210" s="18"/>
      <c r="H210" s="18">
        <f>2552.33+51114.42</f>
        <v>53666.75</v>
      </c>
      <c r="I210" s="18"/>
      <c r="J210" s="18"/>
      <c r="K210" s="18"/>
      <c r="L210" s="13">
        <f>SUM(F210:K210)</f>
        <v>53666.75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8335120.5599999996</v>
      </c>
      <c r="G212" s="38">
        <f t="shared" si="1"/>
        <v>4823046.5099999988</v>
      </c>
      <c r="H212" s="38">
        <f t="shared" si="1"/>
        <v>2859153.65</v>
      </c>
      <c r="I212" s="38">
        <f t="shared" si="1"/>
        <v>560283.44999999995</v>
      </c>
      <c r="J212" s="38">
        <f t="shared" si="1"/>
        <v>120393.76999999999</v>
      </c>
      <c r="K212" s="38">
        <f t="shared" si="1"/>
        <v>31703.73</v>
      </c>
      <c r="L212" s="38">
        <f t="shared" si="1"/>
        <v>16729701.669999998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1531502.22+71428.88+5085.47</f>
        <v>1608016.57</v>
      </c>
      <c r="G234" s="18">
        <f>505627.04+14568.25+118687.76+6432.86+324556.75+34003.12+389.01</f>
        <v>1004264.7899999999</v>
      </c>
      <c r="H234" s="18">
        <f>2375.02+15049.12+1146.36+7370.87+25517.14</f>
        <v>51458.509999999995</v>
      </c>
      <c r="I234" s="18">
        <f>41602.86+50667.17+2466.86+233.72</f>
        <v>94970.61</v>
      </c>
      <c r="J234" s="18">
        <f>11610.47+22243+43293.6</f>
        <v>77147.070000000007</v>
      </c>
      <c r="K234" s="18">
        <v>1656</v>
      </c>
      <c r="L234" s="13">
        <f>SUM(F234:K234)</f>
        <v>2837513.5499999993</v>
      </c>
      <c r="M234" s="8"/>
      <c r="N234" s="165"/>
    </row>
    <row r="235" spans="1:14" s="3" customFormat="1" ht="12.2" customHeight="1" x14ac:dyDescent="0.15">
      <c r="A235" s="1" t="s">
        <v>439</v>
      </c>
      <c r="B235" s="2" t="s">
        <v>350</v>
      </c>
      <c r="C235" s="2" t="s">
        <v>291</v>
      </c>
      <c r="D235" s="2" t="s">
        <v>431</v>
      </c>
      <c r="E235" s="6">
        <v>1200</v>
      </c>
      <c r="F235" s="18">
        <f>292700.61+131329.13+215693.87+17079.29+2400.92</f>
        <v>659203.82000000007</v>
      </c>
      <c r="G235" s="18">
        <f>212746.63+9599.86+30845.68+15985.28+61525.81+100513.33+3818.43</f>
        <v>435035.02</v>
      </c>
      <c r="H235" s="18">
        <f>17459+305977.14+428641.27+316291.59+15300.45</f>
        <v>1083669.45</v>
      </c>
      <c r="I235" s="18">
        <f>904.76+310+2661.29</f>
        <v>3876.05</v>
      </c>
      <c r="J235" s="18">
        <f>9.87</f>
        <v>9.8699999999999992</v>
      </c>
      <c r="K235" s="18"/>
      <c r="L235" s="13">
        <f>SUM(F235:K235)</f>
        <v>2181794.21</v>
      </c>
      <c r="M235" s="8"/>
      <c r="N235" s="165"/>
    </row>
    <row r="236" spans="1:14" s="3" customFormat="1" ht="12.2" customHeight="1" x14ac:dyDescent="0.15">
      <c r="A236" s="1" t="s">
        <v>440</v>
      </c>
      <c r="B236" s="2" t="s">
        <v>350</v>
      </c>
      <c r="C236" s="2" t="s">
        <v>292</v>
      </c>
      <c r="D236" s="2" t="s">
        <v>431</v>
      </c>
      <c r="E236" s="6">
        <v>1300</v>
      </c>
      <c r="F236" s="18"/>
      <c r="G236" s="18"/>
      <c r="H236" s="18">
        <v>502264.28</v>
      </c>
      <c r="I236" s="18"/>
      <c r="J236" s="18"/>
      <c r="K236" s="18"/>
      <c r="L236" s="13">
        <f>SUM(F236:K236)</f>
        <v>502264.28</v>
      </c>
      <c r="M236" s="8"/>
      <c r="N236" s="165"/>
    </row>
    <row r="237" spans="1:14" s="3" customFormat="1" ht="12.2" customHeight="1" x14ac:dyDescent="0.15">
      <c r="A237" s="1" t="s">
        <v>441</v>
      </c>
      <c r="B237" s="2" t="s">
        <v>350</v>
      </c>
      <c r="C237" s="2" t="s">
        <v>293</v>
      </c>
      <c r="D237" s="2" t="s">
        <v>431</v>
      </c>
      <c r="E237" s="6">
        <v>1400</v>
      </c>
      <c r="F237" s="18">
        <f>59708.25+60023.08</f>
        <v>119731.33</v>
      </c>
      <c r="G237" s="18">
        <f>1530.05+9317.82+273.89+17011.01</f>
        <v>28132.769999999997</v>
      </c>
      <c r="H237" s="18">
        <f>20476.9+98282.33+1630.5</f>
        <v>120389.73000000001</v>
      </c>
      <c r="I237" s="18">
        <f>19870.01</f>
        <v>19870.009999999998</v>
      </c>
      <c r="J237" s="18">
        <f>25288.65</f>
        <v>25288.65</v>
      </c>
      <c r="K237" s="18">
        <v>8169.84</v>
      </c>
      <c r="L237" s="13">
        <f>SUM(F237:K237)</f>
        <v>321582.33000000007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169453+68928+17391</f>
        <v>255772</v>
      </c>
      <c r="G239" s="18">
        <f>38263.5+1896.3+12610.86+35619.06+21204.04+830.99+5116.08+14488.73+12733.23</f>
        <v>142762.79</v>
      </c>
      <c r="H239" s="18">
        <f>5999.8+400+154209.92</f>
        <v>160609.72</v>
      </c>
      <c r="I239" s="18">
        <f>1158.71+331.52+3600+914.52</f>
        <v>6004.75</v>
      </c>
      <c r="J239" s="18"/>
      <c r="K239" s="18">
        <f>120+1536.47</f>
        <v>1656.47</v>
      </c>
      <c r="L239" s="13">
        <f t="shared" ref="L239:L245" si="4">SUM(F239:K239)</f>
        <v>566805.73</v>
      </c>
      <c r="M239" s="8"/>
      <c r="N239" s="165"/>
    </row>
    <row r="240" spans="1:14" s="3" customFormat="1" ht="12.2" customHeight="1" x14ac:dyDescent="0.15">
      <c r="A240" s="1" t="s">
        <v>443</v>
      </c>
      <c r="B240" s="2" t="s">
        <v>350</v>
      </c>
      <c r="C240" s="2" t="s">
        <v>295</v>
      </c>
      <c r="D240" s="2" t="s">
        <v>431</v>
      </c>
      <c r="E240" s="6">
        <v>2200</v>
      </c>
      <c r="F240" s="18">
        <f>53095+23286.71</f>
        <v>76381.709999999992</v>
      </c>
      <c r="G240" s="18">
        <f>39455.24+1896.3+5568.55+3274.14+11160.49</f>
        <v>61354.720000000001</v>
      </c>
      <c r="H240" s="18">
        <f>11102.19+2541.92</f>
        <v>13644.11</v>
      </c>
      <c r="I240" s="18">
        <f>4524.86+4058.96+8308.44</f>
        <v>16892.260000000002</v>
      </c>
      <c r="J240" s="18">
        <v>299.97000000000003</v>
      </c>
      <c r="K240" s="18"/>
      <c r="L240" s="13">
        <f t="shared" si="4"/>
        <v>168572.77</v>
      </c>
      <c r="M240" s="8"/>
      <c r="N240" s="165"/>
    </row>
    <row r="241" spans="1:14" s="3" customFormat="1" ht="12.2" customHeight="1" x14ac:dyDescent="0.15">
      <c r="A241" s="1" t="s">
        <v>444</v>
      </c>
      <c r="B241" s="2" t="s">
        <v>350</v>
      </c>
      <c r="C241" s="2" t="s">
        <v>296</v>
      </c>
      <c r="D241" s="2" t="s">
        <v>431</v>
      </c>
      <c r="E241" s="6">
        <v>2300</v>
      </c>
      <c r="F241" s="18">
        <f>1503.5+1866.2+806+33712.5+216479.41</f>
        <v>254367.61</v>
      </c>
      <c r="G241" s="18">
        <f>115.02+397.86+61.66+7848.28+106647.6</f>
        <v>115070.42000000001</v>
      </c>
      <c r="H241" s="18">
        <f>7459.51+13813.4+1758.83+79712.76</f>
        <v>102744.5</v>
      </c>
      <c r="I241" s="18">
        <f>1925.9+46330.59</f>
        <v>48256.49</v>
      </c>
      <c r="J241" s="18">
        <f>129.26</f>
        <v>129.26</v>
      </c>
      <c r="K241" s="18">
        <f>2194.57+6703.97</f>
        <v>8898.5400000000009</v>
      </c>
      <c r="L241" s="13">
        <f t="shared" si="4"/>
        <v>529466.82000000007</v>
      </c>
      <c r="M241" s="8"/>
      <c r="N241" s="165"/>
    </row>
    <row r="242" spans="1:14" s="3" customFormat="1" ht="12.2" customHeight="1" x14ac:dyDescent="0.15">
      <c r="A242" s="1" t="s">
        <v>445</v>
      </c>
      <c r="B242" s="2" t="s">
        <v>350</v>
      </c>
      <c r="C242" s="2" t="s">
        <v>297</v>
      </c>
      <c r="D242" s="2" t="s">
        <v>431</v>
      </c>
      <c r="E242" s="6">
        <v>2400</v>
      </c>
      <c r="F242" s="18">
        <f>109000+119186.58+95720</f>
        <v>323906.58</v>
      </c>
      <c r="G242" s="18">
        <f>126496.57+6297.18+23700.38+16757.86+41865.36</f>
        <v>215117.34999999998</v>
      </c>
      <c r="H242" s="18">
        <f>230.36+14701.92+138.54+1649+57.12</f>
        <v>16776.939999999999</v>
      </c>
      <c r="I242" s="18">
        <v>2350.14</v>
      </c>
      <c r="J242" s="18"/>
      <c r="K242" s="18">
        <v>5140</v>
      </c>
      <c r="L242" s="13">
        <f t="shared" si="4"/>
        <v>563291.00999999989</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203532.07+33446.99</f>
        <v>236979.06</v>
      </c>
      <c r="G244" s="18">
        <f>92692.53+4140.17+14904.35+26888.08+9296.2</f>
        <v>147921.33000000002</v>
      </c>
      <c r="H244" s="18">
        <f>632.5+20163.59+49088.33+11353.09+1193+29190.01+35542.85+44311.5</f>
        <v>191474.87</v>
      </c>
      <c r="I244" s="18">
        <f>37174.87+95392.72+5518.08+4203.62+26163.66+5466.56+511.2+2872.14</f>
        <v>177302.85</v>
      </c>
      <c r="J244" s="18"/>
      <c r="K244" s="18"/>
      <c r="L244" s="13">
        <f t="shared" si="4"/>
        <v>753678.11</v>
      </c>
      <c r="M244" s="8"/>
      <c r="N244" s="165"/>
    </row>
    <row r="245" spans="1:14" s="3" customFormat="1" ht="12.2" customHeight="1" x14ac:dyDescent="0.15">
      <c r="A245" s="1" t="s">
        <v>448</v>
      </c>
      <c r="B245" s="2" t="s">
        <v>350</v>
      </c>
      <c r="C245" s="2" t="s">
        <v>300</v>
      </c>
      <c r="D245" s="2" t="s">
        <v>431</v>
      </c>
      <c r="E245" s="6">
        <v>2700</v>
      </c>
      <c r="F245" s="18"/>
      <c r="G245" s="18"/>
      <c r="H245" s="18">
        <f>95407.6+35536.03+898.1+434088.34</f>
        <v>565930.07000000007</v>
      </c>
      <c r="I245" s="18"/>
      <c r="J245" s="18"/>
      <c r="K245" s="18"/>
      <c r="L245" s="13">
        <f t="shared" si="4"/>
        <v>565930.07000000007</v>
      </c>
      <c r="M245" s="8"/>
      <c r="N245" s="165"/>
    </row>
    <row r="246" spans="1:14" s="3" customFormat="1" ht="12.2" customHeight="1" x14ac:dyDescent="0.15">
      <c r="A246" s="1" t="s">
        <v>449</v>
      </c>
      <c r="B246" s="2" t="s">
        <v>350</v>
      </c>
      <c r="C246" s="2" t="s">
        <v>343</v>
      </c>
      <c r="D246" s="2" t="s">
        <v>431</v>
      </c>
      <c r="E246" s="6">
        <v>2800</v>
      </c>
      <c r="F246" s="18"/>
      <c r="G246" s="18"/>
      <c r="H246" s="18">
        <f>1146.7+22964.45</f>
        <v>24111.15</v>
      </c>
      <c r="I246" s="18"/>
      <c r="J246" s="18"/>
      <c r="K246" s="18"/>
      <c r="L246" s="13">
        <f>SUM(F246:K246)</f>
        <v>24111.15</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3534358.68</v>
      </c>
      <c r="G248" s="38">
        <f t="shared" si="5"/>
        <v>2149659.19</v>
      </c>
      <c r="H248" s="38">
        <f t="shared" si="5"/>
        <v>2833073.3299999996</v>
      </c>
      <c r="I248" s="38">
        <f t="shared" si="5"/>
        <v>369523.16000000003</v>
      </c>
      <c r="J248" s="38">
        <f t="shared" si="5"/>
        <v>102874.81999999999</v>
      </c>
      <c r="K248" s="38">
        <f t="shared" si="5"/>
        <v>25520.85</v>
      </c>
      <c r="L248" s="38">
        <f t="shared" si="5"/>
        <v>9015010.0299999993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f>31329.25+16199+24998.41+22240+24250+41700</f>
        <v>160716.66</v>
      </c>
      <c r="K256" s="18"/>
      <c r="L256" s="13">
        <f t="shared" si="6"/>
        <v>160716.66</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160716.66</v>
      </c>
      <c r="K257" s="38">
        <f t="shared" si="7"/>
        <v>0</v>
      </c>
      <c r="L257" s="38">
        <f>SUM(F257:K257)</f>
        <v>160716.66</v>
      </c>
      <c r="M257" s="8"/>
      <c r="N257" s="165"/>
    </row>
    <row r="258" spans="1:14" s="3" customFormat="1" ht="12.2" customHeight="1" thickTop="1" x14ac:dyDescent="0.15">
      <c r="A258" s="35" t="s">
        <v>462</v>
      </c>
      <c r="B258" s="37">
        <v>10</v>
      </c>
      <c r="C258" s="37">
        <v>8</v>
      </c>
      <c r="D258" s="36" t="s">
        <v>431</v>
      </c>
      <c r="E258" s="37"/>
      <c r="F258" s="38">
        <f t="shared" ref="F258:L258" si="8">F212+F230+F248+F257</f>
        <v>11869479.24</v>
      </c>
      <c r="G258" s="38">
        <f t="shared" si="8"/>
        <v>6972705.6999999993</v>
      </c>
      <c r="H258" s="38">
        <f t="shared" si="8"/>
        <v>5692226.9799999995</v>
      </c>
      <c r="I258" s="38">
        <f t="shared" si="8"/>
        <v>929806.61</v>
      </c>
      <c r="J258" s="38">
        <f t="shared" si="8"/>
        <v>383985.25</v>
      </c>
      <c r="K258" s="38">
        <f t="shared" si="8"/>
        <v>57224.58</v>
      </c>
      <c r="L258" s="38">
        <f t="shared" si="8"/>
        <v>25905428.359999996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143612.02+654382.27</f>
        <v>797994.29</v>
      </c>
      <c r="L261" s="13">
        <f>SUM(F261:K261)</f>
        <v>797994.29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32918.48+704072.33</f>
        <v>736990.80999999994</v>
      </c>
      <c r="L262" s="13">
        <f>SUM(F262:K262)</f>
        <v>736990.80999999994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105000</v>
      </c>
      <c r="L267" s="13">
        <f t="shared" si="9"/>
        <v>105000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65000</v>
      </c>
      <c r="L269" s="13">
        <f t="shared" si="9"/>
        <v>65000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1704985.1</v>
      </c>
      <c r="L271" s="38">
        <f t="shared" si="9"/>
        <v>1704985.1</v>
      </c>
      <c r="M271" s="8"/>
      <c r="N271" s="165"/>
    </row>
    <row r="272" spans="1:14" s="33" customFormat="1" ht="12.2" customHeight="1" thickTop="1" x14ac:dyDescent="0.2">
      <c r="A272" s="40" t="s">
        <v>464</v>
      </c>
      <c r="B272" s="37">
        <v>10</v>
      </c>
      <c r="C272" s="37">
        <v>18</v>
      </c>
      <c r="D272" s="36" t="s">
        <v>431</v>
      </c>
      <c r="E272" s="37"/>
      <c r="F272" s="39">
        <f t="shared" ref="F272:L272" si="11">F258+F271</f>
        <v>11869479.24</v>
      </c>
      <c r="G272" s="39">
        <f t="shared" si="11"/>
        <v>6972705.6999999993</v>
      </c>
      <c r="H272" s="39">
        <f t="shared" si="11"/>
        <v>5692226.9799999995</v>
      </c>
      <c r="I272" s="39">
        <f t="shared" si="11"/>
        <v>929806.61</v>
      </c>
      <c r="J272" s="39">
        <f t="shared" si="11"/>
        <v>383985.25</v>
      </c>
      <c r="K272" s="39">
        <f t="shared" si="11"/>
        <v>1762209.6800000002</v>
      </c>
      <c r="L272" s="39">
        <f t="shared" si="11"/>
        <v>27610413.459999997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39763.29</f>
        <v>39763.29</v>
      </c>
      <c r="G277" s="18"/>
      <c r="H277" s="18">
        <f>573.75+2415</f>
        <v>2988.75</v>
      </c>
      <c r="I277" s="18">
        <f>7263.01+2413+39241.25</f>
        <v>48917.26</v>
      </c>
      <c r="J277" s="18">
        <f>8382.59+30702.5+107691.2</f>
        <v>146776.28999999998</v>
      </c>
      <c r="K277" s="18"/>
      <c r="L277" s="13">
        <f>SUM(F277:K277)</f>
        <v>238445.58999999997</v>
      </c>
      <c r="M277" s="8"/>
      <c r="N277" s="165"/>
    </row>
    <row r="278" spans="1:14" s="3" customFormat="1" ht="12.2" customHeight="1" x14ac:dyDescent="0.15">
      <c r="A278" s="1" t="s">
        <v>439</v>
      </c>
      <c r="B278" s="2" t="s">
        <v>357</v>
      </c>
      <c r="C278" s="2" t="s">
        <v>291</v>
      </c>
      <c r="D278" s="2" t="s">
        <v>431</v>
      </c>
      <c r="E278" s="6">
        <v>1200</v>
      </c>
      <c r="F278" s="18">
        <f>46759.17+20385.5+1348.61+2783.24+1945.43+17082.63</f>
        <v>90304.58</v>
      </c>
      <c r="G278" s="18">
        <f>24621.44+19596.97+386.65+927.15+351.23+4444.3</f>
        <v>50327.740000000013</v>
      </c>
      <c r="H278" s="18">
        <v>56263.61</v>
      </c>
      <c r="I278" s="18">
        <v>20205.599999999999</v>
      </c>
      <c r="J278" s="18">
        <f>1845.2+34.96+344.31</f>
        <v>2224.4700000000003</v>
      </c>
      <c r="K278" s="18"/>
      <c r="L278" s="13">
        <f>SUM(F278:K278)</f>
        <v>219326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250</v>
      </c>
      <c r="G280" s="18">
        <f>19.13+52.55</f>
        <v>71.679999999999993</v>
      </c>
      <c r="H280" s="18"/>
      <c r="I280" s="18">
        <v>3182.35</v>
      </c>
      <c r="J280" s="18">
        <v>3550.05</v>
      </c>
      <c r="K280" s="18"/>
      <c r="L280" s="13">
        <f>SUM(F280:K280)</f>
        <v>7054.08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100575+11606.46+55200</f>
        <v>167381.46</v>
      </c>
      <c r="G282" s="18">
        <f>7693.97+3127.39+31866.64</f>
        <v>42688</v>
      </c>
      <c r="H282" s="18">
        <v>47591.1</v>
      </c>
      <c r="I282" s="18">
        <f>3606.57</f>
        <v>3606.57</v>
      </c>
      <c r="J282" s="18">
        <f>77.96</f>
        <v>77.959999999999994</v>
      </c>
      <c r="K282" s="18">
        <f>1398.44+13.8</f>
        <v>1412.24</v>
      </c>
      <c r="L282" s="13">
        <f>SUM(F282:K282)</f>
        <v>262757.33</v>
      </c>
      <c r="M282" s="8"/>
      <c r="N282" s="165"/>
    </row>
    <row r="283" spans="1:14" s="3" customFormat="1" ht="12.2" customHeight="1" x14ac:dyDescent="0.15">
      <c r="A283" s="1" t="s">
        <v>443</v>
      </c>
      <c r="B283" s="2" t="s">
        <v>357</v>
      </c>
      <c r="C283" s="2" t="s">
        <v>295</v>
      </c>
      <c r="D283" s="2" t="s">
        <v>431</v>
      </c>
      <c r="E283" s="6">
        <v>2200</v>
      </c>
      <c r="F283" s="18">
        <f>6451.5+2357.97+6900+32430</f>
        <v>48139.47</v>
      </c>
      <c r="G283" s="18">
        <f>1829.72+584.72+1810.5+14277.96</f>
        <v>18502.900000000001</v>
      </c>
      <c r="H283" s="18">
        <f>3381+60238.04+16696.38+2843.04</f>
        <v>83158.459999999992</v>
      </c>
      <c r="I283" s="18">
        <f>1220.98+3550.19+4261.23+12258.52</f>
        <v>21290.92</v>
      </c>
      <c r="J283" s="18">
        <f>38184.6+3075.36</f>
        <v>41259.96</v>
      </c>
      <c r="K283" s="18">
        <f>1449</f>
        <v>1449</v>
      </c>
      <c r="L283" s="13">
        <f>SUM(F283:K283)</f>
        <v>213800.71</v>
      </c>
      <c r="M283" s="8"/>
      <c r="N283" s="165"/>
    </row>
    <row r="284" spans="1:14" s="3" customFormat="1" ht="12.2" customHeight="1" x14ac:dyDescent="0.15">
      <c r="A284" s="1" t="s">
        <v>444</v>
      </c>
      <c r="B284" s="2" t="s">
        <v>357</v>
      </c>
      <c r="C284" s="2" t="s">
        <v>296</v>
      </c>
      <c r="D284" s="2" t="s">
        <v>431</v>
      </c>
      <c r="E284" s="6">
        <v>2300</v>
      </c>
      <c r="F284" s="18"/>
      <c r="G284" s="18"/>
      <c r="H284" s="18">
        <v>6900</v>
      </c>
      <c r="I284" s="18"/>
      <c r="J284" s="18"/>
      <c r="K284" s="18"/>
      <c r="L284" s="13">
        <f>SUM(F284:K284)</f>
        <v>6900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ref="L285:L288" si="12">SUM(F285:K285)</f>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f>7669.51</f>
        <v>7669.51</v>
      </c>
      <c r="J287" s="18"/>
      <c r="K287" s="18"/>
      <c r="L287" s="13">
        <f t="shared" si="12"/>
        <v>7669.51</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SUM(F277:F290)</f>
        <v>345838.79999999993</v>
      </c>
      <c r="G291" s="39">
        <f>SUM(G277:G290)</f>
        <v>111590.32</v>
      </c>
      <c r="H291" s="39">
        <f t="shared" ref="H291:L291" si="13">SUM(H277:H290)</f>
        <v>196901.91999999998</v>
      </c>
      <c r="I291" s="39">
        <f t="shared" si="13"/>
        <v>104872.21</v>
      </c>
      <c r="J291" s="39">
        <f t="shared" si="13"/>
        <v>193888.72999999995</v>
      </c>
      <c r="K291" s="39">
        <f t="shared" si="13"/>
        <v>2861.24</v>
      </c>
      <c r="L291" s="38">
        <f t="shared" si="13"/>
        <v>955953.22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4"/>
      <c r="G296" s="4"/>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4"/>
      <c r="G297" s="4"/>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4"/>
      <c r="I301" s="4"/>
      <c r="J301" s="4"/>
      <c r="K301" s="4"/>
      <c r="L301" s="13">
        <f t="shared" ref="L301:L307" si="14">SUM(F301:K301)</f>
        <v>0</v>
      </c>
      <c r="M301" s="8"/>
      <c r="N301" s="165"/>
    </row>
    <row r="302" spans="1:14" s="3" customFormat="1" ht="12.2" customHeight="1" x14ac:dyDescent="0.15">
      <c r="A302" s="1" t="s">
        <v>443</v>
      </c>
      <c r="B302" s="2" t="s">
        <v>358</v>
      </c>
      <c r="C302" s="2" t="s">
        <v>295</v>
      </c>
      <c r="D302" s="2" t="s">
        <v>431</v>
      </c>
      <c r="E302" s="6">
        <v>2200</v>
      </c>
      <c r="F302" s="4"/>
      <c r="G302" s="4"/>
      <c r="H302" s="4"/>
      <c r="I302" s="18"/>
      <c r="J302" s="4"/>
      <c r="K302" s="4"/>
      <c r="L302" s="13">
        <f t="shared" si="14"/>
        <v>0</v>
      </c>
      <c r="M302" s="8"/>
      <c r="N302" s="165"/>
    </row>
    <row r="303" spans="1:14" s="3" customFormat="1" ht="12.2" customHeight="1" x14ac:dyDescent="0.15">
      <c r="A303" s="1" t="s">
        <v>444</v>
      </c>
      <c r="B303" s="2" t="s">
        <v>358</v>
      </c>
      <c r="C303" s="2" t="s">
        <v>296</v>
      </c>
      <c r="D303" s="2" t="s">
        <v>431</v>
      </c>
      <c r="E303" s="6">
        <v>2300</v>
      </c>
      <c r="F303" s="4"/>
      <c r="G303" s="4"/>
      <c r="H303" s="4"/>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4"/>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15">
      <c r="A310" s="35" t="s">
        <v>459</v>
      </c>
      <c r="B310" s="36" t="s">
        <v>358</v>
      </c>
      <c r="C310" s="37">
        <v>14</v>
      </c>
      <c r="D310" s="36" t="s">
        <v>431</v>
      </c>
      <c r="E310" s="37"/>
      <c r="F310" s="38">
        <f>SUM(F296:F309)</f>
        <v>0</v>
      </c>
      <c r="G310" s="38">
        <f>SUM(G296:G309)</f>
        <v>0</v>
      </c>
      <c r="H310" s="38">
        <f>SUM(H296:H309)</f>
        <v>0</v>
      </c>
      <c r="I310" s="38">
        <f>SUM(I296:I309)</f>
        <v>0</v>
      </c>
      <c r="J310" s="38">
        <f>SUM(J296:J309)</f>
        <v>0</v>
      </c>
      <c r="K310" s="38">
        <f>SUM(K296:K309)</f>
        <v>0</v>
      </c>
      <c r="L310" s="38">
        <f>SUM(L296:L309)</f>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26963.91+2500+17864.66</f>
        <v>47328.57</v>
      </c>
      <c r="G315" s="18">
        <f>2211.54+351.52+3502.28</f>
        <v>6065.34</v>
      </c>
      <c r="H315" s="18">
        <f>184.73+4136.14+1767.73+1085.01</f>
        <v>7173.6100000000006</v>
      </c>
      <c r="I315" s="18">
        <f>696+1940.09+3050.07+17630.12</f>
        <v>23316.28</v>
      </c>
      <c r="J315" s="18">
        <f>48383</f>
        <v>48383</v>
      </c>
      <c r="K315" s="18"/>
      <c r="L315" s="13">
        <f>SUM(F315:K315)</f>
        <v>132266.79999999999</v>
      </c>
      <c r="M315" s="8"/>
      <c r="N315" s="165"/>
    </row>
    <row r="316" spans="1:14" s="3" customFormat="1" ht="12.2" customHeight="1" x14ac:dyDescent="0.15">
      <c r="A316" s="1" t="s">
        <v>439</v>
      </c>
      <c r="B316" s="2" t="s">
        <v>359</v>
      </c>
      <c r="C316" s="2" t="s">
        <v>291</v>
      </c>
      <c r="D316" s="2" t="s">
        <v>431</v>
      </c>
      <c r="E316" s="6">
        <v>1200</v>
      </c>
      <c r="F316" s="18">
        <f>21007.75+9158.7+605.9+1250.44+8874.03+7674.81</f>
        <v>48571.63</v>
      </c>
      <c r="G316" s="18">
        <f>11061.8+8804.44+173.71+416.55+157.8+1996.72</f>
        <v>22611.019999999997</v>
      </c>
      <c r="H316" s="18">
        <f>40656.3+19692.55+3298.87+1068.311+996.8</f>
        <v>65712.831000000006</v>
      </c>
      <c r="I316" s="18">
        <f>1249.99+4350.88+204.19+471.07+3099.07+952.5</f>
        <v>10327.699999999999</v>
      </c>
      <c r="J316" s="18">
        <f>829+15.71+154.69</f>
        <v>999.40000000000009</v>
      </c>
      <c r="K316" s="18"/>
      <c r="L316" s="13">
        <f>SUM(F316:K316)</f>
        <v>148222.58100000001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2000</v>
      </c>
      <c r="G318" s="18">
        <f>153+281.1</f>
        <v>434.1</v>
      </c>
      <c r="H318" s="18">
        <v>211.24</v>
      </c>
      <c r="I318" s="18">
        <v>1799.75</v>
      </c>
      <c r="J318" s="18">
        <f>2500+1594.95</f>
        <v>4094.95</v>
      </c>
      <c r="K318" s="18"/>
      <c r="L318" s="13">
        <f>SUM(F318:K318)</f>
        <v>8540.0400000000009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5214.5+24800</f>
        <v>30014.5</v>
      </c>
      <c r="G320" s="18">
        <f>1405.06+14316.89</f>
        <v>15721.949999999999</v>
      </c>
      <c r="H320" s="18">
        <f>279+52090.96</f>
        <v>52369.96</v>
      </c>
      <c r="I320" s="18">
        <f>1620.34</f>
        <v>1620.34</v>
      </c>
      <c r="J320" s="18">
        <f>35.03</f>
        <v>35.03</v>
      </c>
      <c r="K320" s="18">
        <f>628.28+6.2</f>
        <v>634.48</v>
      </c>
      <c r="L320" s="13">
        <f t="shared" ref="L320:L326" si="15">SUM(F320:K320)</f>
        <v>100396.26</v>
      </c>
      <c r="M320" s="8"/>
      <c r="N320" s="165"/>
    </row>
    <row r="321" spans="1:14" s="3" customFormat="1" ht="12.2" customHeight="1" x14ac:dyDescent="0.15">
      <c r="A321" s="1" t="s">
        <v>443</v>
      </c>
      <c r="B321" s="2" t="s">
        <v>359</v>
      </c>
      <c r="C321" s="2" t="s">
        <v>295</v>
      </c>
      <c r="D321" s="2" t="s">
        <v>431</v>
      </c>
      <c r="E321" s="6">
        <v>2200</v>
      </c>
      <c r="F321" s="18">
        <f>2898.5+1059.38+3100+14570</f>
        <v>21627.88</v>
      </c>
      <c r="G321" s="18">
        <f>822.05+262.7+813.42+6414.73</f>
        <v>8312.9</v>
      </c>
      <c r="H321" s="18">
        <f>1519+27063.47+7501.27+1427.84</f>
        <v>37511.58</v>
      </c>
      <c r="I321" s="18">
        <f>1595.02+1914.46+5507.45</f>
        <v>9016.93</v>
      </c>
      <c r="J321" s="18">
        <f>17155.4+1381.69</f>
        <v>18537.09</v>
      </c>
      <c r="K321" s="18">
        <f>651</f>
        <v>651</v>
      </c>
      <c r="L321" s="13">
        <f t="shared" si="15"/>
        <v>95657.38</v>
      </c>
      <c r="M321" s="8"/>
      <c r="N321" s="165"/>
    </row>
    <row r="322" spans="1:14" s="3" customFormat="1" ht="12.2" customHeight="1" x14ac:dyDescent="0.15">
      <c r="A322" s="1" t="s">
        <v>444</v>
      </c>
      <c r="B322" s="2" t="s">
        <v>359</v>
      </c>
      <c r="C322" s="2" t="s">
        <v>296</v>
      </c>
      <c r="D322" s="2" t="s">
        <v>431</v>
      </c>
      <c r="E322" s="6">
        <v>2300</v>
      </c>
      <c r="F322" s="18"/>
      <c r="G322" s="18"/>
      <c r="H322" s="18">
        <v>3100</v>
      </c>
      <c r="I322" s="18"/>
      <c r="J322" s="18"/>
      <c r="K322" s="18"/>
      <c r="L322" s="13">
        <f t="shared" si="15"/>
        <v>3100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5"/>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5"/>
        <v>0</v>
      </c>
      <c r="M324" s="8"/>
      <c r="N324" s="165"/>
    </row>
    <row r="325" spans="1:14" s="3" customFormat="1" ht="12.2" customHeight="1" x14ac:dyDescent="0.15">
      <c r="A325" s="1" t="s">
        <v>447</v>
      </c>
      <c r="B325" s="2" t="s">
        <v>359</v>
      </c>
      <c r="C325" s="2" t="s">
        <v>299</v>
      </c>
      <c r="D325" s="2" t="s">
        <v>431</v>
      </c>
      <c r="E325" s="6">
        <v>2600</v>
      </c>
      <c r="F325" s="18"/>
      <c r="G325" s="18"/>
      <c r="H325" s="18"/>
      <c r="I325" s="18">
        <v>3445.72</v>
      </c>
      <c r="J325" s="18"/>
      <c r="K325" s="18"/>
      <c r="L325" s="13">
        <f t="shared" si="15"/>
        <v>3445.72</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5"/>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6">SUM(F315:F328)</f>
        <v>149542.57999999999</v>
      </c>
      <c r="G329" s="39">
        <f t="shared" si="16"/>
        <v>53145.31</v>
      </c>
      <c r="H329" s="39">
        <f t="shared" si="16"/>
        <v>166079.22100000002</v>
      </c>
      <c r="I329" s="39">
        <f t="shared" si="16"/>
        <v>49526.719999999994</v>
      </c>
      <c r="J329" s="39">
        <f t="shared" si="16"/>
        <v>72049.47</v>
      </c>
      <c r="K329" s="39">
        <f t="shared" si="16"/>
        <v>1285.48</v>
      </c>
      <c r="L329" s="38">
        <f t="shared" si="16"/>
        <v>491628.78099999996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7">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7"/>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7"/>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7"/>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7"/>
        <v>0</v>
      </c>
      <c r="M337" s="8"/>
      <c r="N337" s="165"/>
    </row>
    <row r="338" spans="1:43" s="3" customFormat="1" ht="12.2" customHeight="1" thickTop="1" thickBot="1" x14ac:dyDescent="0.2">
      <c r="A338" s="46" t="s">
        <v>467</v>
      </c>
      <c r="B338" s="37">
        <v>14</v>
      </c>
      <c r="C338" s="47">
        <v>6</v>
      </c>
      <c r="D338" s="44" t="s">
        <v>431</v>
      </c>
      <c r="E338" s="47"/>
      <c r="F338" s="38">
        <f t="shared" ref="F338:K338" si="18">SUM(F333:F337)</f>
        <v>0</v>
      </c>
      <c r="G338" s="38">
        <f t="shared" si="18"/>
        <v>0</v>
      </c>
      <c r="H338" s="38">
        <f t="shared" si="18"/>
        <v>0</v>
      </c>
      <c r="I338" s="38">
        <f t="shared" si="18"/>
        <v>0</v>
      </c>
      <c r="J338" s="38">
        <f t="shared" si="18"/>
        <v>0</v>
      </c>
      <c r="K338" s="38">
        <f t="shared" si="18"/>
        <v>0</v>
      </c>
      <c r="L338" s="38">
        <f t="shared" si="17"/>
        <v>0</v>
      </c>
      <c r="M338" s="8"/>
      <c r="N338" s="165"/>
    </row>
    <row r="339" spans="1:43" s="3" customFormat="1" ht="12.2" customHeight="1" thickTop="1" x14ac:dyDescent="0.15">
      <c r="A339" s="35" t="s">
        <v>468</v>
      </c>
      <c r="B339" s="37">
        <v>14</v>
      </c>
      <c r="C339" s="37">
        <v>7</v>
      </c>
      <c r="D339" s="36" t="s">
        <v>431</v>
      </c>
      <c r="E339" s="37"/>
      <c r="F339" s="38">
        <f>F291+F310+F329+F338</f>
        <v>495381.37999999989</v>
      </c>
      <c r="G339" s="38">
        <f>G291+G310+G329+G338</f>
        <v>164735.63</v>
      </c>
      <c r="H339" s="38">
        <f>H291+H310+H329+H338</f>
        <v>362981.141</v>
      </c>
      <c r="I339" s="38">
        <f>I291+I310+I329+I338</f>
        <v>154398.93</v>
      </c>
      <c r="J339" s="38">
        <f>J291+J310+J329+J338</f>
        <v>265938.19999999995</v>
      </c>
      <c r="K339" s="38">
        <f>K291+K310+K329+K338</f>
        <v>4146.7199999999993</v>
      </c>
      <c r="L339" s="38">
        <f>L291+L310+L329+L338</f>
        <v>1447582.0009999999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19">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19"/>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19"/>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19"/>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19"/>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19"/>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495381.37999999989</v>
      </c>
      <c r="G353" s="38">
        <f>G339</f>
        <v>164735.63</v>
      </c>
      <c r="H353" s="38">
        <f>H339</f>
        <v>362981.141</v>
      </c>
      <c r="I353" s="38">
        <f>I339</f>
        <v>154398.93</v>
      </c>
      <c r="J353" s="38">
        <f>J339</f>
        <v>265938.19999999995</v>
      </c>
      <c r="K353" s="38">
        <f>K339+K352</f>
        <v>4146.7199999999993</v>
      </c>
      <c r="L353" s="38">
        <f>L339+L352</f>
        <v>1447582.0009999999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527279.37</v>
      </c>
      <c r="I359" s="18"/>
      <c r="J359" s="18"/>
      <c r="K359" s="18"/>
      <c r="L359" s="13">
        <f>SUM(F359:K359)</f>
        <v>527279.37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236893.63</v>
      </c>
      <c r="I361" s="18"/>
      <c r="J361" s="18"/>
      <c r="K361" s="18"/>
      <c r="L361" s="13">
        <f>SUM(F361:K361)</f>
        <v>236893.63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0">SUM(F359:F362)</f>
        <v>0</v>
      </c>
      <c r="G363" s="38">
        <f t="shared" si="20"/>
        <v>0</v>
      </c>
      <c r="H363" s="38">
        <f t="shared" si="20"/>
        <v>764173</v>
      </c>
      <c r="I363" s="38">
        <f t="shared" si="20"/>
        <v>0</v>
      </c>
      <c r="J363" s="38">
        <f t="shared" si="20"/>
        <v>0</v>
      </c>
      <c r="K363" s="38">
        <f t="shared" si="20"/>
        <v>0</v>
      </c>
      <c r="L363" s="38">
        <f t="shared" si="20"/>
        <v>764173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1">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1"/>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1"/>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1"/>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1"/>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1"/>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1"/>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2">SUM(G375:G382)</f>
        <v>0</v>
      </c>
      <c r="H383" s="97">
        <f t="shared" si="22"/>
        <v>0</v>
      </c>
      <c r="I383" s="38">
        <f t="shared" si="22"/>
        <v>0</v>
      </c>
      <c r="J383" s="38">
        <f t="shared" si="22"/>
        <v>0</v>
      </c>
      <c r="K383" s="38">
        <f t="shared" si="22"/>
        <v>0</v>
      </c>
      <c r="L383" s="38">
        <f t="shared" si="22"/>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3">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3"/>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3"/>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3"/>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3"/>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3"/>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4">SUM(F396:K396)</f>
        <v>0</v>
      </c>
      <c r="M396" s="8"/>
      <c r="N396" s="165"/>
    </row>
    <row r="397" spans="1:14" s="3" customFormat="1" ht="12.2" customHeight="1" x14ac:dyDescent="0.15">
      <c r="A397" s="62" t="s">
        <v>557</v>
      </c>
      <c r="B397" s="2" t="s">
        <v>381</v>
      </c>
      <c r="C397" s="6">
        <v>9</v>
      </c>
      <c r="D397" s="2" t="s">
        <v>432</v>
      </c>
      <c r="E397" s="6"/>
      <c r="F397" s="18"/>
      <c r="G397" s="18">
        <f>75000+25000</f>
        <v>100000</v>
      </c>
      <c r="H397" s="18"/>
      <c r="I397" s="18"/>
      <c r="J397" s="23" t="s">
        <v>288</v>
      </c>
      <c r="K397" s="23" t="s">
        <v>288</v>
      </c>
      <c r="L397" s="13">
        <f t="shared" si="24"/>
        <v>100000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4"/>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4"/>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4"/>
        <v>0</v>
      </c>
      <c r="M400" s="8"/>
      <c r="N400" s="165"/>
    </row>
    <row r="401" spans="1:21" s="3" customFormat="1" ht="12.2" customHeight="1" thickBot="1" x14ac:dyDescent="0.2">
      <c r="A401" s="62" t="s">
        <v>510</v>
      </c>
      <c r="B401" s="2" t="s">
        <v>381</v>
      </c>
      <c r="C401" s="6">
        <v>13</v>
      </c>
      <c r="D401" s="2" t="s">
        <v>432</v>
      </c>
      <c r="E401" s="6"/>
      <c r="F401" s="18"/>
      <c r="G401" s="18">
        <v>5000</v>
      </c>
      <c r="H401" s="18"/>
      <c r="I401" s="18"/>
      <c r="J401" s="23" t="s">
        <v>288</v>
      </c>
      <c r="K401" s="23" t="s">
        <v>288</v>
      </c>
      <c r="L401" s="13">
        <f t="shared" si="24"/>
        <v>5000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105000</v>
      </c>
      <c r="H402" s="38">
        <f>SUM(H396:H401)</f>
        <v>0</v>
      </c>
      <c r="I402" s="38">
        <f>SUM(I396:I401)</f>
        <v>0</v>
      </c>
      <c r="J402" s="42" t="s">
        <v>288</v>
      </c>
      <c r="K402" s="42" t="s">
        <v>288</v>
      </c>
      <c r="L402" s="38">
        <f>SUM(L396:L401)</f>
        <v>105000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105000</v>
      </c>
      <c r="H409" s="38">
        <f>H394+H402+H408</f>
        <v>0</v>
      </c>
      <c r="I409" s="38">
        <f>I394+I402+I408</f>
        <v>0</v>
      </c>
      <c r="J409" s="23" t="s">
        <v>288</v>
      </c>
      <c r="K409" s="23" t="s">
        <v>288</v>
      </c>
      <c r="L409" s="38">
        <f>L394+L402+L408</f>
        <v>105000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5">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f>151398.9-31329.25</f>
        <v>120069.65</v>
      </c>
      <c r="L415" s="13">
        <f t="shared" si="25"/>
        <v>120069.65</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5"/>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5"/>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5"/>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5"/>
        <v>0</v>
      </c>
      <c r="M419" s="8"/>
      <c r="N419" s="165"/>
    </row>
    <row r="420" spans="1:21" s="3" customFormat="1" ht="12.2" customHeight="1" thickTop="1" x14ac:dyDescent="0.15">
      <c r="A420" s="116" t="s">
        <v>471</v>
      </c>
      <c r="B420" s="6">
        <v>17</v>
      </c>
      <c r="C420" s="6">
        <v>7</v>
      </c>
      <c r="D420" s="2" t="s">
        <v>432</v>
      </c>
      <c r="E420" s="37">
        <v>5251</v>
      </c>
      <c r="F420" s="97">
        <f t="shared" ref="F420:L420" si="26">SUM(F414:F419)</f>
        <v>0</v>
      </c>
      <c r="G420" s="97">
        <f t="shared" si="26"/>
        <v>0</v>
      </c>
      <c r="H420" s="97">
        <f t="shared" si="26"/>
        <v>0</v>
      </c>
      <c r="I420" s="97">
        <f t="shared" si="26"/>
        <v>0</v>
      </c>
      <c r="J420" s="97">
        <f t="shared" si="26"/>
        <v>0</v>
      </c>
      <c r="K420" s="97">
        <f t="shared" si="26"/>
        <v>120069.65</v>
      </c>
      <c r="L420" s="38">
        <f t="shared" si="26"/>
        <v>120069.65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7">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7"/>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7"/>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7"/>
        <v>0</v>
      </c>
      <c r="M425" s="8"/>
      <c r="N425" s="165"/>
    </row>
    <row r="426" spans="1:21" s="3" customFormat="1" ht="12.2" customHeight="1" x14ac:dyDescent="0.15">
      <c r="A426" s="62" t="s">
        <v>559</v>
      </c>
      <c r="B426" s="6">
        <v>17</v>
      </c>
      <c r="C426" s="6">
        <v>12</v>
      </c>
      <c r="D426" s="2" t="s">
        <v>432</v>
      </c>
      <c r="E426" s="6"/>
      <c r="F426" s="18"/>
      <c r="G426" s="18"/>
      <c r="H426" s="18"/>
      <c r="I426" s="18"/>
      <c r="J426" s="18"/>
      <c r="K426" s="18">
        <v>31329.25</v>
      </c>
      <c r="L426" s="13">
        <f t="shared" si="27"/>
        <v>31329.25</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7"/>
        <v>0</v>
      </c>
      <c r="M427" s="8"/>
      <c r="N427" s="165"/>
    </row>
    <row r="428" spans="1:21" s="11" customFormat="1" ht="12.2" customHeight="1" thickTop="1" x14ac:dyDescent="0.15">
      <c r="A428" s="116" t="s">
        <v>470</v>
      </c>
      <c r="B428" s="6">
        <v>17</v>
      </c>
      <c r="C428" s="6">
        <v>14</v>
      </c>
      <c r="D428" s="2" t="s">
        <v>432</v>
      </c>
      <c r="E428" s="37">
        <v>5252</v>
      </c>
      <c r="F428" s="38">
        <f t="shared" ref="F428:L428" si="28">SUM(F422:F427)</f>
        <v>0</v>
      </c>
      <c r="G428" s="38">
        <f t="shared" si="28"/>
        <v>0</v>
      </c>
      <c r="H428" s="38">
        <f t="shared" si="28"/>
        <v>0</v>
      </c>
      <c r="I428" s="38">
        <f t="shared" si="28"/>
        <v>0</v>
      </c>
      <c r="J428" s="38">
        <f t="shared" si="28"/>
        <v>0</v>
      </c>
      <c r="K428" s="38">
        <f t="shared" si="28"/>
        <v>31329.25</v>
      </c>
      <c r="L428" s="38">
        <f t="shared" si="28"/>
        <v>31329.25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29">SUM(F430:F433)</f>
        <v>0</v>
      </c>
      <c r="G434" s="38">
        <f t="shared" si="29"/>
        <v>0</v>
      </c>
      <c r="H434" s="38">
        <f t="shared" si="29"/>
        <v>0</v>
      </c>
      <c r="I434" s="38">
        <f t="shared" si="29"/>
        <v>0</v>
      </c>
      <c r="J434" s="38">
        <f t="shared" si="29"/>
        <v>0</v>
      </c>
      <c r="K434" s="38">
        <f t="shared" si="29"/>
        <v>0</v>
      </c>
      <c r="L434" s="38">
        <f t="shared" si="29"/>
        <v>0</v>
      </c>
      <c r="M434" s="8"/>
      <c r="N434" s="165"/>
    </row>
    <row r="435" spans="1:14" s="3" customFormat="1" ht="12.2" customHeight="1" thickTop="1" x14ac:dyDescent="0.15">
      <c r="A435" s="61" t="s">
        <v>422</v>
      </c>
      <c r="B435" s="6">
        <v>17</v>
      </c>
      <c r="C435" s="6">
        <v>20</v>
      </c>
      <c r="D435" s="2" t="s">
        <v>432</v>
      </c>
      <c r="E435" s="37"/>
      <c r="F435" s="38">
        <f t="shared" ref="F435:L435" si="30">F420+F428+F434</f>
        <v>0</v>
      </c>
      <c r="G435" s="38">
        <f t="shared" si="30"/>
        <v>0</v>
      </c>
      <c r="H435" s="38">
        <f t="shared" si="30"/>
        <v>0</v>
      </c>
      <c r="I435" s="38">
        <f t="shared" si="30"/>
        <v>0</v>
      </c>
      <c r="J435" s="38">
        <f t="shared" si="30"/>
        <v>0</v>
      </c>
      <c r="K435" s="38">
        <f t="shared" si="30"/>
        <v>151398.9</v>
      </c>
      <c r="L435" s="38">
        <f t="shared" si="30"/>
        <v>151398.9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1">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1"/>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f>911080.31</f>
        <v>911080.31</v>
      </c>
      <c r="G442" s="18"/>
      <c r="H442" s="18"/>
      <c r="I442" s="13">
        <f t="shared" si="31"/>
        <v>911080.31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1"/>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1"/>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1"/>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1"/>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911080.31</v>
      </c>
      <c r="G447" s="13">
        <f>SUM(G440:G446)</f>
        <v>0</v>
      </c>
      <c r="H447" s="13">
        <f>SUM(H440:H446)</f>
        <v>0</v>
      </c>
      <c r="I447" s="13">
        <f>SUM(I440:I446)</f>
        <v>911080.31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2">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2"/>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2"/>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2"/>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2"/>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911080.31</v>
      </c>
      <c r="G460" s="18"/>
      <c r="H460" s="18"/>
      <c r="I460" s="13">
        <f t="shared" si="32"/>
        <v>911080.31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911080.31</v>
      </c>
      <c r="G461" s="65">
        <f>SUM(G455:G460)</f>
        <v>0</v>
      </c>
      <c r="H461" s="65">
        <f>SUM(H455:H460)</f>
        <v>0</v>
      </c>
      <c r="I461" s="65">
        <f>SUM(I455:I460)</f>
        <v>911080.31</v>
      </c>
      <c r="J461" s="23" t="s">
        <v>288</v>
      </c>
      <c r="K461" s="23" t="s">
        <v>288</v>
      </c>
      <c r="L461" s="23" t="s">
        <v>288</v>
      </c>
      <c r="N461" s="131"/>
    </row>
    <row r="462" spans="1:86" ht="12.2" customHeight="1" thickTop="1" x14ac:dyDescent="0.2">
      <c r="A462" s="40" t="s">
        <v>424</v>
      </c>
      <c r="B462" s="41">
        <v>18</v>
      </c>
      <c r="C462" s="64">
        <v>21</v>
      </c>
      <c r="D462" s="114" t="s">
        <v>432</v>
      </c>
      <c r="E462" s="64"/>
      <c r="F462" s="39">
        <f>F453+F461</f>
        <v>911080.31</v>
      </c>
      <c r="G462" s="39">
        <f>G453+G461</f>
        <v>0</v>
      </c>
      <c r="H462" s="39">
        <f>H453+H461</f>
        <v>0</v>
      </c>
      <c r="I462" s="39">
        <f>I453+I461</f>
        <v>911080.31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1689316.45</v>
      </c>
      <c r="G466" s="18">
        <v>53094.25</v>
      </c>
      <c r="H466" s="18">
        <v>297267.43</v>
      </c>
      <c r="I466" s="18"/>
      <c r="J466" s="18">
        <v>954312.82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27440873.23</f>
        <v>27440873.23</v>
      </c>
      <c r="G469" s="18">
        <v>827873.11</v>
      </c>
      <c r="H469" s="18">
        <f>1143799.99+59856+44500+226898.09+1384.02</f>
        <v>1476438.1</v>
      </c>
      <c r="I469" s="18"/>
      <c r="J469" s="18">
        <f>105000</f>
        <v>105000</v>
      </c>
      <c r="K469" s="23" t="s">
        <v>288</v>
      </c>
      <c r="L469" s="23" t="s">
        <v>288</v>
      </c>
      <c r="N469" s="131"/>
    </row>
    <row r="470" spans="1:14" ht="12.2" customHeight="1" x14ac:dyDescent="0.2">
      <c r="A470" s="71" t="s">
        <v>611</v>
      </c>
      <c r="B470" s="22">
        <v>19</v>
      </c>
      <c r="C470" s="31">
        <v>3</v>
      </c>
      <c r="D470" s="2" t="s">
        <v>432</v>
      </c>
      <c r="E470" s="31"/>
      <c r="F470" s="18"/>
      <c r="G470" s="18"/>
      <c r="H470" s="18"/>
      <c r="I470" s="18"/>
      <c r="J470" s="18">
        <v>7850.32</v>
      </c>
      <c r="K470" s="23" t="s">
        <v>288</v>
      </c>
      <c r="L470" s="23" t="s">
        <v>288</v>
      </c>
      <c r="N470" s="131"/>
    </row>
    <row r="471" spans="1:14" ht="12.2" customHeight="1" x14ac:dyDescent="0.2">
      <c r="A471" s="32" t="s">
        <v>425</v>
      </c>
      <c r="B471" s="22">
        <v>19</v>
      </c>
      <c r="C471" s="31">
        <v>4</v>
      </c>
      <c r="D471" s="2" t="s">
        <v>432</v>
      </c>
      <c r="E471" s="31"/>
      <c r="F471" s="19">
        <f>SUM(F469:F470)</f>
        <v>27440873.23</v>
      </c>
      <c r="G471" s="19">
        <f>SUM(G469:G470)</f>
        <v>827873.11</v>
      </c>
      <c r="H471" s="19">
        <f>SUM(H469:H470)</f>
        <v>1476438.1</v>
      </c>
      <c r="I471" s="19">
        <f>SUM(I469:I470)</f>
        <v>0</v>
      </c>
      <c r="J471" s="19">
        <f>SUM(J469:J470)</f>
        <v>112850.32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27610413.460000001</v>
      </c>
      <c r="G473" s="18">
        <v>764173</v>
      </c>
      <c r="H473" s="18">
        <f>1143799.99+59856+44483.19+199442.82</f>
        <v>1447582</v>
      </c>
      <c r="I473" s="18"/>
      <c r="J473" s="18">
        <v>151398.9</v>
      </c>
      <c r="K473" s="23" t="s">
        <v>288</v>
      </c>
      <c r="L473" s="23" t="s">
        <v>288</v>
      </c>
      <c r="N473" s="131"/>
    </row>
    <row r="474" spans="1:14" ht="12.2" customHeight="1" x14ac:dyDescent="0.2">
      <c r="A474" s="71" t="s">
        <v>613</v>
      </c>
      <c r="B474" s="22">
        <v>19</v>
      </c>
      <c r="C474" s="31">
        <v>6</v>
      </c>
      <c r="D474" s="2" t="s">
        <v>432</v>
      </c>
      <c r="E474" s="31"/>
      <c r="F474" s="18"/>
      <c r="G474" s="18"/>
      <c r="H474" s="18"/>
      <c r="I474" s="18"/>
      <c r="J474" s="18">
        <v>4683.93</v>
      </c>
      <c r="K474" s="23" t="s">
        <v>288</v>
      </c>
      <c r="L474" s="23" t="s">
        <v>288</v>
      </c>
      <c r="N474" s="131"/>
    </row>
    <row r="475" spans="1:14" ht="12.2" customHeight="1" x14ac:dyDescent="0.2">
      <c r="A475" s="32" t="s">
        <v>426</v>
      </c>
      <c r="B475" s="22">
        <v>19</v>
      </c>
      <c r="C475" s="31">
        <v>7</v>
      </c>
      <c r="D475" s="2" t="s">
        <v>432</v>
      </c>
      <c r="E475" s="31"/>
      <c r="F475" s="19">
        <f>SUM(F473:F474)</f>
        <v>27610413.460000001</v>
      </c>
      <c r="G475" s="19">
        <f>SUM(G473:G474)</f>
        <v>764173</v>
      </c>
      <c r="H475" s="19">
        <f>SUM(H473:H474)</f>
        <v>1447582</v>
      </c>
      <c r="I475" s="19">
        <f>SUM(I473:I474)</f>
        <v>0</v>
      </c>
      <c r="J475" s="19">
        <f>SUM(J473:J474)</f>
        <v>156082.82999999999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1519776.2199999988</v>
      </c>
      <c r="G477" s="19">
        <f>(G466+G471)- G475</f>
        <v>116794.35999999999</v>
      </c>
      <c r="H477" s="19">
        <f>(H466+H471)- H475</f>
        <v>326123.53000000003</v>
      </c>
      <c r="I477" s="19">
        <f>(I466+I471)- I475</f>
        <v>0</v>
      </c>
      <c r="J477" s="19">
        <f>(J466+J471)- J475</f>
        <v>911080.30999999994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v>25</v>
      </c>
      <c r="H491" s="111">
        <v>25</v>
      </c>
      <c r="I491" s="111">
        <v>25</v>
      </c>
      <c r="J491" s="111"/>
      <c r="K491" s="23" t="s">
        <v>288</v>
      </c>
      <c r="L491" s="23" t="s">
        <v>288</v>
      </c>
      <c r="N491" s="131"/>
    </row>
    <row r="492" spans="1:14" ht="12.2" customHeight="1" x14ac:dyDescent="0.2">
      <c r="A492" s="21" t="s">
        <v>615</v>
      </c>
      <c r="B492" s="22">
        <v>20</v>
      </c>
      <c r="C492" s="22">
        <v>2</v>
      </c>
      <c r="D492" s="2" t="s">
        <v>432</v>
      </c>
      <c r="E492" s="22"/>
      <c r="F492" s="112" t="s">
        <v>1802</v>
      </c>
      <c r="G492" s="112" t="s">
        <v>1803</v>
      </c>
      <c r="H492" s="111">
        <v>0</v>
      </c>
      <c r="I492" s="111">
        <v>0</v>
      </c>
      <c r="J492" s="111"/>
      <c r="K492" s="23" t="s">
        <v>288</v>
      </c>
      <c r="L492" s="23" t="s">
        <v>288</v>
      </c>
      <c r="N492" s="131"/>
    </row>
    <row r="493" spans="1:14" ht="12.2" customHeight="1" x14ac:dyDescent="0.2">
      <c r="A493" s="21" t="s">
        <v>616</v>
      </c>
      <c r="B493" s="22">
        <v>20</v>
      </c>
      <c r="C493" s="22">
        <v>3</v>
      </c>
      <c r="D493" s="2" t="s">
        <v>432</v>
      </c>
      <c r="E493" s="22"/>
      <c r="F493" s="112" t="s">
        <v>1804</v>
      </c>
      <c r="G493" s="112" t="s">
        <v>1805</v>
      </c>
      <c r="H493" s="111">
        <v>0</v>
      </c>
      <c r="I493" s="111">
        <v>0</v>
      </c>
      <c r="J493" s="111"/>
      <c r="K493" s="23" t="s">
        <v>288</v>
      </c>
      <c r="L493" s="23" t="s">
        <v>288</v>
      </c>
      <c r="N493" s="131"/>
    </row>
    <row r="494" spans="1:14" ht="12.2" customHeight="1" x14ac:dyDescent="0.2">
      <c r="A494" s="21" t="s">
        <v>617</v>
      </c>
      <c r="B494" s="22">
        <v>20</v>
      </c>
      <c r="C494" s="22">
        <v>4</v>
      </c>
      <c r="D494" s="2" t="s">
        <v>432</v>
      </c>
      <c r="E494" s="22"/>
      <c r="F494" s="18">
        <v>2012334</v>
      </c>
      <c r="G494" s="18">
        <v>445000</v>
      </c>
      <c r="H494" s="18">
        <v>10000000</v>
      </c>
      <c r="I494" s="18">
        <v>7358000</v>
      </c>
      <c r="J494" s="18"/>
      <c r="K494" s="23" t="s">
        <v>288</v>
      </c>
      <c r="L494" s="23" t="s">
        <v>288</v>
      </c>
      <c r="N494" s="131"/>
    </row>
    <row r="495" spans="1:14" ht="12.2" customHeight="1" x14ac:dyDescent="0.2">
      <c r="A495" s="21" t="s">
        <v>618</v>
      </c>
      <c r="B495" s="22">
        <v>20</v>
      </c>
      <c r="C495" s="22">
        <v>5</v>
      </c>
      <c r="D495" s="2" t="s">
        <v>432</v>
      </c>
      <c r="E495" s="22"/>
      <c r="F495" s="18">
        <v>2.59</v>
      </c>
      <c r="G495" s="18">
        <v>3.01</v>
      </c>
      <c r="H495" s="18">
        <v>4.12</v>
      </c>
      <c r="I495" s="18">
        <v>4.26</v>
      </c>
      <c r="J495" s="18"/>
      <c r="K495" s="23" t="s">
        <v>288</v>
      </c>
      <c r="L495" s="23" t="s">
        <v>288</v>
      </c>
      <c r="N495" s="131"/>
    </row>
    <row r="496" spans="1:14" ht="12.2" customHeight="1" x14ac:dyDescent="0.2">
      <c r="A496" s="21" t="s">
        <v>619</v>
      </c>
      <c r="B496" s="22">
        <v>20</v>
      </c>
      <c r="C496" s="22">
        <v>6</v>
      </c>
      <c r="D496" s="2" t="s">
        <v>432</v>
      </c>
      <c r="E496" s="22"/>
      <c r="F496" s="18">
        <v>1292382.8799999999</v>
      </c>
      <c r="G496" s="18">
        <v>3350522.31</v>
      </c>
      <c r="H496" s="18">
        <v>8479239.1199999992</v>
      </c>
      <c r="I496" s="18">
        <v>6358422.6900000004</v>
      </c>
      <c r="J496" s="18"/>
      <c r="K496" s="19">
        <f>SUM(F496:J496)</f>
        <v>19480567</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3">SUM(F497:J497)</f>
        <v>0</v>
      </c>
      <c r="L497" s="23" t="s">
        <v>288</v>
      </c>
      <c r="N497" s="131"/>
    </row>
    <row r="498" spans="1:14" ht="12.2" customHeight="1" x14ac:dyDescent="0.2">
      <c r="A498" s="21" t="s">
        <v>621</v>
      </c>
      <c r="B498" s="22">
        <v>20</v>
      </c>
      <c r="C498" s="22">
        <v>8</v>
      </c>
      <c r="D498" s="2" t="s">
        <v>432</v>
      </c>
      <c r="E498" s="22"/>
      <c r="F498" s="18">
        <f>69181.81</f>
        <v>69181.81</v>
      </c>
      <c r="G498" s="18">
        <v>137493.56</v>
      </c>
      <c r="H498" s="18">
        <v>298795.15000000002</v>
      </c>
      <c r="I498" s="18">
        <v>212636.76</v>
      </c>
      <c r="J498" s="18"/>
      <c r="K498" s="19">
        <f t="shared" si="33"/>
        <v>718107.28</v>
      </c>
      <c r="L498" s="23" t="s">
        <v>288</v>
      </c>
      <c r="N498" s="131"/>
    </row>
    <row r="499" spans="1:14" ht="12.2" customHeight="1" x14ac:dyDescent="0.2">
      <c r="A499" s="144" t="s">
        <v>622</v>
      </c>
      <c r="B499" s="145">
        <v>20</v>
      </c>
      <c r="C499" s="145">
        <v>9</v>
      </c>
      <c r="D499" s="146" t="s">
        <v>432</v>
      </c>
      <c r="E499" s="145"/>
      <c r="F499" s="147">
        <f>292382.88-69181.81</f>
        <v>223201.07</v>
      </c>
      <c r="G499" s="147">
        <f>3350522.31-137493.56</f>
        <v>3213028.75</v>
      </c>
      <c r="H499" s="147">
        <f>8479239.12-298795.15</f>
        <v>8180443.9699999988</v>
      </c>
      <c r="I499" s="147">
        <f>6358422.69-212636.76</f>
        <v>6145785.9300000006</v>
      </c>
      <c r="J499" s="147"/>
      <c r="K499" s="148">
        <f t="shared" si="33"/>
        <v>17762459.719999999</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3"/>
        <v>0</v>
      </c>
      <c r="L500" s="23" t="s">
        <v>288</v>
      </c>
      <c r="N500" s="131"/>
    </row>
    <row r="501" spans="1:14" ht="12.2" customHeight="1" thickTop="1" x14ac:dyDescent="0.2">
      <c r="A501" s="97" t="s">
        <v>624</v>
      </c>
      <c r="B501" s="41">
        <v>20</v>
      </c>
      <c r="C501" s="41">
        <v>11</v>
      </c>
      <c r="D501" s="36" t="s">
        <v>432</v>
      </c>
      <c r="E501" s="41"/>
      <c r="F501" s="39">
        <f>SUM(F499:F500)</f>
        <v>223201.07</v>
      </c>
      <c r="G501" s="39">
        <f>SUM(G499:G500)</f>
        <v>3213028.75</v>
      </c>
      <c r="H501" s="39">
        <f>SUM(H499:H500)</f>
        <v>8180443.9699999988</v>
      </c>
      <c r="I501" s="39">
        <f>SUM(I499:I500)</f>
        <v>6145785.9300000006</v>
      </c>
      <c r="J501" s="39">
        <f>SUM(J499:J500)</f>
        <v>0</v>
      </c>
      <c r="K501" s="39">
        <f t="shared" si="33"/>
        <v>17762459.719999999</v>
      </c>
      <c r="L501" s="42" t="s">
        <v>288</v>
      </c>
      <c r="N501" s="131"/>
    </row>
    <row r="502" spans="1:14" ht="12.2" customHeight="1" x14ac:dyDescent="0.2">
      <c r="A502" s="144" t="s">
        <v>651</v>
      </c>
      <c r="B502" s="145">
        <v>20</v>
      </c>
      <c r="C502" s="145">
        <v>12</v>
      </c>
      <c r="D502" s="146" t="s">
        <v>432</v>
      </c>
      <c r="E502" s="145"/>
      <c r="F502" s="147">
        <f>75394.08+80966.44</f>
        <v>156360.52000000002</v>
      </c>
      <c r="G502" s="147"/>
      <c r="H502" s="147"/>
      <c r="I502" s="147"/>
      <c r="J502" s="147"/>
      <c r="K502" s="148">
        <f t="shared" si="33"/>
        <v>156360.52000000002</v>
      </c>
      <c r="L502" s="149" t="s">
        <v>288</v>
      </c>
      <c r="N502" s="131"/>
    </row>
    <row r="503" spans="1:14" ht="12.2" customHeight="1" thickBot="1" x14ac:dyDescent="0.25">
      <c r="A503" s="21" t="s">
        <v>625</v>
      </c>
      <c r="B503" s="22">
        <v>20</v>
      </c>
      <c r="C503" s="22">
        <v>13</v>
      </c>
      <c r="D503" s="2" t="s">
        <v>432</v>
      </c>
      <c r="E503" s="22"/>
      <c r="F503" s="18">
        <f>15047.42+14071.06</f>
        <v>29118.48</v>
      </c>
      <c r="G503" s="18"/>
      <c r="H503" s="18"/>
      <c r="I503" s="18"/>
      <c r="J503" s="18"/>
      <c r="K503" s="19">
        <f t="shared" si="33"/>
        <v>29118.48</v>
      </c>
      <c r="L503" s="23" t="s">
        <v>288</v>
      </c>
      <c r="N503" s="131"/>
    </row>
    <row r="504" spans="1:14" ht="12.2" customHeight="1" thickTop="1" x14ac:dyDescent="0.2">
      <c r="A504" s="97" t="s">
        <v>626</v>
      </c>
      <c r="B504" s="41">
        <v>20</v>
      </c>
      <c r="C504" s="41">
        <v>14</v>
      </c>
      <c r="D504" s="36" t="s">
        <v>432</v>
      </c>
      <c r="E504" s="41"/>
      <c r="F504" s="39">
        <f>SUM(F502:F503)</f>
        <v>185479.00000000003</v>
      </c>
      <c r="G504" s="39">
        <f>SUM(G502:G503)</f>
        <v>0</v>
      </c>
      <c r="H504" s="39">
        <f>SUM(H502:H503)</f>
        <v>0</v>
      </c>
      <c r="I504" s="39">
        <f>SUM(I502:I503)</f>
        <v>0</v>
      </c>
      <c r="J504" s="39">
        <f>SUM(J502:J503)</f>
        <v>0</v>
      </c>
      <c r="K504" s="39">
        <f t="shared" si="33"/>
        <v>185479.00000000003</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793996.71+935687+49441.01</f>
        <v>1779124.72</v>
      </c>
      <c r="G522" s="18">
        <f>731705.33+35083.8+127252.08+85565.56+166934.81+29018.28</f>
        <v>1175559.8600000001</v>
      </c>
      <c r="H522" s="18">
        <f>520561.99+233875.68</f>
        <v>754437.66999999993</v>
      </c>
      <c r="I522" s="18">
        <f>401.24+318.36+19230.68</f>
        <v>19950.28</v>
      </c>
      <c r="J522" s="18">
        <f>2224.47</f>
        <v>2224.4699999999998</v>
      </c>
      <c r="K522" s="18"/>
      <c r="L522" s="69">
        <f>SUM(F522:K522)</f>
        <v>3731297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292700.61+131329.13+22212.63</f>
        <v>446242.37</v>
      </c>
      <c r="G524" s="18">
        <f>212746.63+9599.86+308445.68+15985.28+61525.81+13037.2</f>
        <v>621340.46</v>
      </c>
      <c r="H524" s="18">
        <f>17459+305977.14+428641.27+13037.2</f>
        <v>765114.61</v>
      </c>
      <c r="I524" s="18">
        <f>904.76+3108639.87+999.4</f>
        <v>3110544.03</v>
      </c>
      <c r="J524" s="18"/>
      <c r="K524" s="18"/>
      <c r="L524" s="69">
        <f>SUM(F524:K524)</f>
        <v>4943241.47</v>
      </c>
      <c r="N524" s="131"/>
    </row>
    <row r="525" spans="1:14" ht="12.2" customHeight="1" thickTop="1" x14ac:dyDescent="0.2">
      <c r="A525" s="97" t="s">
        <v>63</v>
      </c>
      <c r="B525" s="41">
        <v>21</v>
      </c>
      <c r="C525" s="41">
        <v>4</v>
      </c>
      <c r="D525" s="115" t="s">
        <v>432</v>
      </c>
      <c r="E525" s="41"/>
      <c r="F525" s="81">
        <f>SUM(F522:F524)</f>
        <v>2225367.09</v>
      </c>
      <c r="G525" s="81">
        <f t="shared" ref="G525:L525" si="34">SUM(G522:G524)</f>
        <v>1796900.32</v>
      </c>
      <c r="H525" s="81">
        <f t="shared" si="34"/>
        <v>1519552.2799999998</v>
      </c>
      <c r="I525" s="81">
        <f t="shared" si="34"/>
        <v>3130494.3099999996</v>
      </c>
      <c r="J525" s="81">
        <f t="shared" si="34"/>
        <v>2224.4699999999998</v>
      </c>
      <c r="K525" s="81">
        <f t="shared" si="34"/>
        <v>0</v>
      </c>
      <c r="L525" s="70">
        <f t="shared" si="34"/>
        <v>8674538.4699999988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346285.11+101748.64</f>
        <v>448033.75</v>
      </c>
      <c r="G527" s="18">
        <f>184684.54</f>
        <v>184684.54</v>
      </c>
      <c r="H527" s="18">
        <f>661929.01+28024.03+4197.97</f>
        <v>694151.01</v>
      </c>
      <c r="I527" s="18"/>
      <c r="J527" s="18">
        <f>21.98</f>
        <v>21.98</v>
      </c>
      <c r="K527" s="18"/>
      <c r="L527" s="69">
        <f>SUM(F527:K527)</f>
        <v>1326891.28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155577.37+45713.16</f>
        <v>201290.53</v>
      </c>
      <c r="G529" s="18">
        <f>82974.22</f>
        <v>82974.22</v>
      </c>
      <c r="H529" s="18">
        <f>297388.4+28024.03+297388.4+12590.5+1886.04</f>
        <v>637277.37000000011</v>
      </c>
      <c r="I529" s="18">
        <f>9.87</f>
        <v>9.8699999999999992</v>
      </c>
      <c r="J529" s="18"/>
      <c r="K529" s="18"/>
      <c r="L529" s="69">
        <f>SUM(F529:K529)</f>
        <v>921551.99000000011</v>
      </c>
      <c r="M529" s="8"/>
      <c r="N529" s="165"/>
    </row>
    <row r="530" spans="1:14" s="3" customFormat="1" ht="12.2" customHeight="1" thickTop="1" x14ac:dyDescent="0.15">
      <c r="A530" s="97" t="s">
        <v>65</v>
      </c>
      <c r="B530" s="41">
        <v>21</v>
      </c>
      <c r="C530" s="41">
        <v>8</v>
      </c>
      <c r="D530" s="115" t="s">
        <v>432</v>
      </c>
      <c r="E530" s="41"/>
      <c r="F530" s="70">
        <f>SUM(F527:F529)</f>
        <v>649324.28</v>
      </c>
      <c r="G530" s="70">
        <f t="shared" ref="G530:L530" si="35">SUM(G527:G529)</f>
        <v>267658.76</v>
      </c>
      <c r="H530" s="70">
        <f t="shared" si="35"/>
        <v>1331428.3800000001</v>
      </c>
      <c r="I530" s="70">
        <f t="shared" si="35"/>
        <v>9.8699999999999992</v>
      </c>
      <c r="J530" s="70">
        <f t="shared" si="35"/>
        <v>21.98</v>
      </c>
      <c r="K530" s="70">
        <f t="shared" si="35"/>
        <v>0</v>
      </c>
      <c r="L530" s="70">
        <f t="shared" si="35"/>
        <v>2248443.27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107037</v>
      </c>
      <c r="G532" s="18">
        <f>67920.07</f>
        <v>67920.070000000007</v>
      </c>
      <c r="H532" s="18"/>
      <c r="I532" s="18"/>
      <c r="J532" s="18"/>
      <c r="K532" s="18"/>
      <c r="L532" s="69">
        <f>SUM(F532:K532)</f>
        <v>174957.07</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f>48089.37</f>
        <v>48089.37</v>
      </c>
      <c r="G534" s="18">
        <f>30514.81</f>
        <v>30514.81</v>
      </c>
      <c r="H534" s="18"/>
      <c r="I534" s="18"/>
      <c r="J534" s="18"/>
      <c r="K534" s="18"/>
      <c r="L534" s="69">
        <f>SUM(F534:K534)</f>
        <v>78604.180000000008</v>
      </c>
      <c r="M534" s="8"/>
      <c r="N534" s="165"/>
    </row>
    <row r="535" spans="1:14" s="3" customFormat="1" ht="12.2" customHeight="1" thickTop="1" x14ac:dyDescent="0.15">
      <c r="A535" s="97" t="s">
        <v>67</v>
      </c>
      <c r="B535" s="41">
        <v>21</v>
      </c>
      <c r="C535" s="41">
        <v>12</v>
      </c>
      <c r="D535" s="115" t="s">
        <v>432</v>
      </c>
      <c r="E535" s="41"/>
      <c r="F535" s="70">
        <f>SUM(F532:F534)</f>
        <v>155126.37</v>
      </c>
      <c r="G535" s="70">
        <f t="shared" ref="G535:L535" si="36">SUM(G532:G534)</f>
        <v>98434.880000000005</v>
      </c>
      <c r="H535" s="70">
        <f t="shared" si="36"/>
        <v>0</v>
      </c>
      <c r="I535" s="70">
        <f t="shared" si="36"/>
        <v>0</v>
      </c>
      <c r="J535" s="70">
        <f t="shared" si="36"/>
        <v>0</v>
      </c>
      <c r="K535" s="70">
        <f t="shared" si="36"/>
        <v>0</v>
      </c>
      <c r="L535" s="70">
        <f t="shared" si="36"/>
        <v>253561.25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4"/>
      <c r="G537" s="18"/>
      <c r="H537" s="18">
        <v>6531.42</v>
      </c>
      <c r="I537" s="18"/>
      <c r="J537" s="18"/>
      <c r="K537" s="18"/>
      <c r="L537" s="69">
        <f>SUM(G537:K537)</f>
        <v>6531.42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4"/>
      <c r="G539" s="18"/>
      <c r="H539" s="18">
        <v>2934.41</v>
      </c>
      <c r="I539" s="18"/>
      <c r="J539" s="18"/>
      <c r="K539" s="18"/>
      <c r="L539" s="69">
        <f>SUM(G539:K539)</f>
        <v>2934.41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7">SUM(G537:G539)</f>
        <v>0</v>
      </c>
      <c r="H540" s="70">
        <f>SUM(H537:H539)</f>
        <v>9465.83</v>
      </c>
      <c r="I540" s="70">
        <f t="shared" si="37"/>
        <v>0</v>
      </c>
      <c r="J540" s="70">
        <f t="shared" si="37"/>
        <v>0</v>
      </c>
      <c r="K540" s="70">
        <f t="shared" si="37"/>
        <v>0</v>
      </c>
      <c r="L540" s="70">
        <f t="shared" si="37"/>
        <v>9465.83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457173.78</v>
      </c>
      <c r="I542" s="18"/>
      <c r="J542" s="18"/>
      <c r="K542" s="18"/>
      <c r="L542" s="69">
        <f>SUM(F542:K542)</f>
        <v>457173.78</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205396.93</v>
      </c>
      <c r="I544" s="18"/>
      <c r="J544" s="18"/>
      <c r="K544" s="18"/>
      <c r="L544" s="69">
        <f>SUM(F544:K544)</f>
        <v>205396.93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38">SUM(G542:G544)</f>
        <v>0</v>
      </c>
      <c r="H545" s="141">
        <f t="shared" si="38"/>
        <v>662570.71</v>
      </c>
      <c r="I545" s="141">
        <f t="shared" si="38"/>
        <v>0</v>
      </c>
      <c r="J545" s="141">
        <f t="shared" si="38"/>
        <v>0</v>
      </c>
      <c r="K545" s="141">
        <f t="shared" si="38"/>
        <v>0</v>
      </c>
      <c r="L545" s="141">
        <f t="shared" si="38"/>
        <v>662570.71</v>
      </c>
      <c r="M545" s="8"/>
      <c r="N545" s="165"/>
    </row>
    <row r="546" spans="1:14" s="3" customFormat="1" ht="12.2" customHeight="1" thickTop="1" x14ac:dyDescent="0.15">
      <c r="A546" s="75" t="s">
        <v>72</v>
      </c>
      <c r="B546" s="41">
        <v>21</v>
      </c>
      <c r="C546" s="41">
        <v>21</v>
      </c>
      <c r="D546" s="115" t="s">
        <v>432</v>
      </c>
      <c r="E546" s="41"/>
      <c r="F546" s="70">
        <f>F525+F530+F535+F540+F545</f>
        <v>3029817.74</v>
      </c>
      <c r="G546" s="70">
        <f t="shared" ref="G546:L546" si="39">G525+G530+G535+G540+G545</f>
        <v>2162993.96</v>
      </c>
      <c r="H546" s="70">
        <f t="shared" si="39"/>
        <v>3523017.2</v>
      </c>
      <c r="I546" s="70">
        <f t="shared" si="39"/>
        <v>3130504.1799999997</v>
      </c>
      <c r="J546" s="70">
        <f t="shared" si="39"/>
        <v>2246.4499999999998</v>
      </c>
      <c r="K546" s="70">
        <f t="shared" si="39"/>
        <v>0</v>
      </c>
      <c r="L546" s="70">
        <f t="shared" si="39"/>
        <v>11848579.529999997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3731297</v>
      </c>
      <c r="G550" s="69">
        <f>L527</f>
        <v>1326891.28</v>
      </c>
      <c r="H550" s="69">
        <f>L532</f>
        <v>174957.07</v>
      </c>
      <c r="I550" s="69">
        <f>L537</f>
        <v>6531.42</v>
      </c>
      <c r="J550" s="69">
        <f>L542</f>
        <v>457173.78</v>
      </c>
      <c r="K550" s="69">
        <f>SUM(F550:J550)</f>
        <v>5696850.5500000007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4943241.47</v>
      </c>
      <c r="G552" s="69">
        <f>L529</f>
        <v>921551.99000000011</v>
      </c>
      <c r="H552" s="69">
        <f>L534</f>
        <v>78604.180000000008</v>
      </c>
      <c r="I552" s="69">
        <f>L539</f>
        <v>2934.41</v>
      </c>
      <c r="J552" s="69">
        <f>L544</f>
        <v>205396.93</v>
      </c>
      <c r="K552" s="69">
        <f>SUM(F552:J552)</f>
        <v>6151728.9799999995</v>
      </c>
      <c r="L552" s="23" t="s">
        <v>288</v>
      </c>
      <c r="M552" s="8"/>
      <c r="N552" s="165"/>
    </row>
    <row r="553" spans="1:14" s="3" customFormat="1" ht="12.2" customHeight="1" thickTop="1" x14ac:dyDescent="0.15">
      <c r="A553" s="126" t="s">
        <v>340</v>
      </c>
      <c r="B553" s="41">
        <v>21</v>
      </c>
      <c r="C553" s="41">
        <v>25</v>
      </c>
      <c r="D553" s="36" t="s">
        <v>432</v>
      </c>
      <c r="E553" s="41"/>
      <c r="F553" s="70">
        <f t="shared" ref="F553:K553" si="40">SUM(F550:F552)</f>
        <v>8674538.4699999988</v>
      </c>
      <c r="G553" s="70">
        <f t="shared" si="40"/>
        <v>2248443.27</v>
      </c>
      <c r="H553" s="70">
        <f t="shared" si="40"/>
        <v>253561.25</v>
      </c>
      <c r="I553" s="70">
        <f t="shared" si="40"/>
        <v>9465.83</v>
      </c>
      <c r="J553" s="70">
        <f t="shared" si="40"/>
        <v>662570.71</v>
      </c>
      <c r="K553" s="70">
        <f t="shared" si="40"/>
        <v>11848579.530000001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1">SUM(F558:F560)</f>
        <v>0</v>
      </c>
      <c r="G561" s="81">
        <f t="shared" si="41"/>
        <v>0</v>
      </c>
      <c r="H561" s="81">
        <f t="shared" si="41"/>
        <v>0</v>
      </c>
      <c r="I561" s="81">
        <f t="shared" si="41"/>
        <v>0</v>
      </c>
      <c r="J561" s="81">
        <f t="shared" si="41"/>
        <v>0</v>
      </c>
      <c r="K561" s="81">
        <f t="shared" si="41"/>
        <v>0</v>
      </c>
      <c r="L561" s="70">
        <f t="shared" si="41"/>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2">SUM(F563:F565)</f>
        <v>0</v>
      </c>
      <c r="G566" s="70">
        <f t="shared" si="42"/>
        <v>0</v>
      </c>
      <c r="H566" s="70">
        <f t="shared" si="42"/>
        <v>0</v>
      </c>
      <c r="I566" s="70">
        <f t="shared" si="42"/>
        <v>0</v>
      </c>
      <c r="J566" s="70">
        <f t="shared" si="42"/>
        <v>0</v>
      </c>
      <c r="K566" s="70">
        <f t="shared" si="42"/>
        <v>0</v>
      </c>
      <c r="L566" s="70">
        <f t="shared" si="42"/>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3">SUM(G568:G570)</f>
        <v>0</v>
      </c>
      <c r="H571" s="141">
        <f t="shared" si="43"/>
        <v>0</v>
      </c>
      <c r="I571" s="141">
        <f t="shared" si="43"/>
        <v>0</v>
      </c>
      <c r="J571" s="141">
        <f t="shared" si="43"/>
        <v>0</v>
      </c>
      <c r="K571" s="141">
        <f t="shared" si="43"/>
        <v>0</v>
      </c>
      <c r="L571" s="141">
        <f t="shared" si="43"/>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4">G561+G566+G571</f>
        <v>0</v>
      </c>
      <c r="H572" s="70">
        <f t="shared" si="44"/>
        <v>0</v>
      </c>
      <c r="I572" s="70">
        <f t="shared" si="44"/>
        <v>0</v>
      </c>
      <c r="J572" s="70">
        <f t="shared" si="44"/>
        <v>0</v>
      </c>
      <c r="K572" s="70">
        <f t="shared" si="44"/>
        <v>0</v>
      </c>
      <c r="L572" s="70">
        <f t="shared" si="44"/>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5">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5"/>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5"/>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2497.59</v>
      </c>
      <c r="G580" s="18"/>
      <c r="H580" s="18">
        <v>17459</v>
      </c>
      <c r="I580" s="69">
        <f t="shared" si="45"/>
        <v>19956.59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305977.14</v>
      </c>
      <c r="I581" s="69">
        <f t="shared" si="45"/>
        <v>305977.14</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5"/>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514312.96+6557.97</f>
        <v>520870.93</v>
      </c>
      <c r="G583" s="18"/>
      <c r="H583" s="18">
        <f>231068.15+428641.27</f>
        <v>659709.42000000004</v>
      </c>
      <c r="I583" s="69">
        <f t="shared" si="45"/>
        <v>1180580.3500000001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5"/>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5"/>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502264.28</v>
      </c>
      <c r="I586" s="69">
        <f t="shared" si="45"/>
        <v>502264.28</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5"/>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5"/>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509022.79</v>
      </c>
      <c r="I592" s="18"/>
      <c r="J592" s="18">
        <v>228691.41</v>
      </c>
      <c r="K592" s="80">
        <f t="shared" ref="K592:K598" si="46">SUM(H592:J592)</f>
        <v>737714.2</v>
      </c>
      <c r="L592" s="23" t="s">
        <v>288</v>
      </c>
      <c r="M592" s="8"/>
      <c r="N592" s="165"/>
    </row>
    <row r="593" spans="1:14" s="3" customFormat="1" ht="12.2" customHeight="1" x14ac:dyDescent="0.15">
      <c r="A593" s="3" t="s">
        <v>638</v>
      </c>
      <c r="B593" s="22">
        <v>23</v>
      </c>
      <c r="C593" s="22">
        <v>2</v>
      </c>
      <c r="D593" s="2" t="s">
        <v>432</v>
      </c>
      <c r="E593" s="22"/>
      <c r="F593" s="78">
        <v>2722</v>
      </c>
      <c r="G593" s="79" t="s">
        <v>97</v>
      </c>
      <c r="H593" s="18">
        <v>457173.78</v>
      </c>
      <c r="I593" s="18"/>
      <c r="J593" s="18">
        <v>205396.93</v>
      </c>
      <c r="K593" s="80">
        <f t="shared" si="46"/>
        <v>662570.71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95407.6</v>
      </c>
      <c r="K594" s="80">
        <f t="shared" si="46"/>
        <v>95407.6</v>
      </c>
      <c r="L594" s="23" t="s">
        <v>288</v>
      </c>
      <c r="M594" s="8"/>
      <c r="N594" s="165"/>
    </row>
    <row r="595" spans="1:14" s="3" customFormat="1" ht="12.2" customHeight="1" x14ac:dyDescent="0.15">
      <c r="A595" s="21" t="s">
        <v>640</v>
      </c>
      <c r="B595" s="22">
        <v>23</v>
      </c>
      <c r="C595" s="22">
        <v>4</v>
      </c>
      <c r="D595" s="2" t="s">
        <v>432</v>
      </c>
      <c r="E595" s="22"/>
      <c r="F595" s="78">
        <v>2724</v>
      </c>
      <c r="G595" s="79" t="s">
        <v>97</v>
      </c>
      <c r="H595" s="18">
        <v>8555</v>
      </c>
      <c r="I595" s="18"/>
      <c r="J595" s="18">
        <v>35536.03</v>
      </c>
      <c r="K595" s="80">
        <f t="shared" si="46"/>
        <v>44091.03</v>
      </c>
      <c r="L595" s="23" t="s">
        <v>288</v>
      </c>
      <c r="M595" s="8"/>
      <c r="N595" s="165"/>
    </row>
    <row r="596" spans="1:14" s="3" customFormat="1" ht="12.2" customHeight="1" x14ac:dyDescent="0.15">
      <c r="A596" s="103" t="s">
        <v>652</v>
      </c>
      <c r="B596" s="22">
        <v>23</v>
      </c>
      <c r="C596" s="22">
        <v>5</v>
      </c>
      <c r="D596" s="2" t="s">
        <v>432</v>
      </c>
      <c r="E596" s="22"/>
      <c r="F596" s="78">
        <v>2725</v>
      </c>
      <c r="G596" s="79" t="s">
        <v>97</v>
      </c>
      <c r="H596" s="18">
        <f>2106.8+2543.4+4298+0.02</f>
        <v>8948.2200000000012</v>
      </c>
      <c r="I596" s="18"/>
      <c r="J596" s="18">
        <v>898.1</v>
      </c>
      <c r="K596" s="80">
        <f t="shared" si="46"/>
        <v>9846.3200000000015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6"/>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6"/>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983699.79</v>
      </c>
      <c r="I599" s="81">
        <f>SUM(I592:I598)</f>
        <v>0</v>
      </c>
      <c r="J599" s="81">
        <f>SUM(J592:J598)</f>
        <v>565930.06999999995</v>
      </c>
      <c r="K599" s="81">
        <f>SUM(K592:K598)</f>
        <v>1549629.86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49729.81+107880.45+154803.65</f>
        <v>312413.91000000003</v>
      </c>
      <c r="I605" s="18"/>
      <c r="J605" s="18">
        <f>61942.09+48468.03+66382.76</f>
        <v>176792.88</v>
      </c>
      <c r="K605" s="80">
        <f>SUM(H605:J605)</f>
        <v>489206.79000000004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312413.91000000003</v>
      </c>
      <c r="I606" s="81">
        <f>SUM(I603:I605)</f>
        <v>0</v>
      </c>
      <c r="J606" s="81">
        <f>SUM(J603:J605)</f>
        <v>176792.88</v>
      </c>
      <c r="K606" s="81">
        <f>SUM(K603:K605)</f>
        <v>489206.79000000004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7">SUM(F612:F614)</f>
        <v>0</v>
      </c>
      <c r="G615" s="81">
        <f t="shared" si="47"/>
        <v>0</v>
      </c>
      <c r="H615" s="81">
        <f t="shared" si="47"/>
        <v>0</v>
      </c>
      <c r="I615" s="81">
        <f t="shared" si="47"/>
        <v>0</v>
      </c>
      <c r="J615" s="81">
        <f t="shared" si="47"/>
        <v>0</v>
      </c>
      <c r="K615" s="81">
        <f t="shared" si="47"/>
        <v>0</v>
      </c>
      <c r="L615" s="70">
        <f t="shared" si="47"/>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1917940.55</v>
      </c>
      <c r="H618" s="80">
        <f>SUM(F52)</f>
        <v>1917940.55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233435.34</v>
      </c>
      <c r="H619" s="80">
        <f>SUM(G52)</f>
        <v>233435.33999999997</v>
      </c>
      <c r="I619" s="87" t="s">
        <v>876</v>
      </c>
      <c r="J619" s="80">
        <f>G619-H619</f>
        <v>0</v>
      </c>
      <c r="K619" s="80"/>
      <c r="L619" s="80"/>
      <c r="M619" s="8"/>
    </row>
    <row r="620" spans="1:14" s="3" customFormat="1" ht="12.2" customHeight="1" x14ac:dyDescent="0.15">
      <c r="A620" s="74"/>
      <c r="B620" s="22"/>
      <c r="C620" s="22"/>
      <c r="D620" s="22"/>
      <c r="E620" s="22"/>
      <c r="F620" s="87" t="s">
        <v>685</v>
      </c>
      <c r="G620" s="80">
        <f>SUM(H19)</f>
        <v>319813.99</v>
      </c>
      <c r="H620" s="80">
        <f>SUM(H52)</f>
        <v>319813.99</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911080.31</v>
      </c>
      <c r="H622" s="80">
        <f>SUM(J52)</f>
        <v>911080.31</v>
      </c>
      <c r="I622" s="87" t="s">
        <v>879</v>
      </c>
      <c r="J622" s="80">
        <f>G622-H622</f>
        <v>0</v>
      </c>
      <c r="K622" s="80"/>
      <c r="L622" s="80"/>
      <c r="M622" s="8"/>
    </row>
    <row r="623" spans="1:14" s="3" customFormat="1" ht="12.2" customHeight="1" x14ac:dyDescent="0.15">
      <c r="A623" s="74"/>
      <c r="B623" s="22"/>
      <c r="C623" s="22"/>
      <c r="D623" s="22"/>
      <c r="E623" s="22"/>
      <c r="F623" s="87" t="s">
        <v>865</v>
      </c>
      <c r="G623" s="80">
        <f>F51</f>
        <v>1519776.22</v>
      </c>
      <c r="H623" s="80">
        <f>F477</f>
        <v>1519776.2199999988</v>
      </c>
      <c r="I623" s="87" t="s">
        <v>101</v>
      </c>
      <c r="J623" s="80">
        <f t="shared" ref="J623:J656" si="48">G623-H623</f>
        <v>0</v>
      </c>
      <c r="K623" s="80"/>
      <c r="L623" s="80"/>
      <c r="M623" s="8"/>
    </row>
    <row r="624" spans="1:14" s="3" customFormat="1" ht="12.2" customHeight="1" x14ac:dyDescent="0.15">
      <c r="A624" s="74"/>
      <c r="B624" s="22"/>
      <c r="C624" s="85"/>
      <c r="D624" s="85"/>
      <c r="E624" s="85"/>
      <c r="F624" s="85" t="s">
        <v>866</v>
      </c>
      <c r="G624" s="80">
        <f>G51</f>
        <v>116794.36</v>
      </c>
      <c r="H624" s="80">
        <f>G477</f>
        <v>116794.35999999999</v>
      </c>
      <c r="I624" s="87" t="s">
        <v>102</v>
      </c>
      <c r="J624" s="80">
        <f t="shared" si="48"/>
        <v>0</v>
      </c>
      <c r="K624" s="80"/>
      <c r="L624" s="80"/>
      <c r="M624" s="8"/>
    </row>
    <row r="625" spans="1:13" s="3" customFormat="1" ht="12.2" customHeight="1" x14ac:dyDescent="0.15">
      <c r="A625" s="74"/>
      <c r="B625" s="22"/>
      <c r="C625" s="22"/>
      <c r="D625" s="22"/>
      <c r="E625" s="22"/>
      <c r="F625" s="86" t="s">
        <v>867</v>
      </c>
      <c r="G625" s="80">
        <f>H51</f>
        <v>326123.53000000003</v>
      </c>
      <c r="H625" s="80">
        <f>H477</f>
        <v>326123.53000000003</v>
      </c>
      <c r="I625" s="87" t="s">
        <v>103</v>
      </c>
      <c r="J625" s="80">
        <f t="shared" si="48"/>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48"/>
        <v>0</v>
      </c>
      <c r="K626" s="80"/>
      <c r="L626" s="80"/>
      <c r="M626" s="8"/>
    </row>
    <row r="627" spans="1:13" s="3" customFormat="1" ht="12.2" customHeight="1" x14ac:dyDescent="0.15">
      <c r="A627" s="21"/>
      <c r="B627" s="22"/>
      <c r="C627" s="22"/>
      <c r="D627" s="22"/>
      <c r="E627" s="22"/>
      <c r="F627" s="86" t="s">
        <v>869</v>
      </c>
      <c r="G627" s="80">
        <f>J51</f>
        <v>911080.31</v>
      </c>
      <c r="H627" s="80">
        <f>J477</f>
        <v>911080.30999999994</v>
      </c>
      <c r="I627" s="87" t="s">
        <v>105</v>
      </c>
      <c r="J627" s="80">
        <f t="shared" si="48"/>
        <v>0</v>
      </c>
      <c r="K627" s="67"/>
      <c r="L627" s="69"/>
      <c r="M627" s="8"/>
    </row>
    <row r="628" spans="1:13" s="3" customFormat="1" ht="12.2" customHeight="1" x14ac:dyDescent="0.15">
      <c r="A628" s="21"/>
      <c r="B628" s="22"/>
      <c r="C628" s="22"/>
      <c r="D628" s="22"/>
      <c r="E628" s="22"/>
      <c r="F628" s="86" t="s">
        <v>658</v>
      </c>
      <c r="G628" s="80">
        <f>F194</f>
        <v>27440873.230000004</v>
      </c>
      <c r="H628" s="80">
        <f>SUM(F469)</f>
        <v>27440873.23</v>
      </c>
      <c r="I628" s="87" t="s">
        <v>106</v>
      </c>
      <c r="J628" s="80">
        <f>G628-H628</f>
        <v>0</v>
      </c>
      <c r="K628" s="67"/>
      <c r="L628" s="69"/>
      <c r="M628" s="8"/>
    </row>
    <row r="629" spans="1:13" s="3" customFormat="1" ht="12.2" customHeight="1" x14ac:dyDescent="0.15">
      <c r="A629" s="21"/>
      <c r="B629" s="22"/>
      <c r="C629" s="22"/>
      <c r="D629" s="22"/>
      <c r="E629" s="22"/>
      <c r="F629" s="86" t="s">
        <v>659</v>
      </c>
      <c r="G629" s="80">
        <f>G194</f>
        <v>827873.11</v>
      </c>
      <c r="H629" s="80">
        <f>SUM(G469)</f>
        <v>827873.11</v>
      </c>
      <c r="I629" s="87" t="s">
        <v>107</v>
      </c>
      <c r="J629" s="80">
        <f>G629-H629</f>
        <v>0</v>
      </c>
      <c r="K629" s="67"/>
      <c r="L629" s="69"/>
      <c r="M629" s="8"/>
    </row>
    <row r="630" spans="1:13" s="3" customFormat="1" ht="12.2" customHeight="1" x14ac:dyDescent="0.15">
      <c r="A630" s="21"/>
      <c r="B630" s="22"/>
      <c r="C630" s="22"/>
      <c r="D630" s="22"/>
      <c r="E630" s="22"/>
      <c r="F630" s="86" t="s">
        <v>660</v>
      </c>
      <c r="G630" s="80">
        <f>H194</f>
        <v>1476438.1</v>
      </c>
      <c r="H630" s="80">
        <f>SUM(H469)</f>
        <v>1476438.1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105000</v>
      </c>
      <c r="H632" s="80">
        <f>SUM(J469)</f>
        <v>105000</v>
      </c>
      <c r="I632" s="87" t="s">
        <v>110</v>
      </c>
      <c r="J632" s="80">
        <f>G632-H632</f>
        <v>0</v>
      </c>
      <c r="K632" s="67"/>
      <c r="L632" s="69"/>
      <c r="M632" s="8"/>
    </row>
    <row r="633" spans="1:13" s="3" customFormat="1" ht="12.2" customHeight="1" x14ac:dyDescent="0.15">
      <c r="A633" s="21"/>
      <c r="B633" s="22"/>
      <c r="C633" s="22"/>
      <c r="D633" s="22"/>
      <c r="E633" s="22"/>
      <c r="F633" s="86" t="s">
        <v>394</v>
      </c>
      <c r="G633" s="80">
        <f>SUM(L272)</f>
        <v>27610413.459999997</v>
      </c>
      <c r="H633" s="80">
        <f>SUM(F473)</f>
        <v>27610413.460000001</v>
      </c>
      <c r="I633" s="87" t="s">
        <v>111</v>
      </c>
      <c r="J633" s="80">
        <f t="shared" si="48"/>
        <v>0</v>
      </c>
      <c r="K633" s="67"/>
      <c r="L633" s="69"/>
      <c r="M633" s="8"/>
    </row>
    <row r="634" spans="1:13" s="3" customFormat="1" ht="12.2" customHeight="1" x14ac:dyDescent="0.15">
      <c r="A634" s="21"/>
      <c r="B634" s="22"/>
      <c r="C634" s="22"/>
      <c r="D634" s="22"/>
      <c r="E634" s="22"/>
      <c r="F634" s="86" t="s">
        <v>395</v>
      </c>
      <c r="G634" s="80">
        <f>SUM(L353)</f>
        <v>1447582.0009999999</v>
      </c>
      <c r="H634" s="80">
        <f>SUM(H473)</f>
        <v>1447582</v>
      </c>
      <c r="I634" s="87" t="s">
        <v>112</v>
      </c>
      <c r="J634" s="80">
        <f>G634-H634</f>
        <v>9.9999993108212948E-4</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764173</v>
      </c>
      <c r="H636" s="80">
        <f>SUM(G473)</f>
        <v>764173</v>
      </c>
      <c r="I636" s="87" t="s">
        <v>114</v>
      </c>
      <c r="J636" s="80">
        <f t="shared" si="48"/>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48"/>
        <v>0</v>
      </c>
      <c r="K637" s="67"/>
      <c r="L637" s="69"/>
      <c r="M637" s="8"/>
    </row>
    <row r="638" spans="1:13" s="3" customFormat="1" ht="12.2" customHeight="1" x14ac:dyDescent="0.15">
      <c r="A638" s="117"/>
      <c r="B638" s="118"/>
      <c r="C638" s="118"/>
      <c r="D638" s="118"/>
      <c r="E638" s="118"/>
      <c r="F638" s="119" t="s">
        <v>477</v>
      </c>
      <c r="G638" s="108">
        <f>SUM(L409)</f>
        <v>105000</v>
      </c>
      <c r="H638" s="108">
        <f>SUM(J469)</f>
        <v>105000</v>
      </c>
      <c r="I638" s="120" t="s">
        <v>110</v>
      </c>
      <c r="J638" s="108">
        <f t="shared" si="48"/>
        <v>0</v>
      </c>
      <c r="K638" s="121"/>
      <c r="L638" s="122"/>
      <c r="M638" s="8"/>
    </row>
    <row r="639" spans="1:13" s="3" customFormat="1" ht="12.2" customHeight="1" x14ac:dyDescent="0.15">
      <c r="A639" s="117"/>
      <c r="B639" s="118"/>
      <c r="C639" s="118"/>
      <c r="D639" s="118"/>
      <c r="E639" s="118"/>
      <c r="F639" s="119" t="s">
        <v>478</v>
      </c>
      <c r="G639" s="108">
        <f>SUM(L435)</f>
        <v>151398.9</v>
      </c>
      <c r="H639" s="108">
        <f>SUM(J473)</f>
        <v>151398.9</v>
      </c>
      <c r="I639" s="120" t="s">
        <v>117</v>
      </c>
      <c r="J639" s="108">
        <f t="shared" si="48"/>
        <v>0</v>
      </c>
      <c r="K639" s="121"/>
      <c r="L639" s="122"/>
      <c r="M639" s="8"/>
    </row>
    <row r="640" spans="1:13" s="3" customFormat="1" ht="12.2" customHeight="1" x14ac:dyDescent="0.15">
      <c r="A640" s="21"/>
      <c r="B640" s="22"/>
      <c r="C640" s="22"/>
      <c r="D640" s="22"/>
      <c r="E640" s="22"/>
      <c r="F640" s="86" t="s">
        <v>118</v>
      </c>
      <c r="G640" s="80">
        <f>SUM(F447)</f>
        <v>911080.31</v>
      </c>
      <c r="H640" s="80">
        <f>SUM(F462)</f>
        <v>911080.31</v>
      </c>
      <c r="I640" s="87" t="s">
        <v>841</v>
      </c>
      <c r="J640" s="80">
        <f t="shared" si="48"/>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48"/>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48"/>
        <v>0</v>
      </c>
      <c r="K642" s="67"/>
      <c r="L642" s="69"/>
      <c r="M642" s="8"/>
    </row>
    <row r="643" spans="1:13" s="3" customFormat="1" ht="12.2" customHeight="1" x14ac:dyDescent="0.15">
      <c r="A643" s="21"/>
      <c r="B643" s="22"/>
      <c r="C643" s="22"/>
      <c r="D643" s="22"/>
      <c r="E643" s="22"/>
      <c r="F643" s="86" t="s">
        <v>121</v>
      </c>
      <c r="G643" s="80">
        <f>SUM(I447)</f>
        <v>911080.31</v>
      </c>
      <c r="H643" s="80">
        <f>SUM(I462)</f>
        <v>911080.31</v>
      </c>
      <c r="I643" s="87" t="s">
        <v>844</v>
      </c>
      <c r="J643" s="80">
        <f t="shared" si="48"/>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48"/>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48"/>
        <v>0</v>
      </c>
      <c r="K645" s="67"/>
      <c r="L645" s="69"/>
      <c r="M645" s="8"/>
    </row>
    <row r="646" spans="1:13" s="3" customFormat="1" ht="12.2" customHeight="1" x14ac:dyDescent="0.15">
      <c r="A646" s="21"/>
      <c r="B646" s="22"/>
      <c r="C646" s="22"/>
      <c r="D646" s="22"/>
      <c r="E646" s="22"/>
      <c r="F646" s="86" t="s">
        <v>664</v>
      </c>
      <c r="G646" s="80">
        <f>J184</f>
        <v>105000</v>
      </c>
      <c r="H646" s="80">
        <f>G409</f>
        <v>105000</v>
      </c>
      <c r="I646" s="87" t="s">
        <v>481</v>
      </c>
      <c r="J646" s="80">
        <f t="shared" si="48"/>
        <v>0</v>
      </c>
      <c r="K646" s="67"/>
      <c r="L646" s="69"/>
      <c r="M646" s="8"/>
    </row>
    <row r="647" spans="1:13" s="3" customFormat="1" ht="12.2" customHeight="1" x14ac:dyDescent="0.15">
      <c r="A647" s="21"/>
      <c r="B647" s="22"/>
      <c r="C647" s="22"/>
      <c r="D647" s="22"/>
      <c r="E647" s="22"/>
      <c r="F647" s="86" t="s">
        <v>662</v>
      </c>
      <c r="G647" s="80">
        <f>J194</f>
        <v>105000</v>
      </c>
      <c r="H647" s="80">
        <f>L409</f>
        <v>105000</v>
      </c>
      <c r="I647" s="87" t="s">
        <v>477</v>
      </c>
      <c r="J647" s="80">
        <f t="shared" si="48"/>
        <v>0</v>
      </c>
      <c r="K647" s="67"/>
      <c r="L647" s="69"/>
      <c r="M647" s="8"/>
    </row>
    <row r="648" spans="1:13" s="3" customFormat="1" ht="12.2" customHeight="1" x14ac:dyDescent="0.15">
      <c r="A648" s="21"/>
      <c r="B648" s="22"/>
      <c r="C648" s="22"/>
      <c r="D648" s="22"/>
      <c r="E648" s="22"/>
      <c r="F648" s="86" t="s">
        <v>51</v>
      </c>
      <c r="G648" s="80">
        <f>K599</f>
        <v>1549629.86</v>
      </c>
      <c r="H648" s="80">
        <f>L209+L227+L245</f>
        <v>1549629.8599999999</v>
      </c>
      <c r="I648" s="87" t="s">
        <v>396</v>
      </c>
      <c r="J648" s="80">
        <f t="shared" si="48"/>
        <v>0</v>
      </c>
      <c r="K648" s="67"/>
      <c r="L648" s="69"/>
      <c r="M648" s="8"/>
    </row>
    <row r="649" spans="1:13" s="3" customFormat="1" ht="12.2" customHeight="1" x14ac:dyDescent="0.15">
      <c r="A649" s="21"/>
      <c r="B649" s="22"/>
      <c r="C649" s="22"/>
      <c r="D649" s="22"/>
      <c r="E649" s="22"/>
      <c r="F649" s="86" t="s">
        <v>52</v>
      </c>
      <c r="G649" s="80">
        <f>K606</f>
        <v>489206.79000000004</v>
      </c>
      <c r="H649" s="80">
        <f>(J258+J339)-(J256+J337)</f>
        <v>489206.78999999992</v>
      </c>
      <c r="I649" s="87" t="s">
        <v>699</v>
      </c>
      <c r="J649" s="80">
        <f t="shared" si="48"/>
        <v>0</v>
      </c>
      <c r="K649" s="67"/>
      <c r="L649" s="69"/>
      <c r="M649" s="8"/>
    </row>
    <row r="650" spans="1:13" s="3" customFormat="1" ht="12.2" customHeight="1" x14ac:dyDescent="0.15">
      <c r="A650" s="21"/>
      <c r="B650" s="22"/>
      <c r="C650" s="22"/>
      <c r="D650" s="22"/>
      <c r="E650" s="22"/>
      <c r="F650" s="86" t="s">
        <v>387</v>
      </c>
      <c r="G650" s="80">
        <f>L209</f>
        <v>983699.78999999992</v>
      </c>
      <c r="H650" s="80">
        <f>H599</f>
        <v>983699.79</v>
      </c>
      <c r="I650" s="87" t="s">
        <v>388</v>
      </c>
      <c r="J650" s="80">
        <f t="shared" si="48"/>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48"/>
        <v>0</v>
      </c>
      <c r="K651" s="67"/>
      <c r="L651" s="69"/>
      <c r="M651" s="8"/>
    </row>
    <row r="652" spans="1:13" s="3" customFormat="1" ht="12.2" customHeight="1" x14ac:dyDescent="0.15">
      <c r="A652" s="21"/>
      <c r="B652" s="22"/>
      <c r="C652" s="22"/>
      <c r="D652" s="22"/>
      <c r="E652" s="22"/>
      <c r="F652" s="86" t="s">
        <v>393</v>
      </c>
      <c r="G652" s="80">
        <f>L245</f>
        <v>565930.07000000007</v>
      </c>
      <c r="H652" s="80">
        <f>J599</f>
        <v>565930.06999999995</v>
      </c>
      <c r="I652" s="87" t="s">
        <v>390</v>
      </c>
      <c r="J652" s="80">
        <f t="shared" si="48"/>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48"/>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48"/>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48"/>
        <v>0</v>
      </c>
      <c r="K655" s="67"/>
      <c r="L655" s="69"/>
      <c r="M655" s="8"/>
    </row>
    <row r="656" spans="1:13" s="3" customFormat="1" ht="12.2" customHeight="1" x14ac:dyDescent="0.15">
      <c r="A656" s="21"/>
      <c r="B656" s="22"/>
      <c r="C656" s="22"/>
      <c r="D656" s="22"/>
      <c r="E656" s="22"/>
      <c r="F656" s="86" t="s">
        <v>668</v>
      </c>
      <c r="G656" s="80">
        <f>J180+J182</f>
        <v>105000</v>
      </c>
      <c r="H656" s="80">
        <f>K267+K348</f>
        <v>105000</v>
      </c>
      <c r="I656" s="87" t="s">
        <v>400</v>
      </c>
      <c r="J656" s="80">
        <f t="shared" si="48"/>
        <v>0</v>
      </c>
      <c r="K656" s="67"/>
      <c r="L656" s="69"/>
      <c r="M656" s="9"/>
    </row>
    <row r="657" spans="1:13" s="3" customFormat="1" ht="12.2" customHeight="1" x14ac:dyDescent="0.15">
      <c r="F657" s="25" t="s">
        <v>122</v>
      </c>
      <c r="G657" s="13"/>
      <c r="H657" s="80">
        <f>SUM(G618:G656)-SUM(H618:H656)</f>
        <v>1.0000020265579224E-3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18212934.259999998</v>
      </c>
      <c r="G661" s="13">
        <f>(L230+L310+L360)</f>
        <v>0</v>
      </c>
      <c r="H661" s="13">
        <f>(L248+L329+L361)</f>
        <v>9743532.4409999996</v>
      </c>
      <c r="I661" s="13">
        <f>SUM(F661:H661)</f>
        <v>27956466.700999998</v>
      </c>
      <c r="J661" s="13"/>
      <c r="K661" s="13"/>
      <c r="L661" s="13"/>
      <c r="M661" s="9"/>
    </row>
    <row r="662" spans="1:13" s="3" customFormat="1" ht="12.2" customHeight="1" x14ac:dyDescent="0.2">
      <c r="A662" s="1" t="s">
        <v>127</v>
      </c>
      <c r="F662" s="13">
        <f>(L359/IF(SUM(L359:L361)=0,1,SUM(L359:L361))*(SUM(G97:G110)))</f>
        <v>11643.75</v>
      </c>
      <c r="G662" s="13">
        <f>(L360/IF(SUM(L359:L361)=0,1,SUM(L359:L361))*(SUM(G97:G110)))</f>
        <v>0</v>
      </c>
      <c r="H662" s="13">
        <f>(L361/IF(SUM(L359:L361)=0,1,SUM(L359:L361))*(SUM(G97:G110)))</f>
        <v>5231.25</v>
      </c>
      <c r="I662" s="13">
        <f>SUM(F662:H662)</f>
        <v>16875</v>
      </c>
      <c r="J662"/>
      <c r="K662" s="13"/>
      <c r="L662" s="13"/>
      <c r="M662" s="8"/>
    </row>
    <row r="663" spans="1:13" s="3" customFormat="1" ht="12.2" customHeight="1" x14ac:dyDescent="0.2">
      <c r="A663" s="1" t="s">
        <v>128</v>
      </c>
      <c r="F663" s="13">
        <f>(L209+L288)-(J209+J288)</f>
        <v>983699.78999999992</v>
      </c>
      <c r="G663" s="13">
        <f>(L227+L307)-(J227+J307)</f>
        <v>0</v>
      </c>
      <c r="H663" s="13">
        <f>(L245+L326)-(J245+J326)</f>
        <v>565930.07000000007</v>
      </c>
      <c r="I663" s="13">
        <f>SUM(F663:H663)</f>
        <v>1549629.8599999999</v>
      </c>
      <c r="J663"/>
      <c r="K663" s="13"/>
      <c r="L663" s="13"/>
      <c r="M663" s="9"/>
    </row>
    <row r="664" spans="1:13" s="3" customFormat="1" ht="12.2" customHeight="1" x14ac:dyDescent="0.15">
      <c r="A664" s="142" t="s">
        <v>129</v>
      </c>
      <c r="B664" s="124"/>
      <c r="C664" s="124"/>
      <c r="D664" s="124"/>
      <c r="E664" s="124"/>
      <c r="F664" s="143">
        <f>SUM(F576:F588)+SUM(H603:H605)+SUM(L612)</f>
        <v>835782.43</v>
      </c>
      <c r="G664" s="143">
        <f>SUM(G576:G588)+SUM(I603:I605)+L613</f>
        <v>0</v>
      </c>
      <c r="H664" s="143">
        <f>SUM(H576:H588)+SUM(J603:J605)+L614</f>
        <v>1662202.7200000002</v>
      </c>
      <c r="I664" s="13">
        <f>SUM(F664:H664)</f>
        <v>2497985.1500000004</v>
      </c>
      <c r="J664" s="13"/>
      <c r="K664" s="13"/>
      <c r="L664" s="13"/>
      <c r="M664" s="9"/>
    </row>
    <row r="665" spans="1:13" s="3" customFormat="1" ht="12.2" customHeight="1" x14ac:dyDescent="0.15">
      <c r="A665" s="1" t="s">
        <v>130</v>
      </c>
      <c r="F665" s="13">
        <f>F661-SUM(F662:F664)</f>
        <v>16381808.289999997</v>
      </c>
      <c r="G665" s="13">
        <f>G661-SUM(G662:G664)</f>
        <v>0</v>
      </c>
      <c r="H665" s="13">
        <f>H661-SUM(H662:H664)</f>
        <v>7510168.4009999996</v>
      </c>
      <c r="I665" s="13">
        <f>I661-SUM(I662:I664)</f>
        <v>23891976.690999996</v>
      </c>
      <c r="J665" s="13"/>
      <c r="K665" s="13"/>
      <c r="L665" s="13"/>
      <c r="M665" s="8"/>
    </row>
    <row r="666" spans="1:13" s="3" customFormat="1" ht="12.2" customHeight="1" x14ac:dyDescent="0.2">
      <c r="A666" s="1" t="s">
        <v>131</v>
      </c>
      <c r="F666" s="183">
        <v>726.94</v>
      </c>
      <c r="G666" s="184"/>
      <c r="H666" s="184">
        <v>306.95</v>
      </c>
      <c r="I666" s="13">
        <f>SUM(F666:H666)</f>
        <v>1033.8900000000001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22535.3</v>
      </c>
      <c r="G668" s="13" t="e">
        <f>ROUND(G665/G666,2)</f>
        <v>#DIV/0!</v>
      </c>
      <c r="H668" s="13">
        <f>ROUND(H665/H666,2)</f>
        <v>24467.07</v>
      </c>
      <c r="I668" s="13">
        <f>ROUND(I665/I666,2)</f>
        <v>23108.82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-16</v>
      </c>
      <c r="I671" s="13">
        <f>SUM(F671:H671)</f>
        <v>-16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22535.3</v>
      </c>
      <c r="G673" s="13" t="e">
        <f>ROUND((G665+G670)/(G666+G671),2)</f>
        <v>#DIV/0!</v>
      </c>
      <c r="H673" s="13">
        <f>ROUND((H665+H670)/(H666+H671),2)</f>
        <v>25812.57</v>
      </c>
      <c r="I673" s="13">
        <f>ROUND((I665+I670)/(I666+I671),2)</f>
        <v>23472.06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4" sqref="E14"/>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68816.460000000006</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24574.93+5940.46+750</f>
        <v>31265.39</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f>609.36+10000+1154.53+2349.5+4233.85</f>
        <v>18347.240000000002</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f>16145.18+3058.65</f>
        <v>19203.830000000002</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Mascoma Valley Regional</v>
      </c>
      <c r="C5" s="302"/>
      <c r="D5" s="302"/>
      <c r="E5" s="302"/>
      <c r="F5" s="302"/>
    </row>
    <row r="8" spans="1:9" ht="18" x14ac:dyDescent="0.25">
      <c r="A8" s="240" t="s">
        <v>1568</v>
      </c>
      <c r="F8" s="247" t="s">
        <v>1586</v>
      </c>
    </row>
    <row r="9" spans="1:9" ht="15" x14ac:dyDescent="0.2">
      <c r="A9" s="238" t="s">
        <v>1569</v>
      </c>
      <c r="B9" s="241">
        <f>'DOE25'!G97</f>
        <v>16875</v>
      </c>
      <c r="F9" s="238" t="s">
        <v>1582</v>
      </c>
    </row>
    <row r="10" spans="1:9" ht="15" x14ac:dyDescent="0.2">
      <c r="A10" s="238" t="s">
        <v>1570</v>
      </c>
      <c r="B10" s="241">
        <f>'DOE25'!G112-'DOE25'!G97</f>
        <v>0</v>
      </c>
      <c r="F10" s="238" t="s">
        <v>1583</v>
      </c>
    </row>
    <row r="11" spans="1:9" ht="15" x14ac:dyDescent="0.2">
      <c r="A11" s="238" t="s">
        <v>1571</v>
      </c>
      <c r="B11" s="241">
        <f>'DOE25'!G140</f>
        <v>12651.11</v>
      </c>
      <c r="F11" s="238" t="s">
        <v>1584</v>
      </c>
    </row>
    <row r="12" spans="1:9" ht="15" x14ac:dyDescent="0.2">
      <c r="A12" s="238" t="s">
        <v>1572</v>
      </c>
      <c r="B12" s="241">
        <f>'DOE25'!G170</f>
        <v>798347</v>
      </c>
      <c r="F12" s="238" t="s">
        <v>1585</v>
      </c>
    </row>
    <row r="13" spans="1:9" ht="15" x14ac:dyDescent="0.2">
      <c r="A13" s="238" t="s">
        <v>1573</v>
      </c>
      <c r="B13" s="241">
        <f>'DOE25'!G193-'DOE25'!G180</f>
        <v>0</v>
      </c>
      <c r="F13" s="238" t="s">
        <v>1595</v>
      </c>
    </row>
    <row r="14" spans="1:9" ht="18" x14ac:dyDescent="0.25">
      <c r="A14" s="240" t="s">
        <v>732</v>
      </c>
      <c r="B14" s="242">
        <f>SUM(B9:B13)</f>
        <v>827873.11</v>
      </c>
    </row>
    <row r="16" spans="1:9" ht="18" x14ac:dyDescent="0.25">
      <c r="A16" s="240" t="s">
        <v>786</v>
      </c>
      <c r="F16" s="247" t="s">
        <v>1587</v>
      </c>
    </row>
    <row r="17" spans="1:6" ht="15" x14ac:dyDescent="0.2">
      <c r="A17" s="238" t="s">
        <v>1574</v>
      </c>
      <c r="B17" s="241">
        <f>'DOE25'!L363-'DOE25'!L362</f>
        <v>764173</v>
      </c>
      <c r="F17" s="238" t="s">
        <v>1588</v>
      </c>
    </row>
    <row r="18" spans="1:6" ht="15" x14ac:dyDescent="0.2">
      <c r="A18" s="238" t="s">
        <v>1575</v>
      </c>
      <c r="B18" s="251"/>
      <c r="F18" s="247" t="s">
        <v>1612</v>
      </c>
    </row>
    <row r="19" spans="1:6" ht="18" x14ac:dyDescent="0.25">
      <c r="A19" s="240" t="s">
        <v>725</v>
      </c>
      <c r="B19" s="242">
        <f>SUM(B17:B18)</f>
        <v>764173</v>
      </c>
    </row>
    <row r="21" spans="1:6" ht="18.75" thickBot="1" x14ac:dyDescent="0.3">
      <c r="A21" s="240" t="s">
        <v>1576</v>
      </c>
    </row>
    <row r="22" spans="1:6" ht="18.75" thickTop="1" x14ac:dyDescent="0.25">
      <c r="A22" s="240" t="s">
        <v>1577</v>
      </c>
      <c r="B22" s="246">
        <f>B14-B19</f>
        <v>63700.109999999986</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53094.25</v>
      </c>
      <c r="F31" s="238" t="s">
        <v>1592</v>
      </c>
    </row>
    <row r="33" spans="1:6" ht="15" x14ac:dyDescent="0.2">
      <c r="A33" s="238" t="s">
        <v>1635</v>
      </c>
      <c r="B33" s="241">
        <f>'DOE25'!G477</f>
        <v>116794.35999999999</v>
      </c>
      <c r="F33" s="238" t="s">
        <v>1593</v>
      </c>
    </row>
    <row r="36" spans="1:6" ht="15" x14ac:dyDescent="0.2">
      <c r="A36" s="238" t="s">
        <v>1579</v>
      </c>
      <c r="B36" s="252">
        <v>41483.82</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Mascoma Valley Regional</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'DOE25'!F198+'DOE25'!F216+'DOE25'!F234+'DOE25'!F296+'DOE25'!F277+'DOE25'!F315</f>
        <v>5548000.8700000001</v>
      </c>
      <c r="C9" s="167">
        <f>'DOE25'!G198+'DOE25'!G216+'DOE25'!G234+'DOE25'!G296+'DOE25'!G277+'DOE25'!G315</f>
        <v>3234829.4299999997</v>
      </c>
    </row>
    <row r="10" spans="1:3" x14ac:dyDescent="0.2">
      <c r="A10" t="s">
        <v>775</v>
      </c>
      <c r="B10" s="177">
        <f>5016287.43+57627.95</f>
        <v>5073915.38</v>
      </c>
      <c r="C10" s="177">
        <f>360660.85+266977.04+445066.07+455906.04+8000.25+3948.45+15979.09+13194.25+1940.1+79781.19+64221.59+116991.94+109354.38+70.3+1296.35+228883.63+182858.61+331136.18+314529.6+2029.34+3502.28</f>
        <v>3006327.5300000003</v>
      </c>
    </row>
    <row r="11" spans="1:3" x14ac:dyDescent="0.2">
      <c r="A11" t="s">
        <v>776</v>
      </c>
      <c r="B11" s="177">
        <f>252824.9+2500</f>
        <v>255324.9</v>
      </c>
      <c r="C11" s="177">
        <f>20049.55+909.58+49721+948.75+1330.76+334.66+8263.73+5289.08+5160.72+52.73+1651.63+3835.82+0.01+5805.56+182.2+351.52</f>
        <v>103887.3</v>
      </c>
    </row>
    <row r="12" spans="1:3" x14ac:dyDescent="0.2">
      <c r="A12" t="s">
        <v>777</v>
      </c>
      <c r="B12" s="177">
        <f>31025+12715.6+175019.99</f>
        <v>218760.59</v>
      </c>
      <c r="C12" s="177">
        <f>85000+43.24+12097.78+972.8+1236.67+681.36+4172.66+103.93+182.24+410.7+627.3+2818.38+2996.53+1403.99+10027.15+585.01+1254.86</f>
        <v>124614.6</v>
      </c>
    </row>
    <row r="13" spans="1:3" x14ac:dyDescent="0.2">
      <c r="A13" t="str">
        <f>IF(B9=B13,IF(C9=C13,"Check Total OK","Check Total Error"),"Check Total Error")</f>
        <v>Check Total OK</v>
      </c>
      <c r="B13" s="169">
        <f>SUM(B10:B12)</f>
        <v>5548000.8700000001</v>
      </c>
      <c r="C13" s="169">
        <f>SUM(C10:C12)</f>
        <v>3234829.43</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'DOE25'!F199+'DOE25'!F217+'DOE25'!F235+'DOE25'!F297+'DOE25'!F278+'DOE25'!F316</f>
        <v>3045871.74</v>
      </c>
      <c r="C18" s="167">
        <f>'DOE25'!G199+'DOE25'!G217+'DOE25'!G235+'DOE25'!G297+'DOE25'!G278+'DOE25'!G316</f>
        <v>1886737.6700000002</v>
      </c>
    </row>
    <row r="19" spans="1:3" x14ac:dyDescent="0.2">
      <c r="A19" t="s">
        <v>775</v>
      </c>
      <c r="B19" s="177">
        <f>1524390.67+1954.51+1200.69+61013.93</f>
        <v>1588559.7999999998</v>
      </c>
      <c r="C19" s="177">
        <f>50631.09+92044.53+117392.66+77924.66+130952.87+2452.45+4522.58+6193.95+4727.94+6318.86+27829.38+17811.43+17175.29+23568.7+21317+30087.93+2597.04+49978.1+50928.91+66027.8+61525.81+149.52+410.84+210.53+252.38+5914.5+4213.47</f>
        <v>873160.2200000002</v>
      </c>
    </row>
    <row r="20" spans="1:3" x14ac:dyDescent="0.2">
      <c r="A20" t="s">
        <v>776</v>
      </c>
      <c r="B20" s="177">
        <f>1211500.01+27265+1533.68+18838+11369.64</f>
        <v>1270506.3299999998</v>
      </c>
      <c r="C20" s="177">
        <v>830350.3</v>
      </c>
    </row>
    <row r="21" spans="1:3" x14ac:dyDescent="0.2">
      <c r="A21" t="s">
        <v>777</v>
      </c>
      <c r="B21" s="177">
        <f>100162+54695+25550.64+2279.2+2500+1618.77</f>
        <v>186805.61000000002</v>
      </c>
      <c r="C21" s="177">
        <v>183227.15</v>
      </c>
    </row>
    <row r="22" spans="1:3" x14ac:dyDescent="0.2">
      <c r="A22" t="str">
        <f>IF(B18=B22,IF(C18=C22,"Check Total OK","Check Total Error"),"Check Total Error")</f>
        <v>Check Total OK</v>
      </c>
      <c r="B22" s="169">
        <f>SUM(B19:B21)</f>
        <v>3045871.7399999998</v>
      </c>
      <c r="C22" s="169">
        <f>SUM(C19:C21)</f>
        <v>1886737.6700000002</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156550.33000000002</v>
      </c>
      <c r="C36" s="173">
        <f>'DOE25'!G201+'DOE25'!G219+'DOE25'!G237+'DOE25'!G280+'DOE25'!G299+'DOE25'!G318</f>
        <v>34170.329999999994</v>
      </c>
    </row>
    <row r="37" spans="1:3" x14ac:dyDescent="0.2">
      <c r="A37" t="s">
        <v>775</v>
      </c>
      <c r="B37" s="177">
        <v>60023.08</v>
      </c>
      <c r="C37" s="177">
        <f>1530.05+19203</f>
        <v>20733.05</v>
      </c>
    </row>
    <row r="38" spans="1:3" x14ac:dyDescent="0.2">
      <c r="A38" t="s">
        <v>776</v>
      </c>
      <c r="B38" s="177">
        <v>2250</v>
      </c>
      <c r="C38" s="177">
        <f>475.51+281.1+740.89</f>
        <v>1497.5</v>
      </c>
    </row>
    <row r="39" spans="1:3" x14ac:dyDescent="0.2">
      <c r="A39" t="s">
        <v>777</v>
      </c>
      <c r="B39" s="177">
        <f>154300.33-60023.08</f>
        <v>94277.249999999985</v>
      </c>
      <c r="C39" s="177">
        <f>11767.65+172.13</f>
        <v>11939.779999999999</v>
      </c>
    </row>
    <row r="40" spans="1:3" x14ac:dyDescent="0.2">
      <c r="A40" t="str">
        <f>IF(B36=B40,IF(C36=C40,"Check Total OK","Check Total Error"),"Check Total Error")</f>
        <v>Check Total OK</v>
      </c>
      <c r="B40" s="169">
        <f>SUM(B37:B39)</f>
        <v>156550.32999999999</v>
      </c>
      <c r="C40" s="169">
        <f>SUM(C37:C39)</f>
        <v>34170.33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algorithmName="SHA-512" hashValue="Sbxvg0ESrg0AoMoByyvznwyaSe1IUfKnu9ZpRL+JiaoFz/FTAzwQ/DQ7eqBSkpUVu+RymkjkOHnlS1NmrUJE/g==" saltValue="QyvEpmUvxasCxyU2Rt5xQw=="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Mascoma Valley Regional</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16712263.789999999</v>
      </c>
      <c r="D5" s="19">
        <f>SUM('DOE25'!L198:L201)+SUM('DOE25'!L216:L219)+SUM('DOE25'!L234:L237)-F5-G5-H5</f>
        <v>16485019.149999999</v>
      </c>
      <c r="E5" s="180"/>
      <c r="F5" s="181"/>
      <c r="G5" s="19">
        <f>SUM('DOE25'!J198:J201)+SUM('DOE25'!J216:J219)+SUM('DOE25'!J234:J237)</f>
        <v>212756.3</v>
      </c>
      <c r="H5" s="19">
        <f>SUM('DOE25'!K198:K201)+SUM('DOE25'!K216:K219)+SUM('DOE25'!K234:K237)</f>
        <v>14488.34</v>
      </c>
      <c r="I5" s="192"/>
    </row>
    <row r="6" spans="1:9" x14ac:dyDescent="0.2">
      <c r="A6" s="31">
        <v>2100</v>
      </c>
      <c r="B6" t="s">
        <v>796</v>
      </c>
      <c r="C6" s="206">
        <f t="shared" si="0"/>
        <v>1660469.8499999999</v>
      </c>
      <c r="D6" s="19">
        <f>'DOE25'!L203+'DOE25'!L221+'DOE25'!L239-F6-G6-H6</f>
        <v>1655393.4999999998</v>
      </c>
      <c r="E6" s="180"/>
      <c r="F6" s="181"/>
      <c r="G6" s="19">
        <f>'DOE25'!J203+'DOE25'!J221+'DOE25'!J239</f>
        <v>0</v>
      </c>
      <c r="H6" s="19">
        <f>'DOE25'!K203+'DOE25'!K221+'DOE25'!K239</f>
        <v>5076.3500000000004</v>
      </c>
      <c r="I6" s="192"/>
    </row>
    <row r="7" spans="1:9" x14ac:dyDescent="0.2">
      <c r="A7" s="31">
        <v>2200</v>
      </c>
      <c r="B7" t="s">
        <v>821</v>
      </c>
      <c r="C7" s="206">
        <f t="shared" si="0"/>
        <v>510413.26</v>
      </c>
      <c r="D7" s="19">
        <f>'DOE25'!L204+'DOE25'!L222+'DOE25'!L240-F7-G7-H7</f>
        <v>509718.03</v>
      </c>
      <c r="E7" s="180"/>
      <c r="F7" s="181"/>
      <c r="G7" s="19">
        <f>'DOE25'!J204+'DOE25'!J222+'DOE25'!J240</f>
        <v>695.23</v>
      </c>
      <c r="H7" s="19">
        <f>'DOE25'!K204+'DOE25'!K222+'DOE25'!K240</f>
        <v>0</v>
      </c>
      <c r="I7" s="192"/>
    </row>
    <row r="8" spans="1:9" x14ac:dyDescent="0.2">
      <c r="A8" s="31">
        <v>2300</v>
      </c>
      <c r="B8" t="s">
        <v>797</v>
      </c>
      <c r="C8" s="206">
        <f t="shared" si="0"/>
        <v>1707957.4400000002</v>
      </c>
      <c r="D8" s="180"/>
      <c r="E8" s="19">
        <f>'DOE25'!L205+'DOE25'!L223+'DOE25'!L241-F8-G8-H8-D9-D11</f>
        <v>1678835.5100000002</v>
      </c>
      <c r="F8" s="181"/>
      <c r="G8" s="19">
        <f>'DOE25'!J205+'DOE25'!J223+'DOE25'!J241</f>
        <v>416.98</v>
      </c>
      <c r="H8" s="19">
        <f>'DOE25'!K205+'DOE25'!K223+'DOE25'!K241</f>
        <v>28704.95</v>
      </c>
      <c r="I8" s="192"/>
    </row>
    <row r="9" spans="1:9" ht="14.25" x14ac:dyDescent="0.2">
      <c r="A9" s="31">
        <v>2310</v>
      </c>
      <c r="B9" s="71" t="s">
        <v>888</v>
      </c>
      <c r="C9" s="206">
        <f t="shared" si="0"/>
        <v>0</v>
      </c>
      <c r="D9" s="181"/>
      <c r="E9" s="180"/>
      <c r="F9" s="180"/>
      <c r="G9" s="180"/>
      <c r="H9" s="180"/>
      <c r="I9" s="192"/>
    </row>
    <row r="10" spans="1:9" ht="14.25" x14ac:dyDescent="0.2">
      <c r="A10" s="31">
        <v>2317</v>
      </c>
      <c r="B10" s="71" t="s">
        <v>889</v>
      </c>
      <c r="C10" s="206">
        <f t="shared" si="0"/>
        <v>0</v>
      </c>
      <c r="D10" s="180"/>
      <c r="E10" s="181"/>
      <c r="F10" s="180"/>
      <c r="G10" s="180"/>
      <c r="H10" s="180"/>
      <c r="I10" s="192"/>
    </row>
    <row r="11" spans="1:9" ht="14.25" x14ac:dyDescent="0.2">
      <c r="A11" s="31">
        <v>2321</v>
      </c>
      <c r="B11" s="71" t="s">
        <v>890</v>
      </c>
      <c r="C11" s="206">
        <f t="shared" si="0"/>
        <v>0</v>
      </c>
      <c r="D11" s="181"/>
      <c r="E11" s="180"/>
      <c r="F11" s="180"/>
      <c r="G11" s="180"/>
      <c r="H11" s="180"/>
      <c r="I11" s="192"/>
    </row>
    <row r="12" spans="1:9" x14ac:dyDescent="0.2">
      <c r="A12" s="31">
        <v>2400</v>
      </c>
      <c r="B12" t="s">
        <v>711</v>
      </c>
      <c r="C12" s="206">
        <f t="shared" si="0"/>
        <v>1555968.2599999998</v>
      </c>
      <c r="D12" s="19">
        <f>'DOE25'!L206+'DOE25'!L224+'DOE25'!L242-F12-G12-H12</f>
        <v>1542720.92</v>
      </c>
      <c r="E12" s="180"/>
      <c r="F12" s="181"/>
      <c r="G12" s="19">
        <f>'DOE25'!J206+'DOE25'!J224+'DOE25'!J242</f>
        <v>4292.3999999999996</v>
      </c>
      <c r="H12" s="19">
        <f>'DOE25'!K206+'DOE25'!K224+'DOE25'!K242</f>
        <v>8954.94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1970231.3399999999</v>
      </c>
      <c r="D14" s="19">
        <f>'DOE25'!L208+'DOE25'!L226+'DOE25'!L244-F14-G14-H14</f>
        <v>1965123.66</v>
      </c>
      <c r="E14" s="180"/>
      <c r="F14" s="181"/>
      <c r="G14" s="19">
        <f>'DOE25'!J208+'DOE25'!J226+'DOE25'!J244</f>
        <v>5107.68</v>
      </c>
      <c r="H14" s="19">
        <f>'DOE25'!K208+'DOE25'!K226+'DOE25'!K244</f>
        <v>0</v>
      </c>
      <c r="I14" s="192"/>
    </row>
    <row r="15" spans="1:9" x14ac:dyDescent="0.2">
      <c r="A15" s="31">
        <v>2700</v>
      </c>
      <c r="B15" t="s">
        <v>799</v>
      </c>
      <c r="C15" s="206">
        <f t="shared" si="0"/>
        <v>1549629.8599999999</v>
      </c>
      <c r="D15" s="19">
        <f>'DOE25'!L209+'DOE25'!L227+'DOE25'!L245-F15-G15-H15</f>
        <v>1549629.8599999999</v>
      </c>
      <c r="E15" s="180"/>
      <c r="F15" s="181"/>
      <c r="G15" s="19">
        <f>'DOE25'!J209+'DOE25'!J227+'DOE25'!J245</f>
        <v>0</v>
      </c>
      <c r="H15" s="19">
        <f>'DOE25'!K209+'DOE25'!K227+'DOE25'!K245</f>
        <v>0</v>
      </c>
      <c r="I15" s="192"/>
    </row>
    <row r="16" spans="1:9" x14ac:dyDescent="0.2">
      <c r="A16" s="31">
        <v>2800</v>
      </c>
      <c r="B16" t="s">
        <v>800</v>
      </c>
      <c r="C16" s="206">
        <f t="shared" si="0"/>
        <v>77777.899999999994</v>
      </c>
      <c r="D16" s="180"/>
      <c r="E16" s="19">
        <f>'DOE25'!L210+'DOE25'!L228+'DOE25'!L246-F16-G16-H16</f>
        <v>77777.899999999994</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160716.66</v>
      </c>
      <c r="D22" s="180"/>
      <c r="E22" s="180"/>
      <c r="F22" s="180"/>
      <c r="G22" s="19">
        <f>'DOE25'!L256+'DOE25'!L337</f>
        <v>160716.66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1534985.1</v>
      </c>
      <c r="D25" s="180"/>
      <c r="E25" s="180"/>
      <c r="F25" s="191"/>
      <c r="G25" s="180"/>
      <c r="H25" s="180"/>
      <c r="I25" s="190">
        <f>'DOE25'!L261+'DOE25'!L262+'DOE25'!L342+'DOE25'!L343</f>
        <v>1534985.1</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764173</v>
      </c>
      <c r="D29" s="212">
        <f>'DOE25'!L359+'DOE25'!L360+'DOE25'!L361-'DOE25'!I368-F29-G29-H29</f>
        <v>764173</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1447582.0009999999</v>
      </c>
      <c r="D31" s="19">
        <f>'DOE25'!L291+'DOE25'!L310+'DOE25'!L329+'DOE25'!L334+'DOE25'!L335+'DOE25'!L336-F31-G31-H31</f>
        <v>1177497.081</v>
      </c>
      <c r="E31" s="180"/>
      <c r="F31" s="181"/>
      <c r="G31" s="19">
        <f>'DOE25'!J291+'DOE25'!J310+'DOE25'!J329+'DOE25'!J334+'DOE25'!J335+'DOE25'!J336</f>
        <v>265938.19999999995</v>
      </c>
      <c r="H31" s="19">
        <f>'DOE25'!K291+'DOE25'!K310+'DOE25'!K329+'DOE25'!K334+'DOE25'!K335+'DOE25'!K336</f>
        <v>4146.7199999999993</v>
      </c>
      <c r="I31" s="192"/>
    </row>
    <row r="32" spans="1:9" ht="12" thickBot="1" x14ac:dyDescent="0.25">
      <c r="C32" s="207"/>
      <c r="G32" s="188"/>
      <c r="H32" s="188"/>
      <c r="I32" s="194"/>
    </row>
    <row r="33" spans="1:9" ht="12" thickTop="1" x14ac:dyDescent="0.2">
      <c r="B33" t="s">
        <v>809</v>
      </c>
      <c r="D33" s="182">
        <f t="shared" ref="D33:I33" si="1">SUM(D5:D31)</f>
        <v>25649275.201000001</v>
      </c>
      <c r="E33" s="182">
        <f t="shared" si="1"/>
        <v>1756613.4100000001</v>
      </c>
      <c r="F33" s="182">
        <f t="shared" si="1"/>
        <v>0</v>
      </c>
      <c r="G33" s="182">
        <f t="shared" si="1"/>
        <v>649923.44999999995</v>
      </c>
      <c r="H33" s="182">
        <f t="shared" si="1"/>
        <v>61371.3</v>
      </c>
      <c r="I33" s="182">
        <f t="shared" si="1"/>
        <v>1534985.1</v>
      </c>
    </row>
    <row r="35" spans="1:9" ht="12" thickBot="1" x14ac:dyDescent="0.25">
      <c r="B35" s="188" t="s">
        <v>831</v>
      </c>
      <c r="D35" s="189">
        <f>E33</f>
        <v>1756613.4100000001</v>
      </c>
      <c r="E35" s="185"/>
      <c r="F35" s="255" t="s">
        <v>1617</v>
      </c>
      <c r="G35" s="256"/>
      <c r="H35" s="256"/>
      <c r="I35" s="256"/>
    </row>
    <row r="36" spans="1:9" ht="12" thickTop="1" x14ac:dyDescent="0.2">
      <c r="B36" t="s">
        <v>810</v>
      </c>
      <c r="D36" s="19">
        <f>D33</f>
        <v>25649275.201000001</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N</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27" sqref="A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Mascoma Valley Regional</v>
      </c>
      <c r="B2">
        <f>'DOE25'!B2</f>
        <v>343</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17685654.890000001</v>
      </c>
      <c r="G4" s="229">
        <f>'DOE25'!L212+'DOE25'!L291</f>
        <v>17685654.889999997</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4788880.58</v>
      </c>
      <c r="E5" s="220">
        <v>844180.22</v>
      </c>
      <c r="F5" s="232">
        <f>D5+E5</f>
        <v>5633060.7999999998</v>
      </c>
      <c r="G5" s="223"/>
      <c r="H5" s="223"/>
      <c r="I5" s="311"/>
      <c r="N5"/>
    </row>
    <row r="6" spans="1:18" x14ac:dyDescent="0.2">
      <c r="A6" t="str" cm="1">
        <f t="array" ref="A6">IFERROR(INDEX('School Tables'!$A$4:$G$325,'School Tables'!$J4,3),"")</f>
        <v>Canaan Elementary School</v>
      </c>
      <c r="B6" s="230">
        <f>IFERROR(VLOOKUP(A6,'School Tables'!$C$3:$D$365,2,FALSE),"")</f>
        <v>21315</v>
      </c>
      <c r="C6" s="223" t="str">
        <f>IFERROR(INDEX('School Tables'!$B$3:$B$365,MATCH('School Level Expenditures'!B6,'School Tables'!$D$3:$D$365,0)),"")</f>
        <v>Mascoma Valley Regional</v>
      </c>
      <c r="D6" s="220">
        <f>3686497.64+9507.59</f>
        <v>3696005.23</v>
      </c>
      <c r="E6" s="220">
        <v>75523.429999999993</v>
      </c>
      <c r="F6" s="232">
        <f t="shared" ref="F6:F20" si="0">D6+E6</f>
        <v>3771528.66</v>
      </c>
      <c r="G6" s="223"/>
      <c r="H6" s="223"/>
      <c r="I6" s="311"/>
      <c r="N6"/>
    </row>
    <row r="7" spans="1:18" x14ac:dyDescent="0.2">
      <c r="A7" t="str" cm="1">
        <f t="array" ref="A7">IFERROR(INDEX('School Tables'!$A$4:$G$325,'School Tables'!$J5,3),"")</f>
        <v>Enfield Village School</v>
      </c>
      <c r="B7" s="230">
        <f>IFERROR(VLOOKUP(A7,'School Tables'!$C$3:$D$365,2,FALSE),"")</f>
        <v>21325</v>
      </c>
      <c r="C7" s="223" t="str">
        <f>IFERROR(INDEX('School Tables'!$B$3:$B$365,MATCH('School Level Expenditures'!B7,'School Tables'!$D$3:$D$365,0)),"")</f>
        <v>Mascoma Valley Regional</v>
      </c>
      <c r="D7" s="220">
        <f>3274709.47</f>
        <v>3274709.47</v>
      </c>
      <c r="E7" s="220"/>
      <c r="F7" s="232">
        <f t="shared" si="0"/>
        <v>3274709.47</v>
      </c>
      <c r="G7" s="223"/>
      <c r="H7" s="223"/>
      <c r="I7" s="268"/>
      <c r="N7"/>
    </row>
    <row r="8" spans="1:18" x14ac:dyDescent="0.2">
      <c r="A8" t="str" cm="1">
        <f t="array" ref="A8">IFERROR(INDEX('School Tables'!$A$4:$G$325,'School Tables'!$J6,3),"")</f>
        <v>Indian River School</v>
      </c>
      <c r="B8" s="230">
        <f>IFERROR(VLOOKUP(A8,'School Tables'!$C$3:$D$365,2,FALSE),"")</f>
        <v>26405</v>
      </c>
      <c r="C8" s="223" t="str">
        <f>IFERROR(INDEX('School Tables'!$B$3:$B$365,MATCH('School Level Expenditures'!B8,'School Tables'!$D$3:$D$365,0)),"")</f>
        <v>Mascoma Valley Regional</v>
      </c>
      <c r="D8" s="220">
        <f>4970106.39</f>
        <v>4970106.3899999997</v>
      </c>
      <c r="E8" s="220">
        <v>36249.57</v>
      </c>
      <c r="F8" s="232">
        <f t="shared" si="0"/>
        <v>5006355.96</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16729701.670000002</v>
      </c>
      <c r="E21" s="265">
        <f>SUM(E5:E20)</f>
        <v>955953.21999999986</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9506638.8099999987</v>
      </c>
      <c r="G36" s="229">
        <f>'DOE25'!L248+'DOE25'!L329</f>
        <v>9506638.8109999988</v>
      </c>
      <c r="H36" s="267">
        <f>F36-G36</f>
        <v>-1.0000001639127731E-3</v>
      </c>
      <c r="I36" s="310" t="str">
        <f>IF(H36=0,"","ISSUES!! Please review page 9 and 13 totals in comparison with total on this page")</f>
        <v>ISSUES!! Please review page 9 and 13 totals in comparison with total on this page</v>
      </c>
      <c r="N36"/>
    </row>
    <row r="37" spans="1:14" x14ac:dyDescent="0.2">
      <c r="A37" t="s">
        <v>1548</v>
      </c>
      <c r="B37" s="230">
        <v>99999</v>
      </c>
      <c r="C37" s="223" t="s">
        <v>1548</v>
      </c>
      <c r="D37" s="220">
        <v>2539798.0499999998</v>
      </c>
      <c r="E37" s="220">
        <v>487394.93</v>
      </c>
      <c r="F37" s="232">
        <f t="shared" ref="F37:F42" si="2">D37+E37</f>
        <v>3027192.98</v>
      </c>
      <c r="G37" s="223"/>
      <c r="H37" s="223"/>
      <c r="I37" s="311"/>
      <c r="N37"/>
    </row>
    <row r="38" spans="1:14" x14ac:dyDescent="0.2">
      <c r="A38" t="str" cm="1">
        <f t="array" ref="A38">IFERROR(INDEX('School Tables'!$W$4:$AC$100,'School Tables'!$AF4,3),"")</f>
        <v>Mascoma Valley Regional High School</v>
      </c>
      <c r="B38" s="230">
        <f>IFERROR(VLOOKUP(A38,'School Tables'!$Y$4:$Z$100,2,FALSE),"")</f>
        <v>21305</v>
      </c>
      <c r="C38" s="223" t="str">
        <f>IFERROR(INDEX('School Tables'!$X$4:$X$100,MATCH('School Level Expenditures'!A38,'School Tables'!$Y$4:$Y$100,0)),"")</f>
        <v>Mascoma Valley Regional</v>
      </c>
      <c r="D38" s="220">
        <f>6469679.92+5532.06</f>
        <v>6475211.9799999995</v>
      </c>
      <c r="E38" s="220">
        <v>4233.8500000000004</v>
      </c>
      <c r="F38" s="232">
        <f t="shared" si="2"/>
        <v>6479445.8299999991</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9015010.0299999993</v>
      </c>
      <c r="E43" s="266">
        <f>SUM(E37:E42)</f>
        <v>491628.77999999997</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18" zoomScale="80" zoomScaleNormal="80" workbookViewId="0">
      <selection activeCell="C11" sqref="C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Mascoma Valley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2064099.23</v>
      </c>
      <c r="D8" s="73">
        <f>'DOE25'!G14</f>
        <v>233435.34</v>
      </c>
      <c r="E8" s="73">
        <f>'DOE25'!H9</f>
        <v>124378.22</v>
      </c>
      <c r="F8" s="73">
        <f>'DOE25'!I9</f>
        <v>0</v>
      </c>
      <c r="G8" s="73">
        <f>'DOE25'!J9</f>
        <v>0</v>
      </c>
      <c r="H8" s="90">
        <f>SUM(C8:G8)</f>
        <v>2421912.79</v>
      </c>
      <c r="I8" s="90"/>
    </row>
    <row r="9" spans="1:9" x14ac:dyDescent="0.2">
      <c r="A9" s="1" t="s">
        <v>140</v>
      </c>
      <c r="B9" s="6">
        <v>110</v>
      </c>
      <c r="C9" s="73">
        <f>'DOE25'!F12</f>
        <v>-192199.76</v>
      </c>
      <c r="D9" s="73">
        <f>'DOE25'!G10</f>
        <v>0</v>
      </c>
      <c r="E9" s="73">
        <f>'DOE25'!H10</f>
        <v>0</v>
      </c>
      <c r="F9" s="73">
        <f>'DOE25'!I10</f>
        <v>0</v>
      </c>
      <c r="G9" s="73">
        <f>'DOE25'!J10</f>
        <v>0</v>
      </c>
      <c r="H9" s="90">
        <f t="shared" ref="H9:H18" si="0">SUM(C9:G9)</f>
        <v>-192199.76</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t="e">
        <f>'DOE25'!#REF!</f>
        <v>#REF!</v>
      </c>
      <c r="D11" s="73">
        <f>'DOE25'!G12</f>
        <v>0</v>
      </c>
      <c r="E11" s="73">
        <f>'DOE25'!H12</f>
        <v>0</v>
      </c>
      <c r="F11" s="73">
        <f>'DOE25'!I12</f>
        <v>0</v>
      </c>
      <c r="G11" s="73">
        <f>'DOE25'!J12</f>
        <v>911080.31</v>
      </c>
      <c r="H11" s="90" t="e">
        <f t="shared" si="0"/>
        <v>#REF!</v>
      </c>
      <c r="I11" s="90"/>
    </row>
    <row r="12" spans="1:9" x14ac:dyDescent="0.2">
      <c r="A12" s="1" t="s">
        <v>143</v>
      </c>
      <c r="B12" s="6">
        <v>140</v>
      </c>
      <c r="C12" s="73">
        <f>'DOE25'!F13</f>
        <v>-0.04</v>
      </c>
      <c r="D12" s="73">
        <f>'DOE25'!G13</f>
        <v>0</v>
      </c>
      <c r="E12" s="73">
        <f>'DOE25'!H13</f>
        <v>195435.77</v>
      </c>
      <c r="F12" s="73">
        <f>'DOE25'!I13</f>
        <v>0</v>
      </c>
      <c r="G12" s="73">
        <f>'DOE25'!J13</f>
        <v>0</v>
      </c>
      <c r="H12" s="90">
        <f t="shared" si="0"/>
        <v>195435.72999999998</v>
      </c>
      <c r="I12" s="90"/>
    </row>
    <row r="13" spans="1:9" x14ac:dyDescent="0.2">
      <c r="A13" s="1" t="s">
        <v>144</v>
      </c>
      <c r="B13" s="6">
        <v>150</v>
      </c>
      <c r="C13" s="73">
        <f>'DOE25'!F14</f>
        <v>46041.120000000003</v>
      </c>
      <c r="D13" s="73" t="e">
        <f>'DOE25'!#REF!</f>
        <v>#REF!</v>
      </c>
      <c r="E13" s="73">
        <f>'DOE25'!H14</f>
        <v>0</v>
      </c>
      <c r="F13" s="73">
        <f>'DOE25'!I14</f>
        <v>0</v>
      </c>
      <c r="G13" s="73">
        <f>'DOE25'!J14</f>
        <v>0</v>
      </c>
      <c r="H13" s="90" t="e">
        <f t="shared" si="0"/>
        <v>#REF!</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t="e">
        <f>SUM(C8:C17)</f>
        <v>#REF!</v>
      </c>
      <c r="D18" s="38" t="e">
        <f>SUM(D8:D17)</f>
        <v>#REF!</v>
      </c>
      <c r="E18" s="38">
        <f>SUM(E8:E17)</f>
        <v>319813.99</v>
      </c>
      <c r="F18" s="38">
        <f>SUM(F8:F17)</f>
        <v>0</v>
      </c>
      <c r="G18" s="38">
        <f>SUM(G8:G17)</f>
        <v>911080.31</v>
      </c>
      <c r="H18" s="38" t="e">
        <f t="shared" si="0"/>
        <v>#REF!</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-185890.22</v>
      </c>
      <c r="E21" s="73">
        <f>'DOE25'!H22</f>
        <v>-6309.5400000000081</v>
      </c>
      <c r="F21" s="73">
        <f>'DOE25'!I22</f>
        <v>0</v>
      </c>
      <c r="G21" s="73">
        <f>'DOE25'!J22</f>
        <v>0</v>
      </c>
      <c r="H21" s="90">
        <f t="shared" ref="H21:H31" si="1">SUM(C21:G21)</f>
        <v>-192199.76</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331633.02</v>
      </c>
      <c r="D23" s="73">
        <f>'DOE25'!G24</f>
        <v>264456.84999999998</v>
      </c>
      <c r="E23" s="73">
        <f>'DOE25'!H24</f>
        <v>0</v>
      </c>
      <c r="F23" s="73">
        <f>'DOE25'!I24</f>
        <v>0</v>
      </c>
      <c r="G23" s="73">
        <f>'DOE25'!J24</f>
        <v>0</v>
      </c>
      <c r="H23" s="90">
        <f t="shared" si="1"/>
        <v>596089.87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67404.800000000003</v>
      </c>
      <c r="D27" s="73">
        <f>'DOE25'!G28</f>
        <v>0</v>
      </c>
      <c r="E27" s="73">
        <f>'DOE25'!H28</f>
        <v>0</v>
      </c>
      <c r="F27" s="73">
        <f>'DOE25'!I28</f>
        <v>0</v>
      </c>
      <c r="G27" s="23" t="s">
        <v>288</v>
      </c>
      <c r="H27" s="90">
        <f t="shared" si="1"/>
        <v>67404.800000000003</v>
      </c>
      <c r="I27" s="90"/>
    </row>
    <row r="28" spans="1:9" x14ac:dyDescent="0.2">
      <c r="A28" s="1" t="s">
        <v>157</v>
      </c>
      <c r="B28" s="6">
        <v>470</v>
      </c>
      <c r="C28" s="73">
        <f>'DOE25'!F29</f>
        <v>-873.49</v>
      </c>
      <c r="D28" s="73">
        <f>'DOE25'!G29</f>
        <v>0</v>
      </c>
      <c r="E28" s="73">
        <f>'DOE25'!H29</f>
        <v>0</v>
      </c>
      <c r="F28" s="73">
        <f>'DOE25'!I29</f>
        <v>0</v>
      </c>
      <c r="G28" s="23" t="s">
        <v>288</v>
      </c>
      <c r="H28" s="90">
        <f t="shared" si="1"/>
        <v>-873.49</v>
      </c>
      <c r="I28" s="90"/>
    </row>
    <row r="29" spans="1:9" x14ac:dyDescent="0.2">
      <c r="A29" s="1" t="s">
        <v>158</v>
      </c>
      <c r="B29" s="6">
        <v>480</v>
      </c>
      <c r="C29" s="73">
        <f>'DOE25'!F30</f>
        <v>0</v>
      </c>
      <c r="D29" s="73">
        <f>'DOE25'!G30</f>
        <v>38074.35</v>
      </c>
      <c r="E29" s="73">
        <f>'DOE25'!H30</f>
        <v>0</v>
      </c>
      <c r="F29" s="73">
        <f>'DOE25'!I30</f>
        <v>0</v>
      </c>
      <c r="G29" s="23" t="s">
        <v>288</v>
      </c>
      <c r="H29" s="90">
        <f t="shared" si="1"/>
        <v>38074.35</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398164.33</v>
      </c>
      <c r="D31" s="38">
        <f>SUM(D21:D30)</f>
        <v>116640.97999999998</v>
      </c>
      <c r="E31" s="38">
        <f>SUM(E21:E30)</f>
        <v>-6309.5400000000081</v>
      </c>
      <c r="F31" s="38">
        <f>SUM(F21:F30)</f>
        <v>0</v>
      </c>
      <c r="G31" s="38">
        <f>SUM(G21:G30)</f>
        <v>0</v>
      </c>
      <c r="H31" s="38">
        <f t="shared" si="1"/>
        <v>508495.77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180000</v>
      </c>
      <c r="D43" s="73">
        <f>'DOE25'!G44</f>
        <v>0</v>
      </c>
      <c r="E43" s="73">
        <f>'DOE25'!H44</f>
        <v>0</v>
      </c>
      <c r="F43" s="73">
        <f>'DOE25'!I44</f>
        <v>0</v>
      </c>
      <c r="G43" s="23" t="s">
        <v>288</v>
      </c>
      <c r="H43" s="90">
        <f t="shared" si="2"/>
        <v>180000</v>
      </c>
      <c r="I43" s="90"/>
    </row>
    <row r="44" spans="1:9" x14ac:dyDescent="0.2">
      <c r="A44" s="1" t="s">
        <v>864</v>
      </c>
      <c r="B44" s="6">
        <v>753</v>
      </c>
      <c r="C44" s="73">
        <f>'DOE25'!F45</f>
        <v>52500</v>
      </c>
      <c r="D44" s="73">
        <f>'DOE25'!G45</f>
        <v>0</v>
      </c>
      <c r="E44" s="73">
        <f>'DOE25'!H45</f>
        <v>0</v>
      </c>
      <c r="F44" s="73">
        <f>'DOE25'!I45</f>
        <v>0</v>
      </c>
      <c r="G44" s="73">
        <f>'DOE25'!J45</f>
        <v>0</v>
      </c>
      <c r="H44" s="90">
        <f t="shared" si="2"/>
        <v>52500</v>
      </c>
      <c r="I44" s="90"/>
    </row>
    <row r="45" spans="1:9" x14ac:dyDescent="0.2">
      <c r="A45" s="1" t="s">
        <v>880</v>
      </c>
      <c r="B45" s="6"/>
      <c r="C45" s="73">
        <f>'DOE25'!F46</f>
        <v>500000</v>
      </c>
      <c r="D45" s="23" t="s">
        <v>288</v>
      </c>
      <c r="E45" s="23" t="s">
        <v>288</v>
      </c>
      <c r="F45" s="23" t="s">
        <v>288</v>
      </c>
      <c r="G45" s="23" t="s">
        <v>288</v>
      </c>
      <c r="H45" s="90">
        <f t="shared" si="2"/>
        <v>500000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116794.36</v>
      </c>
      <c r="E47" s="73">
        <f>'DOE25'!H48</f>
        <v>326123.53000000003</v>
      </c>
      <c r="F47" s="73">
        <f>'DOE25'!I48</f>
        <v>0</v>
      </c>
      <c r="G47" s="73">
        <f>'DOE25'!J48</f>
        <v>911080.31</v>
      </c>
      <c r="H47" s="90">
        <f t="shared" si="2"/>
        <v>1353998.2000000002</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787276.22</v>
      </c>
      <c r="D49" s="23" t="s">
        <v>288</v>
      </c>
      <c r="E49" s="23" t="s">
        <v>288</v>
      </c>
      <c r="F49" s="23" t="s">
        <v>288</v>
      </c>
      <c r="G49" s="23" t="s">
        <v>288</v>
      </c>
      <c r="H49" s="90">
        <f t="shared" si="2"/>
        <v>787276.22</v>
      </c>
      <c r="I49" s="90"/>
    </row>
    <row r="50" spans="1:9" ht="12.75" thickTop="1" thickBot="1" x14ac:dyDescent="0.25">
      <c r="A50" s="35" t="s">
        <v>884</v>
      </c>
      <c r="B50" s="44"/>
      <c r="C50" s="38">
        <f>SUM(C34:C49)</f>
        <v>1519776.22</v>
      </c>
      <c r="D50" s="38">
        <f>SUM(D34:D49)</f>
        <v>116794.36</v>
      </c>
      <c r="E50" s="38">
        <f>SUM(E34:E49)</f>
        <v>326123.53000000003</v>
      </c>
      <c r="F50" s="38">
        <f>SUM(F34:F49)</f>
        <v>0</v>
      </c>
      <c r="G50" s="38">
        <f>SUM(G34:G49)</f>
        <v>911080.31</v>
      </c>
      <c r="H50" s="38">
        <f t="shared" si="2"/>
        <v>2873774.42</v>
      </c>
      <c r="I50" s="90"/>
    </row>
    <row r="51" spans="1:9" ht="12" thickTop="1" x14ac:dyDescent="0.2">
      <c r="A51" s="35" t="s">
        <v>885</v>
      </c>
      <c r="B51" s="2"/>
      <c r="C51" s="38">
        <f>C50+C31</f>
        <v>1917940.55</v>
      </c>
      <c r="D51" s="38">
        <f>D50+D31</f>
        <v>233435.33999999997</v>
      </c>
      <c r="E51" s="38">
        <f>E50+E31</f>
        <v>319813.99</v>
      </c>
      <c r="F51" s="38">
        <f>F50+F31</f>
        <v>0</v>
      </c>
      <c r="G51" s="38">
        <f>G50+G31</f>
        <v>911080.31</v>
      </c>
      <c r="H51" s="38">
        <f t="shared" si="2"/>
        <v>3382270.19</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19550787</v>
      </c>
      <c r="D56" s="73">
        <f>'DOE25'!G60</f>
        <v>0</v>
      </c>
      <c r="E56" s="73">
        <f>'DOE25'!H60</f>
        <v>0</v>
      </c>
      <c r="F56" s="73">
        <f>'DOE25'!I60</f>
        <v>0</v>
      </c>
      <c r="G56" s="73">
        <f>'DOE25'!J60</f>
        <v>0</v>
      </c>
      <c r="H56" s="90">
        <f t="shared" ref="H56:H63" si="3">SUM(C56:G56)</f>
        <v>19550787</v>
      </c>
      <c r="I56"/>
    </row>
    <row r="57" spans="1:9" x14ac:dyDescent="0.2">
      <c r="A57" s="1" t="s">
        <v>164</v>
      </c>
      <c r="B57" s="6" t="s">
        <v>165</v>
      </c>
      <c r="C57" s="73">
        <f>'DOE25'!F79</f>
        <v>34283.370000000003</v>
      </c>
      <c r="D57" s="23" t="s">
        <v>288</v>
      </c>
      <c r="E57" s="73">
        <f>'DOE25'!H79</f>
        <v>104356</v>
      </c>
      <c r="F57" s="23" t="s">
        <v>288</v>
      </c>
      <c r="G57" s="23" t="s">
        <v>288</v>
      </c>
      <c r="H57" s="90">
        <f t="shared" si="3"/>
        <v>138639.37</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2145.61</v>
      </c>
      <c r="D59" s="73">
        <f>'DOE25'!G96</f>
        <v>0</v>
      </c>
      <c r="E59" s="73">
        <f>'DOE25'!H96</f>
        <v>0</v>
      </c>
      <c r="F59" s="73">
        <f>'DOE25'!I96</f>
        <v>0</v>
      </c>
      <c r="G59" s="73">
        <f>'DOE25'!J96</f>
        <v>0</v>
      </c>
      <c r="H59" s="90">
        <f t="shared" si="3"/>
        <v>2145.61</v>
      </c>
      <c r="I59"/>
    </row>
    <row r="60" spans="1:9" x14ac:dyDescent="0.2">
      <c r="A60" s="1" t="s">
        <v>170</v>
      </c>
      <c r="B60" s="22" t="s">
        <v>171</v>
      </c>
      <c r="C60" s="23" t="s">
        <v>288</v>
      </c>
      <c r="D60" s="73">
        <f>'DOE25'!G97</f>
        <v>16875</v>
      </c>
      <c r="E60" s="23" t="s">
        <v>288</v>
      </c>
      <c r="F60" s="23" t="s">
        <v>288</v>
      </c>
      <c r="G60" s="23" t="s">
        <v>288</v>
      </c>
      <c r="H60" s="90">
        <f t="shared" si="3"/>
        <v>16875</v>
      </c>
      <c r="I60"/>
    </row>
    <row r="61" spans="1:9" ht="12" thickBot="1" x14ac:dyDescent="0.25">
      <c r="A61" s="1" t="s">
        <v>172</v>
      </c>
      <c r="B61" s="22" t="s">
        <v>173</v>
      </c>
      <c r="C61" s="73">
        <f>SUM('DOE25'!F98:F110)</f>
        <v>25699.67</v>
      </c>
      <c r="D61" s="73">
        <f>SUM('DOE25'!G98:G110)</f>
        <v>0</v>
      </c>
      <c r="E61" s="73">
        <f>SUM('DOE25'!H98:H110)</f>
        <v>228282.11</v>
      </c>
      <c r="F61" s="73">
        <f>SUM('DOE25'!I98:I110)</f>
        <v>0</v>
      </c>
      <c r="G61" s="73">
        <f>SUM('DOE25'!J98:J110)</f>
        <v>0</v>
      </c>
      <c r="H61" s="90">
        <f t="shared" si="3"/>
        <v>253981.77999999997</v>
      </c>
      <c r="I61"/>
    </row>
    <row r="62" spans="1:9" ht="12.75" thickTop="1" thickBot="1" x14ac:dyDescent="0.25">
      <c r="A62" s="28" t="s">
        <v>174</v>
      </c>
      <c r="B62" s="6"/>
      <c r="C62" s="93">
        <f>SUM(C57:C61)</f>
        <v>62128.65</v>
      </c>
      <c r="D62" s="93">
        <f>SUM(D57:D61)</f>
        <v>16875</v>
      </c>
      <c r="E62" s="93">
        <f>SUM(E57:E61)</f>
        <v>332638.11</v>
      </c>
      <c r="F62" s="93">
        <f>SUM(F57:F61)</f>
        <v>0</v>
      </c>
      <c r="G62" s="93">
        <f>SUM(G57:G61)</f>
        <v>0</v>
      </c>
      <c r="H62" s="90">
        <f t="shared" si="3"/>
        <v>411641.76</v>
      </c>
      <c r="I62"/>
    </row>
    <row r="63" spans="1:9" ht="12" thickTop="1" x14ac:dyDescent="0.2">
      <c r="A63" s="28" t="s">
        <v>175</v>
      </c>
      <c r="B63" s="6"/>
      <c r="C63" s="21">
        <f>C56+C62</f>
        <v>19612915.649999999</v>
      </c>
      <c r="D63" s="21">
        <f>D56+D62</f>
        <v>16875</v>
      </c>
      <c r="E63" s="21">
        <f>E56+E62</f>
        <v>332638.11</v>
      </c>
      <c r="F63" s="21">
        <f>F56+F62</f>
        <v>0</v>
      </c>
      <c r="G63" s="21">
        <f>G56+G62</f>
        <v>0</v>
      </c>
      <c r="H63" s="90">
        <f t="shared" si="3"/>
        <v>19962428.759999998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4768892.7699999996</v>
      </c>
      <c r="D66" s="23" t="s">
        <v>288</v>
      </c>
      <c r="E66" s="23" t="s">
        <v>288</v>
      </c>
      <c r="F66" s="23" t="s">
        <v>288</v>
      </c>
      <c r="G66" s="23" t="s">
        <v>288</v>
      </c>
      <c r="H66" s="90">
        <f t="shared" ref="H66:H81" si="4">SUM(C66:G66)</f>
        <v>4768892.7699999996</v>
      </c>
      <c r="I66"/>
    </row>
    <row r="67" spans="1:9" x14ac:dyDescent="0.2">
      <c r="A67" s="1" t="s">
        <v>770</v>
      </c>
      <c r="B67" s="6">
        <v>3112</v>
      </c>
      <c r="C67" s="73">
        <f>'DOE25'!F118</f>
        <v>2250339</v>
      </c>
      <c r="D67" s="23"/>
      <c r="E67" s="23"/>
      <c r="F67" s="23"/>
      <c r="G67" s="23"/>
      <c r="H67" s="90">
        <f t="shared" si="4"/>
        <v>2250339</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554.27</v>
      </c>
      <c r="D69" s="73">
        <f>'DOE25'!G120</f>
        <v>0</v>
      </c>
      <c r="E69" s="73">
        <f>'DOE25'!H120</f>
        <v>0</v>
      </c>
      <c r="F69" s="73">
        <f>'DOE25'!I120</f>
        <v>0</v>
      </c>
      <c r="G69" s="73">
        <f>'DOE25'!J120</f>
        <v>0</v>
      </c>
      <c r="H69" s="90">
        <f t="shared" si="4"/>
        <v>554.27</v>
      </c>
      <c r="I69"/>
    </row>
    <row r="70" spans="1:9" ht="12" thickTop="1" x14ac:dyDescent="0.2">
      <c r="A70" s="28" t="s">
        <v>252</v>
      </c>
      <c r="B70" s="2"/>
      <c r="C70" s="97">
        <f>SUM(C66:C69)</f>
        <v>7019786.0399999991</v>
      </c>
      <c r="D70" s="97">
        <f>D69</f>
        <v>0</v>
      </c>
      <c r="E70" s="97">
        <f>E69</f>
        <v>0</v>
      </c>
      <c r="F70" s="97">
        <f>F69</f>
        <v>0</v>
      </c>
      <c r="G70" s="97">
        <f>G69</f>
        <v>0</v>
      </c>
      <c r="H70" s="90">
        <f t="shared" si="4"/>
        <v>7019786.0399999991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404468.19</v>
      </c>
      <c r="D75" s="23" t="s">
        <v>288</v>
      </c>
      <c r="E75" s="23" t="s">
        <v>288</v>
      </c>
      <c r="F75" s="23" t="s">
        <v>288</v>
      </c>
      <c r="G75" s="23" t="s">
        <v>288</v>
      </c>
      <c r="H75" s="90">
        <f t="shared" si="4"/>
        <v>404468.19</v>
      </c>
      <c r="I75"/>
    </row>
    <row r="76" spans="1:9" x14ac:dyDescent="0.2">
      <c r="A76" s="1" t="s">
        <v>257</v>
      </c>
      <c r="B76" s="6" t="s">
        <v>179</v>
      </c>
      <c r="C76" s="73">
        <f>SUM('DOE25'!F127:F130)</f>
        <v>173892.39</v>
      </c>
      <c r="D76" s="23" t="s">
        <v>288</v>
      </c>
      <c r="E76" s="73">
        <f>SUM('DOE25'!H127:H130)</f>
        <v>0</v>
      </c>
      <c r="F76" s="73">
        <f>SUM('DOE25'!I127:I130)</f>
        <v>0</v>
      </c>
      <c r="G76" s="23" t="s">
        <v>288</v>
      </c>
      <c r="H76" s="90">
        <f t="shared" si="4"/>
        <v>173892.39</v>
      </c>
      <c r="I76"/>
    </row>
    <row r="77" spans="1:9" ht="12" thickBot="1" x14ac:dyDescent="0.25">
      <c r="A77" s="1" t="s">
        <v>258</v>
      </c>
      <c r="B77" s="6" t="s">
        <v>180</v>
      </c>
      <c r="C77" s="73">
        <f>SUM('DOE25'!F131:F135)</f>
        <v>0</v>
      </c>
      <c r="D77" s="73">
        <f>SUM('DOE25'!G131:G135)</f>
        <v>12651.11</v>
      </c>
      <c r="E77" s="73">
        <f>SUM('DOE25'!H131:H135)</f>
        <v>0</v>
      </c>
      <c r="F77" s="73">
        <f>SUM('DOE25'!I131:I135)</f>
        <v>0</v>
      </c>
      <c r="G77" s="73">
        <f>SUM('DOE25'!J131:J135)</f>
        <v>0</v>
      </c>
      <c r="H77" s="90">
        <f t="shared" si="4"/>
        <v>12651.11</v>
      </c>
      <c r="I77"/>
    </row>
    <row r="78" spans="1:9" ht="12.75" thickTop="1" thickBot="1" x14ac:dyDescent="0.25">
      <c r="A78" s="28" t="s">
        <v>259</v>
      </c>
      <c r="B78" s="6"/>
      <c r="C78" s="93">
        <f>SUM(C72:C77)</f>
        <v>578360.58000000007</v>
      </c>
      <c r="D78" s="93">
        <f>SUM(D72:D77)</f>
        <v>12651.11</v>
      </c>
      <c r="E78" s="93">
        <f>SUM(E72:E77)</f>
        <v>0</v>
      </c>
      <c r="F78" s="93">
        <f>SUM(F72:F77)</f>
        <v>0</v>
      </c>
      <c r="G78" s="93">
        <f>SUM(G72:G77)</f>
        <v>0</v>
      </c>
      <c r="H78" s="90">
        <f t="shared" si="4"/>
        <v>591011.69000000006</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7598146.6199999992</v>
      </c>
      <c r="D81" s="93">
        <f>SUM(D79:D80)+D78+D70</f>
        <v>12651.11</v>
      </c>
      <c r="E81" s="93">
        <f>SUM(E79:E80)+E78+E70</f>
        <v>0</v>
      </c>
      <c r="F81" s="93">
        <f>SUM(F79:F80)+F78+F70</f>
        <v>0</v>
      </c>
      <c r="G81" s="93">
        <f>SUM(G79:G80)+G78+G70</f>
        <v>0</v>
      </c>
      <c r="H81" s="93">
        <f t="shared" si="4"/>
        <v>7610797.7299999995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91685.58</v>
      </c>
      <c r="D88" s="253">
        <f>SUM('DOE25'!G153:G162)</f>
        <v>798347</v>
      </c>
      <c r="E88" s="253">
        <f>SUM('DOE25'!H153:H162)</f>
        <v>1143799.99</v>
      </c>
      <c r="F88" s="253">
        <f>SUM('DOE25'!I153:I162)</f>
        <v>0</v>
      </c>
      <c r="G88" s="23" t="s">
        <v>288</v>
      </c>
      <c r="H88" s="90">
        <f t="shared" si="5"/>
        <v>2033832.5699999998</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2407.13</v>
      </c>
      <c r="D90" s="23" t="s">
        <v>288</v>
      </c>
      <c r="E90" s="23" t="s">
        <v>288</v>
      </c>
      <c r="F90" s="23" t="s">
        <v>288</v>
      </c>
      <c r="G90" s="23" t="s">
        <v>288</v>
      </c>
      <c r="H90" s="90">
        <f t="shared" si="5"/>
        <v>2407.13</v>
      </c>
    </row>
    <row r="91" spans="1:9" ht="12.75" thickTop="1" thickBot="1" x14ac:dyDescent="0.25">
      <c r="A91" s="32" t="s">
        <v>750</v>
      </c>
      <c r="C91" s="94">
        <f>SUM(C85:C90)</f>
        <v>94092.71</v>
      </c>
      <c r="D91" s="94">
        <f>SUM(D85:D90)</f>
        <v>798347</v>
      </c>
      <c r="E91" s="94">
        <f>SUM(E85:E90)</f>
        <v>1143799.99</v>
      </c>
      <c r="F91" s="94">
        <f>SUM(F85:F90)</f>
        <v>0</v>
      </c>
      <c r="G91" s="23" t="s">
        <v>288</v>
      </c>
      <c r="H91" s="90">
        <f t="shared" si="5"/>
        <v>2036239.7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105000</v>
      </c>
      <c r="H96" s="90">
        <f t="shared" si="5"/>
        <v>105000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135718.25</v>
      </c>
      <c r="D99" s="73">
        <f>'DOE25'!G186</f>
        <v>0</v>
      </c>
      <c r="E99" s="73">
        <f>'DOE25'!H186</f>
        <v>0</v>
      </c>
      <c r="F99" s="73">
        <f>'DOE25'!I186</f>
        <v>0</v>
      </c>
      <c r="G99" s="23" t="s">
        <v>288</v>
      </c>
      <c r="H99" s="90">
        <f t="shared" si="5"/>
        <v>135718.25</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135718.25</v>
      </c>
      <c r="D103" s="68">
        <f>SUM(D93:D102)</f>
        <v>0</v>
      </c>
      <c r="E103" s="68">
        <f>SUM(E93:E102)</f>
        <v>0</v>
      </c>
      <c r="F103" s="68">
        <f>SUM(F93:F102)</f>
        <v>0</v>
      </c>
      <c r="G103" s="68">
        <f>SUM(G93:G102)</f>
        <v>105000</v>
      </c>
      <c r="H103" s="68">
        <f t="shared" si="5"/>
        <v>240718.25</v>
      </c>
    </row>
    <row r="104" spans="1:8" ht="12.75" thickTop="1" thickBot="1" x14ac:dyDescent="0.25">
      <c r="A104" s="32" t="s">
        <v>761</v>
      </c>
      <c r="C104" s="68">
        <f>C63+C81+C91+C103</f>
        <v>27440873.229999997</v>
      </c>
      <c r="D104" s="68">
        <f>D63+D81+D91+D103</f>
        <v>827873.11</v>
      </c>
      <c r="E104" s="68">
        <f>E63+E81+E91+E103</f>
        <v>1476438.1</v>
      </c>
      <c r="F104" s="68">
        <f>F63+F81+F91+F103</f>
        <v>0</v>
      </c>
      <c r="G104" s="68">
        <f>G63+G81+G103</f>
        <v>105000</v>
      </c>
      <c r="H104" s="68">
        <f t="shared" si="5"/>
        <v>29850184.439999998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9251616.4799999986</v>
      </c>
      <c r="D109" s="23" t="s">
        <v>288</v>
      </c>
      <c r="E109" s="73">
        <f>('DOE25'!L277)+('DOE25'!L296)+('DOE25'!L315)</f>
        <v>370712.38999999996</v>
      </c>
      <c r="F109" s="23" t="s">
        <v>288</v>
      </c>
      <c r="G109" s="23" t="s">
        <v>288</v>
      </c>
      <c r="H109" s="90">
        <f t="shared" ref="H109:H115" si="6">SUM(C109:G109)</f>
        <v>9622328.8699999992</v>
      </c>
    </row>
    <row r="110" spans="1:8" x14ac:dyDescent="0.2">
      <c r="A110" t="s">
        <v>198</v>
      </c>
      <c r="B110" s="31" t="s">
        <v>199</v>
      </c>
      <c r="C110" s="73">
        <f>('DOE25'!L199)+('DOE25'!L217)+('DOE25'!L235)</f>
        <v>6558732.4300000006</v>
      </c>
      <c r="D110" s="23" t="s">
        <v>288</v>
      </c>
      <c r="E110" s="73">
        <f>('DOE25'!L278)+('DOE25'!L297)+('DOE25'!L316)</f>
        <v>367548.58100000001</v>
      </c>
      <c r="F110" s="23" t="s">
        <v>288</v>
      </c>
      <c r="G110" s="23" t="s">
        <v>288</v>
      </c>
      <c r="H110" s="90">
        <f t="shared" si="6"/>
        <v>6926281.0110000009</v>
      </c>
    </row>
    <row r="111" spans="1:8" x14ac:dyDescent="0.2">
      <c r="A111" t="s">
        <v>200</v>
      </c>
      <c r="B111" s="31" t="s">
        <v>165</v>
      </c>
      <c r="C111" s="73">
        <f>('DOE25'!L200)+('DOE25'!L218)+('DOE25'!L236)</f>
        <v>502264.28</v>
      </c>
      <c r="D111" s="23" t="s">
        <v>288</v>
      </c>
      <c r="E111" s="73">
        <f>('DOE25'!L279)+('DOE25'!L298)+('DOE25'!L317)</f>
        <v>0</v>
      </c>
      <c r="F111" s="23" t="s">
        <v>288</v>
      </c>
      <c r="G111" s="23" t="s">
        <v>288</v>
      </c>
      <c r="H111" s="90">
        <f t="shared" si="6"/>
        <v>502264.28</v>
      </c>
    </row>
    <row r="112" spans="1:8" x14ac:dyDescent="0.2">
      <c r="A112" t="s">
        <v>201</v>
      </c>
      <c r="B112" s="31" t="s">
        <v>167</v>
      </c>
      <c r="C112" s="73">
        <f>('DOE25'!L201)+('DOE25'!L219)+('DOE25'!L237)</f>
        <v>399650.60000000009</v>
      </c>
      <c r="D112" s="23" t="s">
        <v>288</v>
      </c>
      <c r="E112" s="73">
        <f>+('DOE25'!L280)+('DOE25'!L299)+('DOE25'!L318)</f>
        <v>15594.12</v>
      </c>
      <c r="F112" s="23" t="s">
        <v>288</v>
      </c>
      <c r="G112" s="23" t="s">
        <v>288</v>
      </c>
      <c r="H112" s="90">
        <f t="shared" si="6"/>
        <v>415244.72000000009</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16712263.789999999</v>
      </c>
      <c r="D115" s="68">
        <f>SUM(D109:D114)</f>
        <v>0</v>
      </c>
      <c r="E115" s="68">
        <f>SUM(E109:E114)</f>
        <v>753855.0909999999</v>
      </c>
      <c r="F115" s="68">
        <f>SUM(F109:F114)</f>
        <v>0</v>
      </c>
      <c r="G115" s="68">
        <f>SUM(G109:G114)</f>
        <v>0</v>
      </c>
      <c r="H115" s="68">
        <f t="shared" si="6"/>
        <v>17466118.880999997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1660469.8499999999</v>
      </c>
      <c r="D118" s="23" t="s">
        <v>288</v>
      </c>
      <c r="E118" s="73">
        <f>+('DOE25'!L282)+('DOE25'!L301)+('DOE25'!L320)</f>
        <v>363153.59</v>
      </c>
      <c r="F118" s="23" t="s">
        <v>288</v>
      </c>
      <c r="G118" s="23" t="s">
        <v>288</v>
      </c>
      <c r="H118" s="90">
        <f t="shared" ref="H118:H145" si="7">SUM(C118:G118)</f>
        <v>2023623.44</v>
      </c>
    </row>
    <row r="119" spans="1:8" x14ac:dyDescent="0.2">
      <c r="A119" t="s">
        <v>208</v>
      </c>
      <c r="B119" s="31" t="s">
        <v>209</v>
      </c>
      <c r="C119" s="73">
        <f>('DOE25'!L204)+('DOE25'!L222)+('DOE25'!L240)</f>
        <v>510413.26</v>
      </c>
      <c r="D119" s="23" t="s">
        <v>288</v>
      </c>
      <c r="E119" s="73">
        <f>+('DOE25'!L283)+('DOE25'!L302)+('DOE25'!L321)</f>
        <v>309458.08999999997</v>
      </c>
      <c r="F119" s="23" t="s">
        <v>288</v>
      </c>
      <c r="G119" s="23" t="s">
        <v>288</v>
      </c>
      <c r="H119" s="90">
        <f t="shared" si="7"/>
        <v>819871.35</v>
      </c>
    </row>
    <row r="120" spans="1:8" x14ac:dyDescent="0.2">
      <c r="A120" t="s">
        <v>210</v>
      </c>
      <c r="B120" s="31" t="s">
        <v>211</v>
      </c>
      <c r="C120" s="73">
        <f>('DOE25'!L205)+('DOE25'!L223)+('DOE25'!L241)</f>
        <v>1707957.4400000002</v>
      </c>
      <c r="D120" s="23" t="s">
        <v>288</v>
      </c>
      <c r="E120" s="73">
        <f>+('DOE25'!L284)+('DOE25'!L303)+('DOE25'!L322)</f>
        <v>10000</v>
      </c>
      <c r="F120" s="23" t="s">
        <v>288</v>
      </c>
      <c r="G120" s="23" t="s">
        <v>288</v>
      </c>
      <c r="H120" s="90">
        <f t="shared" si="7"/>
        <v>1717957.4400000002</v>
      </c>
    </row>
    <row r="121" spans="1:8" x14ac:dyDescent="0.2">
      <c r="A121" t="s">
        <v>212</v>
      </c>
      <c r="B121" s="31" t="s">
        <v>213</v>
      </c>
      <c r="C121" s="73">
        <f>('DOE25'!L206)+('DOE25'!L224)+('DOE25'!L242)</f>
        <v>1555968.2599999998</v>
      </c>
      <c r="D121" s="23" t="s">
        <v>288</v>
      </c>
      <c r="E121" s="73">
        <f>+('DOE25'!L285)+('DOE25'!L304)+('DOE25'!L323)</f>
        <v>0</v>
      </c>
      <c r="F121" s="23" t="s">
        <v>288</v>
      </c>
      <c r="G121" s="23" t="s">
        <v>288</v>
      </c>
      <c r="H121" s="90">
        <f t="shared" si="7"/>
        <v>1555968.2599999998</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1970231.3399999999</v>
      </c>
      <c r="D123" s="23" t="s">
        <v>288</v>
      </c>
      <c r="E123" s="73">
        <f>+('DOE25'!L287)+('DOE25'!L306)+('DOE25'!L325)</f>
        <v>11115.23</v>
      </c>
      <c r="F123" s="23" t="s">
        <v>288</v>
      </c>
      <c r="G123" s="23" t="s">
        <v>288</v>
      </c>
      <c r="H123" s="90">
        <f t="shared" si="7"/>
        <v>1981346.5699999998</v>
      </c>
    </row>
    <row r="124" spans="1:8" x14ac:dyDescent="0.2">
      <c r="A124" t="s">
        <v>218</v>
      </c>
      <c r="B124" s="31" t="s">
        <v>219</v>
      </c>
      <c r="C124" s="73">
        <f>('DOE25'!L209)+('DOE25'!L227)+('DOE25'!L245+'DOE25'!L255)</f>
        <v>1549629.8599999999</v>
      </c>
      <c r="D124" s="23" t="s">
        <v>288</v>
      </c>
      <c r="E124" s="73">
        <f>+('DOE25'!L288)+('DOE25'!L307)+('DOE25'!L326)</f>
        <v>0</v>
      </c>
      <c r="F124" s="23" t="s">
        <v>288</v>
      </c>
      <c r="G124" s="23" t="s">
        <v>288</v>
      </c>
      <c r="H124" s="90">
        <f t="shared" si="7"/>
        <v>1549629.8599999999</v>
      </c>
    </row>
    <row r="125" spans="1:8" x14ac:dyDescent="0.2">
      <c r="A125" t="s">
        <v>220</v>
      </c>
      <c r="B125" s="31" t="s">
        <v>221</v>
      </c>
      <c r="C125" s="73">
        <f>('DOE25'!L210)+('DOE25'!L228)+('DOE25'!L246)</f>
        <v>77777.899999999994</v>
      </c>
      <c r="D125" s="23" t="s">
        <v>288</v>
      </c>
      <c r="E125" s="73">
        <f>+('DOE25'!L289)+('DOE25'!L308)+('DOE25'!L327)</f>
        <v>0</v>
      </c>
      <c r="F125" s="23" t="s">
        <v>288</v>
      </c>
      <c r="G125" s="23" t="s">
        <v>288</v>
      </c>
      <c r="H125" s="90">
        <f t="shared" si="7"/>
        <v>77777.899999999994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764173</v>
      </c>
      <c r="E127" s="23" t="s">
        <v>288</v>
      </c>
      <c r="F127" s="23" t="s">
        <v>288</v>
      </c>
      <c r="G127" s="23" t="s">
        <v>288</v>
      </c>
      <c r="H127" s="90">
        <f t="shared" si="7"/>
        <v>764173</v>
      </c>
    </row>
    <row r="128" spans="1:8" ht="12.75" thickTop="1" thickBot="1" x14ac:dyDescent="0.25">
      <c r="A128" s="32" t="s">
        <v>226</v>
      </c>
      <c r="C128" s="68">
        <f>SUM(C118:C127)</f>
        <v>9032447.9100000001</v>
      </c>
      <c r="D128" s="68">
        <f>SUM(D118:D127)</f>
        <v>764173</v>
      </c>
      <c r="E128" s="68">
        <f>SUM(E118:E127)</f>
        <v>693726.90999999992</v>
      </c>
      <c r="F128" s="68">
        <f>SUM(F118:F127)</f>
        <v>0</v>
      </c>
      <c r="G128" s="68">
        <f>SUM(G118:G127)</f>
        <v>0</v>
      </c>
      <c r="H128" s="68">
        <f t="shared" si="7"/>
        <v>10490347.82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160716.66</v>
      </c>
      <c r="D130" s="23" t="s">
        <v>288</v>
      </c>
      <c r="E130" s="92">
        <f>'DOE25'!L337</f>
        <v>0</v>
      </c>
      <c r="F130" s="92">
        <f>SUM('DOE25'!L375:'DOE25'!L381)</f>
        <v>0</v>
      </c>
      <c r="G130" s="23" t="s">
        <v>288</v>
      </c>
      <c r="H130" s="90">
        <f t="shared" si="7"/>
        <v>160716.66</v>
      </c>
    </row>
    <row r="131" spans="1:8" x14ac:dyDescent="0.2">
      <c r="A131" t="s">
        <v>229</v>
      </c>
      <c r="B131" s="31">
        <v>5110</v>
      </c>
      <c r="C131" s="73">
        <f>'DOE25'!L261</f>
        <v>797994.29</v>
      </c>
      <c r="D131" s="23" t="s">
        <v>288</v>
      </c>
      <c r="E131" s="92">
        <f>'DOE25'!L342</f>
        <v>0</v>
      </c>
      <c r="F131" s="23" t="s">
        <v>288</v>
      </c>
      <c r="G131" s="23" t="s">
        <v>288</v>
      </c>
      <c r="H131" s="90">
        <f t="shared" si="7"/>
        <v>797994.29</v>
      </c>
    </row>
    <row r="132" spans="1:8" x14ac:dyDescent="0.2">
      <c r="A132" t="s">
        <v>230</v>
      </c>
      <c r="B132" s="31">
        <v>5120</v>
      </c>
      <c r="C132" s="73">
        <f>'DOE25'!L262</f>
        <v>736990.80999999994</v>
      </c>
      <c r="D132" s="23" t="s">
        <v>288</v>
      </c>
      <c r="E132" s="92">
        <f>'DOE25'!L343</f>
        <v>0</v>
      </c>
      <c r="F132" s="23" t="s">
        <v>288</v>
      </c>
      <c r="G132" s="23" t="s">
        <v>288</v>
      </c>
      <c r="H132" s="90">
        <f t="shared" si="7"/>
        <v>736990.80999999994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151398.9</v>
      </c>
      <c r="H134" s="90">
        <f t="shared" si="7"/>
        <v>151398.9</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105000</v>
      </c>
      <c r="D139" s="23" t="s">
        <v>288</v>
      </c>
      <c r="E139" s="23" t="s">
        <v>288</v>
      </c>
      <c r="F139" s="23" t="s">
        <v>288</v>
      </c>
      <c r="G139" s="23" t="s">
        <v>288</v>
      </c>
      <c r="H139" s="90">
        <f t="shared" si="7"/>
        <v>105000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0</v>
      </c>
      <c r="D141" s="23" t="s">
        <v>288</v>
      </c>
      <c r="E141" s="23" t="s">
        <v>288</v>
      </c>
      <c r="F141" s="23" t="s">
        <v>288</v>
      </c>
      <c r="G141" s="23" t="s">
        <v>288</v>
      </c>
      <c r="H141" s="90">
        <f t="shared" si="7"/>
        <v>0</v>
      </c>
    </row>
    <row r="142" spans="1:8" x14ac:dyDescent="0.2">
      <c r="A142" t="s">
        <v>241</v>
      </c>
      <c r="B142" s="31">
        <v>5310</v>
      </c>
      <c r="C142" s="92">
        <f>'DOE25'!L269</f>
        <v>65000</v>
      </c>
      <c r="D142" s="23" t="s">
        <v>288</v>
      </c>
      <c r="E142" s="92">
        <f>'DOE25'!L350</f>
        <v>0</v>
      </c>
      <c r="F142" s="23" t="s">
        <v>288</v>
      </c>
      <c r="G142" s="23" t="s">
        <v>288</v>
      </c>
      <c r="H142" s="90">
        <f t="shared" si="7"/>
        <v>65000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1865701.76</v>
      </c>
      <c r="D144" s="98">
        <f>SUM(D130:D143)</f>
        <v>0</v>
      </c>
      <c r="E144" s="98">
        <f>SUM(E130:E143)</f>
        <v>0</v>
      </c>
      <c r="F144" s="98">
        <f>SUM(F130:F143)</f>
        <v>0</v>
      </c>
      <c r="G144" s="98">
        <f>SUM(G130:G143)</f>
        <v>151398.9</v>
      </c>
      <c r="H144" s="98">
        <f t="shared" si="7"/>
        <v>2017100.66</v>
      </c>
    </row>
    <row r="145" spans="1:9" ht="12.75" thickTop="1" thickBot="1" x14ac:dyDescent="0.25">
      <c r="A145" s="32" t="s">
        <v>244</v>
      </c>
      <c r="C145" s="68">
        <f>(C115+C128+C144)</f>
        <v>27610413.460000001</v>
      </c>
      <c r="D145" s="68">
        <f>(D115+D128+D144)</f>
        <v>764173</v>
      </c>
      <c r="E145" s="68">
        <f>(E115+E128+E144)</f>
        <v>1447582.0009999997</v>
      </c>
      <c r="F145" s="68">
        <f>(F115+F128+F144)</f>
        <v>0</v>
      </c>
      <c r="G145" s="68">
        <f>(G115+G128+G144)</f>
        <v>151398.9</v>
      </c>
      <c r="H145" s="68">
        <f t="shared" si="7"/>
        <v>29973567.360999998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25</v>
      </c>
      <c r="D151" s="110">
        <f>'DOE25'!H491</f>
        <v>25</v>
      </c>
      <c r="E151" s="110">
        <f>'DOE25'!I491</f>
        <v>25</v>
      </c>
      <c r="F151" s="110">
        <f>'DOE25'!J491</f>
        <v>0</v>
      </c>
      <c r="G151" s="23" t="s">
        <v>288</v>
      </c>
    </row>
    <row r="152" spans="1:9" x14ac:dyDescent="0.2">
      <c r="A152" s="21" t="s">
        <v>28</v>
      </c>
      <c r="B152" s="109" t="str">
        <f>'DOE25'!F492</f>
        <v>5/20/13</v>
      </c>
      <c r="C152" s="109" t="str">
        <f>'DOE25'!G492</f>
        <v>6/12/14</v>
      </c>
      <c r="D152" s="109">
        <f>'DOE25'!H492</f>
        <v>0</v>
      </c>
      <c r="E152" s="109">
        <f>'DOE25'!I492</f>
        <v>0</v>
      </c>
      <c r="F152" s="109">
        <f>'DOE25'!J492</f>
        <v>0</v>
      </c>
      <c r="G152" s="23" t="s">
        <v>288</v>
      </c>
    </row>
    <row r="153" spans="1:9" x14ac:dyDescent="0.2">
      <c r="A153" s="21" t="s">
        <v>29</v>
      </c>
      <c r="B153" s="109" t="str">
        <f>'DOE25'!F493</f>
        <v>11/20/28</v>
      </c>
      <c r="C153" s="109" t="str">
        <f>'DOE25'!G493</f>
        <v>12/15/39</v>
      </c>
      <c r="D153" s="109">
        <f>'DOE25'!H493</f>
        <v>0</v>
      </c>
      <c r="E153" s="109">
        <f>'DOE25'!I493</f>
        <v>0</v>
      </c>
      <c r="F153" s="109">
        <f>'DOE25'!J493</f>
        <v>0</v>
      </c>
      <c r="G153" s="23" t="s">
        <v>288</v>
      </c>
    </row>
    <row r="154" spans="1:9" x14ac:dyDescent="0.2">
      <c r="A154" s="21" t="s">
        <v>30</v>
      </c>
      <c r="B154" s="19">
        <f>'DOE25'!F494</f>
        <v>2012334</v>
      </c>
      <c r="C154" s="19">
        <f>'DOE25'!G494</f>
        <v>445000</v>
      </c>
      <c r="D154" s="19">
        <f>'DOE25'!H494</f>
        <v>10000000</v>
      </c>
      <c r="E154" s="19">
        <f>'DOE25'!I494</f>
        <v>7358000</v>
      </c>
      <c r="F154" s="19">
        <f>'DOE25'!J494</f>
        <v>0</v>
      </c>
      <c r="G154" s="23" t="s">
        <v>288</v>
      </c>
    </row>
    <row r="155" spans="1:9" x14ac:dyDescent="0.2">
      <c r="A155" s="21" t="s">
        <v>31</v>
      </c>
      <c r="B155" s="19">
        <f>'DOE25'!F495</f>
        <v>2.59</v>
      </c>
      <c r="C155" s="19">
        <f>'DOE25'!G495</f>
        <v>3.01</v>
      </c>
      <c r="D155" s="19">
        <f>'DOE25'!H495</f>
        <v>4.12</v>
      </c>
      <c r="E155" s="19">
        <f>'DOE25'!I495</f>
        <v>4.26</v>
      </c>
      <c r="F155" s="19">
        <f>'DOE25'!J495</f>
        <v>0</v>
      </c>
      <c r="G155" s="23" t="s">
        <v>288</v>
      </c>
    </row>
    <row r="156" spans="1:9" x14ac:dyDescent="0.2">
      <c r="A156" s="21" t="s">
        <v>32</v>
      </c>
      <c r="B156" s="19">
        <f>'DOE25'!F496</f>
        <v>1292382.8799999999</v>
      </c>
      <c r="C156" s="19">
        <f>'DOE25'!G496</f>
        <v>3350522.31</v>
      </c>
      <c r="D156" s="19">
        <f>'DOE25'!H496</f>
        <v>8479239.1199999992</v>
      </c>
      <c r="E156" s="19">
        <f>'DOE25'!I496</f>
        <v>6358422.6900000004</v>
      </c>
      <c r="F156" s="19">
        <f>'DOE25'!J496</f>
        <v>0</v>
      </c>
      <c r="G156" s="96">
        <f>SUM(B156:F156)</f>
        <v>19480567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69181.81</v>
      </c>
      <c r="C158" s="19">
        <f>'DOE25'!G498</f>
        <v>137493.56</v>
      </c>
      <c r="D158" s="19">
        <f>'DOE25'!H498</f>
        <v>298795.15000000002</v>
      </c>
      <c r="E158" s="19">
        <f>'DOE25'!I498</f>
        <v>212636.76</v>
      </c>
      <c r="F158" s="19">
        <f>'DOE25'!J498</f>
        <v>0</v>
      </c>
      <c r="G158" s="96">
        <f t="shared" si="8"/>
        <v>718107.28</v>
      </c>
    </row>
    <row r="159" spans="1:9" x14ac:dyDescent="0.2">
      <c r="A159" s="21" t="s">
        <v>35</v>
      </c>
      <c r="B159" s="19">
        <f>'DOE25'!F499</f>
        <v>223201.07</v>
      </c>
      <c r="C159" s="19">
        <f>'DOE25'!G499</f>
        <v>3213028.75</v>
      </c>
      <c r="D159" s="19">
        <f>'DOE25'!H499</f>
        <v>8180443.9699999988</v>
      </c>
      <c r="E159" s="19">
        <f>'DOE25'!I499</f>
        <v>6145785.9300000006</v>
      </c>
      <c r="F159" s="19">
        <f>'DOE25'!J499</f>
        <v>0</v>
      </c>
      <c r="G159" s="96">
        <f t="shared" si="8"/>
        <v>17762459.719999999</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223201.07</v>
      </c>
      <c r="C161" s="19">
        <f>'DOE25'!G501</f>
        <v>3213028.75</v>
      </c>
      <c r="D161" s="19">
        <f>'DOE25'!H501</f>
        <v>8180443.9699999988</v>
      </c>
      <c r="E161" s="19">
        <f>'DOE25'!I501</f>
        <v>6145785.9300000006</v>
      </c>
      <c r="F161" s="19">
        <f>'DOE25'!J501</f>
        <v>0</v>
      </c>
      <c r="G161" s="96">
        <f t="shared" si="8"/>
        <v>17762459.719999999</v>
      </c>
    </row>
    <row r="162" spans="1:7" x14ac:dyDescent="0.2">
      <c r="A162" s="21" t="s">
        <v>38</v>
      </c>
      <c r="B162" s="19">
        <f>'DOE25'!F502</f>
        <v>156360.52000000002</v>
      </c>
      <c r="C162" s="19">
        <f>'DOE25'!G502</f>
        <v>0</v>
      </c>
      <c r="D162" s="19">
        <f>'DOE25'!H502</f>
        <v>0</v>
      </c>
      <c r="E162" s="19">
        <f>'DOE25'!I502</f>
        <v>0</v>
      </c>
      <c r="F162" s="19">
        <f>'DOE25'!J502</f>
        <v>0</v>
      </c>
      <c r="G162" s="96">
        <f t="shared" si="8"/>
        <v>156360.52000000002</v>
      </c>
    </row>
    <row r="163" spans="1:7" x14ac:dyDescent="0.2">
      <c r="A163" s="21" t="s">
        <v>39</v>
      </c>
      <c r="B163" s="19">
        <f>'DOE25'!F503</f>
        <v>29118.48</v>
      </c>
      <c r="C163" s="19">
        <f>'DOE25'!G503</f>
        <v>0</v>
      </c>
      <c r="D163" s="19">
        <f>'DOE25'!H503</f>
        <v>0</v>
      </c>
      <c r="E163" s="19">
        <f>'DOE25'!I503</f>
        <v>0</v>
      </c>
      <c r="F163" s="19">
        <f>'DOE25'!J503</f>
        <v>0</v>
      </c>
      <c r="G163" s="96">
        <f t="shared" si="8"/>
        <v>29118.48</v>
      </c>
    </row>
    <row r="164" spans="1:7" x14ac:dyDescent="0.2">
      <c r="A164" s="21" t="s">
        <v>246</v>
      </c>
      <c r="B164" s="19">
        <f>'DOE25'!F504</f>
        <v>185479.00000000003</v>
      </c>
      <c r="C164" s="19">
        <f>'DOE25'!G504</f>
        <v>0</v>
      </c>
      <c r="D164" s="19">
        <f>'DOE25'!H504</f>
        <v>0</v>
      </c>
      <c r="E164" s="19">
        <f>'DOE25'!I504</f>
        <v>0</v>
      </c>
      <c r="F164" s="19">
        <f>'DOE25'!J504</f>
        <v>0</v>
      </c>
      <c r="G164" s="96">
        <f t="shared" si="8"/>
        <v>185479.00000000003</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Mascoma Valley Regional</v>
      </c>
    </row>
    <row r="3" spans="1:4" x14ac:dyDescent="0.2">
      <c r="B3" s="137" t="s">
        <v>1799</v>
      </c>
    </row>
    <row r="4" spans="1:4" x14ac:dyDescent="0.2">
      <c r="B4" t="s">
        <v>61</v>
      </c>
      <c r="C4" s="129">
        <f>IF('DOE25'!F666+'DOE25'!F671=0,0,ROUND('DOE25'!F673,0))</f>
        <v>22535</v>
      </c>
    </row>
    <row r="5" spans="1:4" x14ac:dyDescent="0.2">
      <c r="B5" t="s">
        <v>700</v>
      </c>
      <c r="C5" s="129">
        <f>IF('DOE25'!G666+'DOE25'!G671=0,0,ROUND('DOE25'!G673,0))</f>
        <v>0</v>
      </c>
    </row>
    <row r="6" spans="1:4" x14ac:dyDescent="0.2">
      <c r="B6" t="s">
        <v>62</v>
      </c>
      <c r="C6" s="129">
        <f>IF('DOE25'!H666+'DOE25'!H671=0,0,ROUND('DOE25'!H673,0))</f>
        <v>25813</v>
      </c>
    </row>
    <row r="7" spans="1:4" x14ac:dyDescent="0.2">
      <c r="B7" t="s">
        <v>701</v>
      </c>
      <c r="C7" s="129">
        <f>IF('DOE25'!I666+'DOE25'!I671=0,0,ROUND('DOE25'!I673,0))</f>
        <v>23472</v>
      </c>
    </row>
    <row r="9" spans="1:4" x14ac:dyDescent="0.2">
      <c r="A9" s="136" t="s">
        <v>94</v>
      </c>
      <c r="B9" s="137" t="s">
        <v>1800</v>
      </c>
      <c r="C9" s="131" t="s">
        <v>720</v>
      </c>
      <c r="D9" s="131" t="s">
        <v>721</v>
      </c>
    </row>
    <row r="10" spans="1:4" x14ac:dyDescent="0.2">
      <c r="A10">
        <v>1100</v>
      </c>
      <c r="B10" t="s">
        <v>702</v>
      </c>
      <c r="C10" s="129">
        <f>ROUND('DOE25'!L198+'DOE25'!L216+'DOE25'!L234+'DOE25'!L277+'DOE25'!L296+'DOE25'!L315,0)</f>
        <v>9622329</v>
      </c>
      <c r="D10" s="132">
        <f>ROUND((C10/$C$28)*100,1)</f>
        <v>33.5</v>
      </c>
    </row>
    <row r="11" spans="1:4" x14ac:dyDescent="0.2">
      <c r="A11">
        <v>1200</v>
      </c>
      <c r="B11" t="s">
        <v>703</v>
      </c>
      <c r="C11" s="129">
        <f>ROUND('DOE25'!L199+'DOE25'!L217+'DOE25'!L235+'DOE25'!L278+'DOE25'!L297+'DOE25'!L316,0)</f>
        <v>6926281</v>
      </c>
      <c r="D11" s="132">
        <f>ROUND((C11/$C$28)*100,1)</f>
        <v>24.1</v>
      </c>
    </row>
    <row r="12" spans="1:4" x14ac:dyDescent="0.2">
      <c r="A12">
        <v>1300</v>
      </c>
      <c r="B12" t="s">
        <v>704</v>
      </c>
      <c r="C12" s="129">
        <f>ROUND('DOE25'!L200+'DOE25'!L218+'DOE25'!L236+'DOE25'!L279+'DOE25'!L298+'DOE25'!L317,0)</f>
        <v>502264</v>
      </c>
      <c r="D12" s="132">
        <f>ROUND((C12/$C$28)*100,1)</f>
        <v>1.7</v>
      </c>
    </row>
    <row r="13" spans="1:4" x14ac:dyDescent="0.2">
      <c r="A13">
        <v>1400</v>
      </c>
      <c r="B13" t="s">
        <v>705</v>
      </c>
      <c r="C13" s="129">
        <f>ROUND('DOE25'!L201+'DOE25'!L219+'DOE25'!L237+'DOE25'!L280+'DOE25'!L299+'DOE25'!L318,0)</f>
        <v>415245</v>
      </c>
      <c r="D13" s="132">
        <f>ROUND((C13/$C$28)*100,1)</f>
        <v>1.4</v>
      </c>
    </row>
    <row r="14" spans="1:4" x14ac:dyDescent="0.2">
      <c r="D14" s="132"/>
    </row>
    <row r="15" spans="1:4" x14ac:dyDescent="0.2">
      <c r="A15">
        <v>2100</v>
      </c>
      <c r="B15" t="s">
        <v>706</v>
      </c>
      <c r="C15" s="129">
        <f>ROUND('DOE25'!L203+'DOE25'!L221+'DOE25'!L239+'DOE25'!L282+'DOE25'!L301+'DOE25'!L320,0)</f>
        <v>2023623</v>
      </c>
      <c r="D15" s="132">
        <f t="shared" ref="D15:D27" si="0">ROUND((C15/$C$28)*100,1)</f>
        <v>7</v>
      </c>
    </row>
    <row r="16" spans="1:4" x14ac:dyDescent="0.2">
      <c r="A16">
        <v>2200</v>
      </c>
      <c r="B16" t="s">
        <v>707</v>
      </c>
      <c r="C16" s="129">
        <f>ROUND('DOE25'!L204+'DOE25'!L222+'DOE25'!L240+'DOE25'!L283+'DOE25'!L302+'DOE25'!L321,0)</f>
        <v>819871</v>
      </c>
      <c r="D16" s="132">
        <f t="shared" si="0"/>
        <v>2.9</v>
      </c>
    </row>
    <row r="17" spans="1:4" x14ac:dyDescent="0.2">
      <c r="A17" s="133" t="s">
        <v>723</v>
      </c>
      <c r="B17" t="s">
        <v>738</v>
      </c>
      <c r="C17" s="129">
        <f>ROUND('DOE25'!L205+'DOE25'!L210+'DOE25'!L223+'DOE25'!L228+'DOE25'!L241+'DOE25'!L246+'DOE25'!L284+'DOE25'!L289+'DOE25'!L303+'DOE25'!L308+'DOE25'!L322+'DOE25'!L327,0)</f>
        <v>1795735</v>
      </c>
      <c r="D17" s="132">
        <f t="shared" si="0"/>
        <v>6.2</v>
      </c>
    </row>
    <row r="18" spans="1:4" x14ac:dyDescent="0.2">
      <c r="A18">
        <v>2400</v>
      </c>
      <c r="B18" t="s">
        <v>711</v>
      </c>
      <c r="C18" s="129">
        <f>ROUND('DOE25'!L206+'DOE25'!L224+'DOE25'!L242+'DOE25'!L285+'DOE25'!L304+'DOE25'!L323,0)</f>
        <v>1555968</v>
      </c>
      <c r="D18" s="132">
        <f t="shared" si="0"/>
        <v>5.4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1981347</v>
      </c>
      <c r="D20" s="132">
        <f t="shared" si="0"/>
        <v>6.9</v>
      </c>
    </row>
    <row r="21" spans="1:4" x14ac:dyDescent="0.2">
      <c r="A21">
        <v>2700</v>
      </c>
      <c r="B21" t="s">
        <v>710</v>
      </c>
      <c r="C21" s="129">
        <f>ROUND('DOE25'!L209+'DOE25'!L227+'DOE25'!L245+'DOE25'!L288+'DOE25'!L307+'DOE25'!L326,0)</f>
        <v>1549630</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736991</v>
      </c>
      <c r="D25" s="132">
        <f t="shared" si="0"/>
        <v>2.6</v>
      </c>
    </row>
    <row r="26" spans="1:4" x14ac:dyDescent="0.2">
      <c r="A26" s="133" t="s">
        <v>717</v>
      </c>
      <c r="B26" t="s">
        <v>718</v>
      </c>
      <c r="C26" s="129">
        <f>'DOE25'!L269+'DOE25'!L270+'DOE25'!L350+'DOE25'!L351</f>
        <v>65000</v>
      </c>
      <c r="D26" s="132">
        <f t="shared" si="0"/>
        <v>0.2</v>
      </c>
    </row>
    <row r="27" spans="1:4" x14ac:dyDescent="0.2">
      <c r="A27">
        <v>3100</v>
      </c>
      <c r="B27" t="s">
        <v>11</v>
      </c>
      <c r="C27" s="129">
        <f>ROUND('DOE25'!L363-'DOE25'!L362,0)-SUM('DOE25'!G97:G110)</f>
        <v>747298</v>
      </c>
      <c r="D27" s="132">
        <f t="shared" si="0"/>
        <v>2.6</v>
      </c>
    </row>
    <row r="28" spans="1:4" x14ac:dyDescent="0.2">
      <c r="B28" s="136" t="s">
        <v>719</v>
      </c>
      <c r="C28" s="130">
        <f>SUM(C10:C27)</f>
        <v>28741582</v>
      </c>
      <c r="D28" s="134">
        <f>ROUND(SUM(D10:D27),0)</f>
        <v>100</v>
      </c>
    </row>
    <row r="29" spans="1:4" x14ac:dyDescent="0.2">
      <c r="A29">
        <v>4000</v>
      </c>
      <c r="B29" t="s">
        <v>724</v>
      </c>
      <c r="C29" s="129">
        <f>ROUND('DOE25'!L256+'DOE25'!L337+'DOE25'!L375+'DOE25'!L376+'DOE25'!L377+'DOE25'!L378+'DOE25'!L379+'DOE25'!L380+'DOE25'!L381,0)</f>
        <v>160717</v>
      </c>
    </row>
    <row r="30" spans="1:4" x14ac:dyDescent="0.2">
      <c r="B30" s="136" t="s">
        <v>725</v>
      </c>
      <c r="C30" s="130">
        <f>SUM(C28:C29)</f>
        <v>28902299</v>
      </c>
    </row>
    <row r="31" spans="1:4" x14ac:dyDescent="0.2">
      <c r="B31" s="32"/>
      <c r="C31" s="130"/>
    </row>
    <row r="32" spans="1:4" x14ac:dyDescent="0.2">
      <c r="A32">
        <v>5100</v>
      </c>
      <c r="B32" s="32" t="s">
        <v>726</v>
      </c>
      <c r="C32" s="130">
        <f>ROUND('DOE25'!L261+'DOE25'!L342,0)</f>
        <v>797994</v>
      </c>
    </row>
    <row r="34" spans="1:4" x14ac:dyDescent="0.2">
      <c r="A34" s="136" t="s">
        <v>94</v>
      </c>
      <c r="B34" s="137" t="s">
        <v>1801</v>
      </c>
      <c r="C34" s="131" t="s">
        <v>720</v>
      </c>
      <c r="D34" s="131" t="s">
        <v>721</v>
      </c>
    </row>
    <row r="35" spans="1:4" x14ac:dyDescent="0.2">
      <c r="A35">
        <v>1100</v>
      </c>
      <c r="B35" s="71" t="s">
        <v>727</v>
      </c>
      <c r="C35" s="129">
        <f>ROUND('DOE25'!F60+'DOE25'!G60+'DOE25'!H60+'DOE25'!I60+'DOE25'!J60,0)</f>
        <v>19550787</v>
      </c>
      <c r="D35" s="132">
        <f t="shared" ref="D35:D40" si="1">ROUND((C35/$C$41)*100,1)</f>
        <v>66.099999999999994</v>
      </c>
    </row>
    <row r="36" spans="1:4" x14ac:dyDescent="0.2">
      <c r="B36" s="71" t="s">
        <v>739</v>
      </c>
      <c r="C36" s="129">
        <f>SUM('DOE25'!F112:J112)-SUM('DOE25'!G97:G110)+('DOE25'!F175+'DOE25'!F176+'DOE25'!I175+'DOE25'!I176)-C35</f>
        <v>394766.76000000164</v>
      </c>
      <c r="D36" s="132">
        <f t="shared" si="1"/>
        <v>1.3</v>
      </c>
    </row>
    <row r="37" spans="1:4" x14ac:dyDescent="0.2">
      <c r="A37" s="133" t="s">
        <v>835</v>
      </c>
      <c r="B37" s="71" t="s">
        <v>728</v>
      </c>
      <c r="C37" s="129">
        <f>ROUND('DOE25'!F117+'DOE25'!F118,0)</f>
        <v>7019232</v>
      </c>
      <c r="D37" s="132">
        <f t="shared" si="1"/>
        <v>23.7</v>
      </c>
    </row>
    <row r="38" spans="1:4" x14ac:dyDescent="0.2">
      <c r="A38" s="133" t="s">
        <v>734</v>
      </c>
      <c r="B38" s="71" t="s">
        <v>729</v>
      </c>
      <c r="C38" s="129">
        <f>ROUND(SUM('DOE25'!F140:J140)-SUM('DOE25'!F117:F119),0)</f>
        <v>591566</v>
      </c>
      <c r="D38" s="132">
        <f t="shared" si="1"/>
        <v>2</v>
      </c>
    </row>
    <row r="39" spans="1:4" x14ac:dyDescent="0.2">
      <c r="A39">
        <v>4000</v>
      </c>
      <c r="B39" s="71" t="s">
        <v>730</v>
      </c>
      <c r="C39" s="129">
        <f>ROUND('DOE25'!F170+'DOE25'!G170+'DOE25'!H170+'DOE25'!I170,0)</f>
        <v>2036240</v>
      </c>
      <c r="D39" s="132">
        <f t="shared" si="1"/>
        <v>6.9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29592591.760000002</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Mascoma Valley Regional</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35</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55</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78</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f>IFERROR(SMALL($I$4:$I$325,ROWS($I$4:I6)),"")</f>
        <v>133</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f>IF('School Level Expenditures'!$B$2=A38,'School Tables'!H38,"")</f>
        <v>35</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f>IF('School Level Expenditures'!$B$2='School Tables'!W58,'School Tables'!AD58,"")</f>
        <v>55</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f>IF('School Level Expenditures'!$B$2=A81,'School Tables'!H81,"")</f>
        <v>78</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f>IF('School Level Expenditures'!$B$2=A136,'School Tables'!H136,"")</f>
        <v>133</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2022-10-18T20:01:08Z</cp:lastPrinted>
  <dcterms:created xsi:type="dcterms:W3CDTF">1997-12-04T19:04:30Z</dcterms:created>
  <dcterms:modified xsi:type="dcterms:W3CDTF">2023-04-12T17:03:43Z</dcterms:modified>
</cp:coreProperties>
</file>