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S:\DOPS\BDM\DOE-25\FY2021-2022\Incoming\"/>
    </mc:Choice>
  </mc:AlternateContent>
  <xr:revisionPtr revIDLastSave="0" documentId="8_{005461C8-17CA-40BA-BD08-E788877D3374}" xr6:coauthVersionLast="47" xr6:coauthVersionMax="47" xr10:uidLastSave="{00000000-0000-0000-0000-000000000000}"/>
  <bookViews>
    <workbookView xWindow="-120" yWindow="-120" windowWidth="29040" windowHeight="15840" xr2:uid="{00000000-000D-0000-FFFF-FFFF00000000}"/>
  </bookViews>
  <sheets>
    <sheet name="DOE25" sheetId="1" r:id="rId1"/>
    <sheet name="ESEA OTHER TITLE PROGRAMS" sheetId="2" r:id="rId2"/>
    <sheet name="Food Service Attachment W" sheetId="3" r:id="rId3"/>
    <sheet name="Salaries-Benefits" sheetId="4" r:id="rId4"/>
    <sheet name="Indirect Cost Rate" sheetId="5" r:id="rId5"/>
    <sheet name="School Level Expenditures" sheetId="6" r:id="rId6"/>
    <sheet name="MS-25" sheetId="7" r:id="rId7"/>
    <sheet name="District Profile" sheetId="8" r:id="rId8"/>
    <sheet name="District &amp; DOE Notes" sheetId="9" r:id="rId9"/>
    <sheet name="School Tables" sheetId="10" state="hidden" r:id="rId10"/>
  </sheets>
  <definedNames>
    <definedName name="INDIRECT_COST_RATE">'DOE25'!$A$617:$L$617</definedName>
    <definedName name="ms25pg01">'MS-25'!$A$1:$G$52</definedName>
    <definedName name="ms25pg02">'MS-25'!$A$53:$G$81</definedName>
    <definedName name="ms25pg03">'MS-25'!$A$82:$G$104</definedName>
    <definedName name="ms25pg04">'MS-25'!$A$105:$G$146</definedName>
    <definedName name="ms25pg0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4" roundtripDataSignature="AMtx7mj8bKFKMfmDWtDGsOd0HumyWYQiag=="/>
    </ext>
  </extLst>
</workbook>
</file>

<file path=xl/calcChain.xml><?xml version="1.0" encoding="utf-8"?>
<calcChain xmlns="http://schemas.openxmlformats.org/spreadsheetml/2006/main">
  <c r="F474" i="1" l="1"/>
  <c r="K325" i="10"/>
  <c r="H325" i="10"/>
  <c r="K324" i="10"/>
  <c r="H324" i="10"/>
  <c r="K323" i="10"/>
  <c r="H323" i="10"/>
  <c r="K322" i="10"/>
  <c r="H322" i="10"/>
  <c r="K321" i="10"/>
  <c r="H321" i="10"/>
  <c r="K320" i="10"/>
  <c r="H320" i="10"/>
  <c r="K319" i="10"/>
  <c r="H319" i="10"/>
  <c r="K318" i="10"/>
  <c r="H318" i="10"/>
  <c r="K317" i="10"/>
  <c r="H317" i="10"/>
  <c r="K316" i="10"/>
  <c r="H316" i="10"/>
  <c r="K315" i="10"/>
  <c r="H315" i="10"/>
  <c r="K314" i="10"/>
  <c r="H314" i="10"/>
  <c r="K313" i="10"/>
  <c r="H313" i="10"/>
  <c r="K312" i="10"/>
  <c r="H312" i="10"/>
  <c r="K311" i="10"/>
  <c r="H311" i="10"/>
  <c r="K310" i="10"/>
  <c r="H310" i="10"/>
  <c r="K309" i="10"/>
  <c r="H309" i="10"/>
  <c r="K308" i="10"/>
  <c r="H308" i="10"/>
  <c r="K307" i="10"/>
  <c r="H307" i="10"/>
  <c r="K306" i="10"/>
  <c r="H306" i="10"/>
  <c r="K305" i="10"/>
  <c r="H305" i="10"/>
  <c r="K304" i="10"/>
  <c r="H304" i="10"/>
  <c r="K303" i="10"/>
  <c r="H303" i="10"/>
  <c r="K302" i="10"/>
  <c r="H302" i="10"/>
  <c r="K301" i="10"/>
  <c r="H301" i="10"/>
  <c r="K300" i="10"/>
  <c r="H300" i="10"/>
  <c r="K299" i="10"/>
  <c r="H299" i="10"/>
  <c r="K298" i="10"/>
  <c r="H298" i="10"/>
  <c r="K297" i="10"/>
  <c r="H297" i="10"/>
  <c r="K296" i="10"/>
  <c r="H296" i="10"/>
  <c r="K295" i="10"/>
  <c r="H295" i="10"/>
  <c r="K294" i="10"/>
  <c r="H294" i="10"/>
  <c r="K293" i="10"/>
  <c r="H293" i="10"/>
  <c r="K292" i="10"/>
  <c r="H292" i="10"/>
  <c r="K291" i="10"/>
  <c r="H291" i="10"/>
  <c r="K290" i="10"/>
  <c r="H290" i="10"/>
  <c r="K289" i="10"/>
  <c r="H289" i="10"/>
  <c r="K288" i="10"/>
  <c r="H288" i="10"/>
  <c r="K287" i="10"/>
  <c r="H287" i="10"/>
  <c r="K286" i="10"/>
  <c r="H286" i="10"/>
  <c r="K285" i="10"/>
  <c r="H285" i="10"/>
  <c r="K284" i="10"/>
  <c r="H284" i="10"/>
  <c r="K283" i="10"/>
  <c r="H283" i="10"/>
  <c r="K282" i="10"/>
  <c r="H282" i="10"/>
  <c r="K281" i="10"/>
  <c r="H281" i="10"/>
  <c r="K280" i="10"/>
  <c r="H280" i="10"/>
  <c r="K279" i="10"/>
  <c r="H279" i="10"/>
  <c r="K278" i="10"/>
  <c r="H278" i="10"/>
  <c r="K277" i="10"/>
  <c r="H277" i="10"/>
  <c r="K276" i="10"/>
  <c r="H276" i="10"/>
  <c r="K275" i="10"/>
  <c r="H275" i="10"/>
  <c r="K274" i="10"/>
  <c r="H274" i="10"/>
  <c r="K273" i="10"/>
  <c r="H273" i="10"/>
  <c r="K272" i="10"/>
  <c r="H272" i="10"/>
  <c r="K271" i="10"/>
  <c r="H271" i="10"/>
  <c r="K270" i="10"/>
  <c r="H270" i="10"/>
  <c r="K269" i="10"/>
  <c r="H269" i="10"/>
  <c r="K268" i="10"/>
  <c r="H268" i="10"/>
  <c r="K267" i="10"/>
  <c r="H267" i="10"/>
  <c r="K266" i="10"/>
  <c r="H266" i="10"/>
  <c r="K265" i="10"/>
  <c r="H265" i="10"/>
  <c r="K264" i="10"/>
  <c r="H264" i="10"/>
  <c r="K263" i="10"/>
  <c r="H263" i="10"/>
  <c r="K262" i="10"/>
  <c r="H262" i="10"/>
  <c r="K261" i="10"/>
  <c r="H261" i="10"/>
  <c r="K260" i="10"/>
  <c r="H260" i="10"/>
  <c r="K259" i="10"/>
  <c r="H259" i="10"/>
  <c r="K258" i="10"/>
  <c r="H258" i="10"/>
  <c r="K257" i="10"/>
  <c r="H257" i="10"/>
  <c r="K256" i="10"/>
  <c r="H256" i="10"/>
  <c r="K255" i="10"/>
  <c r="H255" i="10"/>
  <c r="K254" i="10"/>
  <c r="H254" i="10"/>
  <c r="K253" i="10"/>
  <c r="H253" i="10"/>
  <c r="K252" i="10"/>
  <c r="H252" i="10"/>
  <c r="K251" i="10"/>
  <c r="H251" i="10"/>
  <c r="K250" i="10"/>
  <c r="H250" i="10"/>
  <c r="K249" i="10"/>
  <c r="H249" i="10"/>
  <c r="K248" i="10"/>
  <c r="H248" i="10"/>
  <c r="K247" i="10"/>
  <c r="H247" i="10"/>
  <c r="K246" i="10"/>
  <c r="H246" i="10"/>
  <c r="K245" i="10"/>
  <c r="H245" i="10"/>
  <c r="K244" i="10"/>
  <c r="H244" i="10"/>
  <c r="K243" i="10"/>
  <c r="H243" i="10"/>
  <c r="K242" i="10"/>
  <c r="H242" i="10"/>
  <c r="K241" i="10"/>
  <c r="H241" i="10"/>
  <c r="K240" i="10"/>
  <c r="H240" i="10"/>
  <c r="K239" i="10"/>
  <c r="H239" i="10"/>
  <c r="K238" i="10"/>
  <c r="H238" i="10"/>
  <c r="K237" i="10"/>
  <c r="H237" i="10"/>
  <c r="K236" i="10"/>
  <c r="H236" i="10"/>
  <c r="K235" i="10"/>
  <c r="H235" i="10"/>
  <c r="K234" i="10"/>
  <c r="H234" i="10"/>
  <c r="K233" i="10"/>
  <c r="H233" i="10"/>
  <c r="K232" i="10"/>
  <c r="H232" i="10"/>
  <c r="K231" i="10"/>
  <c r="H231" i="10"/>
  <c r="K230" i="10"/>
  <c r="H230" i="10"/>
  <c r="K229" i="10"/>
  <c r="H229" i="10"/>
  <c r="K228" i="10"/>
  <c r="H228" i="10"/>
  <c r="K227" i="10"/>
  <c r="H227" i="10"/>
  <c r="K226" i="10"/>
  <c r="H226" i="10"/>
  <c r="K225" i="10"/>
  <c r="H225" i="10"/>
  <c r="K224" i="10"/>
  <c r="H224" i="10"/>
  <c r="K223" i="10"/>
  <c r="H223" i="10"/>
  <c r="K222" i="10"/>
  <c r="H222" i="10"/>
  <c r="K221" i="10"/>
  <c r="H221" i="10"/>
  <c r="K220" i="10"/>
  <c r="H220" i="10"/>
  <c r="K219" i="10"/>
  <c r="H219" i="10"/>
  <c r="K218" i="10"/>
  <c r="H218" i="10"/>
  <c r="K217" i="10"/>
  <c r="H217" i="10"/>
  <c r="K216" i="10"/>
  <c r="H216" i="10"/>
  <c r="K215" i="10"/>
  <c r="H215" i="10"/>
  <c r="K214" i="10"/>
  <c r="H214" i="10"/>
  <c r="K213" i="10"/>
  <c r="H213" i="10"/>
  <c r="K212" i="10"/>
  <c r="H212" i="10"/>
  <c r="K211" i="10"/>
  <c r="H211" i="10"/>
  <c r="K210" i="10"/>
  <c r="H210" i="10"/>
  <c r="K209" i="10"/>
  <c r="H209" i="10"/>
  <c r="K208" i="10"/>
  <c r="H208" i="10"/>
  <c r="K207" i="10"/>
  <c r="H207" i="10"/>
  <c r="K206" i="10"/>
  <c r="H206" i="10"/>
  <c r="K205" i="10"/>
  <c r="H205" i="10"/>
  <c r="K204" i="10"/>
  <c r="H204" i="10"/>
  <c r="K203" i="10"/>
  <c r="H203" i="10"/>
  <c r="K202" i="10"/>
  <c r="H202" i="10"/>
  <c r="K201" i="10"/>
  <c r="H201" i="10"/>
  <c r="K200" i="10"/>
  <c r="H200" i="10"/>
  <c r="K199" i="10"/>
  <c r="H199" i="10"/>
  <c r="K198" i="10"/>
  <c r="H198" i="10"/>
  <c r="K197" i="10"/>
  <c r="H197" i="10"/>
  <c r="K196" i="10"/>
  <c r="H196" i="10"/>
  <c r="K195" i="10"/>
  <c r="H195" i="10"/>
  <c r="K194" i="10"/>
  <c r="H194" i="10"/>
  <c r="K193" i="10"/>
  <c r="H193" i="10"/>
  <c r="K192" i="10"/>
  <c r="H192" i="10"/>
  <c r="K191" i="10"/>
  <c r="H191" i="10"/>
  <c r="K190" i="10"/>
  <c r="H190" i="10"/>
  <c r="K189" i="10"/>
  <c r="H189" i="10"/>
  <c r="K188" i="10"/>
  <c r="H188" i="10"/>
  <c r="K187" i="10"/>
  <c r="H187" i="10"/>
  <c r="K186" i="10"/>
  <c r="H186" i="10"/>
  <c r="K185" i="10"/>
  <c r="H185" i="10"/>
  <c r="K184" i="10"/>
  <c r="H184" i="10"/>
  <c r="K183" i="10"/>
  <c r="H183" i="10"/>
  <c r="K182" i="10"/>
  <c r="H182" i="10"/>
  <c r="K181" i="10"/>
  <c r="H181" i="10"/>
  <c r="K180" i="10"/>
  <c r="H180" i="10"/>
  <c r="K179" i="10"/>
  <c r="H179" i="10"/>
  <c r="K178" i="10"/>
  <c r="H178" i="10"/>
  <c r="K177" i="10"/>
  <c r="H177" i="10"/>
  <c r="K176" i="10"/>
  <c r="H176" i="10"/>
  <c r="K175" i="10"/>
  <c r="H175" i="10"/>
  <c r="K174" i="10"/>
  <c r="H174" i="10"/>
  <c r="K173" i="10"/>
  <c r="H173" i="10"/>
  <c r="K172" i="10"/>
  <c r="H172" i="10"/>
  <c r="K171" i="10"/>
  <c r="H171" i="10"/>
  <c r="K170" i="10"/>
  <c r="H170" i="10"/>
  <c r="K169" i="10"/>
  <c r="H169" i="10"/>
  <c r="K168" i="10"/>
  <c r="H168" i="10"/>
  <c r="K167" i="10"/>
  <c r="H167" i="10"/>
  <c r="K166" i="10"/>
  <c r="H166" i="10"/>
  <c r="K165" i="10"/>
  <c r="H165" i="10"/>
  <c r="K164" i="10"/>
  <c r="H164" i="10"/>
  <c r="K163" i="10"/>
  <c r="H163" i="10"/>
  <c r="K162" i="10"/>
  <c r="H162" i="10"/>
  <c r="K161" i="10"/>
  <c r="H161" i="10"/>
  <c r="K160" i="10"/>
  <c r="H160" i="10"/>
  <c r="K159" i="10"/>
  <c r="H159" i="10"/>
  <c r="K158" i="10"/>
  <c r="H158" i="10"/>
  <c r="K157" i="10"/>
  <c r="H157" i="10"/>
  <c r="K156" i="10"/>
  <c r="H156" i="10"/>
  <c r="K155" i="10"/>
  <c r="H155" i="10"/>
  <c r="K154" i="10"/>
  <c r="H154" i="10"/>
  <c r="K153" i="10"/>
  <c r="H153" i="10"/>
  <c r="K152" i="10"/>
  <c r="H152" i="10"/>
  <c r="K151" i="10"/>
  <c r="H151" i="10"/>
  <c r="K150" i="10"/>
  <c r="H150" i="10"/>
  <c r="K149" i="10"/>
  <c r="H149" i="10"/>
  <c r="K148" i="10"/>
  <c r="H148" i="10"/>
  <c r="K147" i="10"/>
  <c r="H147" i="10"/>
  <c r="K146" i="10"/>
  <c r="H146" i="10"/>
  <c r="K145" i="10"/>
  <c r="H145" i="10"/>
  <c r="K144" i="10"/>
  <c r="H144" i="10"/>
  <c r="K143" i="10"/>
  <c r="H143" i="10"/>
  <c r="K142" i="10"/>
  <c r="H142" i="10"/>
  <c r="K141" i="10"/>
  <c r="H141" i="10"/>
  <c r="K140" i="10"/>
  <c r="H140" i="10"/>
  <c r="K139" i="10"/>
  <c r="H139" i="10"/>
  <c r="K138" i="10"/>
  <c r="H138" i="10"/>
  <c r="K137" i="10"/>
  <c r="H137" i="10"/>
  <c r="K136" i="10"/>
  <c r="H136" i="10"/>
  <c r="K135" i="10"/>
  <c r="H135" i="10"/>
  <c r="K134" i="10"/>
  <c r="H134" i="10"/>
  <c r="K133" i="10"/>
  <c r="H133" i="10"/>
  <c r="K132" i="10"/>
  <c r="H132" i="10"/>
  <c r="K131" i="10"/>
  <c r="H131" i="10"/>
  <c r="K130" i="10"/>
  <c r="H130" i="10"/>
  <c r="K129" i="10"/>
  <c r="H129" i="10"/>
  <c r="K128" i="10"/>
  <c r="H128" i="10"/>
  <c r="K127" i="10"/>
  <c r="H127" i="10"/>
  <c r="K126" i="10"/>
  <c r="H126" i="10"/>
  <c r="K125" i="10"/>
  <c r="H125" i="10"/>
  <c r="K124" i="10"/>
  <c r="H124" i="10"/>
  <c r="K123" i="10"/>
  <c r="H123" i="10"/>
  <c r="K122" i="10"/>
  <c r="H122" i="10"/>
  <c r="K121" i="10"/>
  <c r="H121" i="10"/>
  <c r="K120" i="10"/>
  <c r="H120" i="10"/>
  <c r="K119" i="10"/>
  <c r="H119" i="10"/>
  <c r="K118" i="10"/>
  <c r="H118" i="10"/>
  <c r="K117" i="10"/>
  <c r="H117" i="10"/>
  <c r="K116" i="10"/>
  <c r="H116" i="10"/>
  <c r="K115" i="10"/>
  <c r="H115" i="10"/>
  <c r="K114" i="10"/>
  <c r="H114" i="10"/>
  <c r="K113" i="10"/>
  <c r="H113" i="10"/>
  <c r="K112" i="10"/>
  <c r="H112" i="10"/>
  <c r="K111" i="10"/>
  <c r="H111" i="10"/>
  <c r="K110" i="10"/>
  <c r="H110" i="10"/>
  <c r="K109" i="10"/>
  <c r="H109" i="10"/>
  <c r="K108" i="10"/>
  <c r="H108" i="10"/>
  <c r="K107" i="10"/>
  <c r="H107" i="10"/>
  <c r="K106" i="10"/>
  <c r="H106" i="10"/>
  <c r="K105" i="10"/>
  <c r="H105" i="10"/>
  <c r="K104" i="10"/>
  <c r="H104" i="10"/>
  <c r="K103" i="10"/>
  <c r="H103" i="10"/>
  <c r="K102" i="10"/>
  <c r="H102" i="10"/>
  <c r="K101" i="10"/>
  <c r="H101" i="10"/>
  <c r="AD100" i="10"/>
  <c r="K100" i="10"/>
  <c r="H100" i="10"/>
  <c r="AG99" i="10"/>
  <c r="AD99" i="10"/>
  <c r="K99" i="10"/>
  <c r="H99" i="10"/>
  <c r="AG98" i="10"/>
  <c r="AD98" i="10"/>
  <c r="K98" i="10"/>
  <c r="H98" i="10"/>
  <c r="AG97" i="10"/>
  <c r="AD97" i="10"/>
  <c r="K97" i="10"/>
  <c r="H97" i="10"/>
  <c r="AG96" i="10"/>
  <c r="AD96" i="10"/>
  <c r="K96" i="10"/>
  <c r="H96" i="10"/>
  <c r="AG95" i="10"/>
  <c r="AD95" i="10"/>
  <c r="K95" i="10"/>
  <c r="H95" i="10"/>
  <c r="AG94" i="10"/>
  <c r="AD94" i="10"/>
  <c r="K94" i="10"/>
  <c r="H94" i="10"/>
  <c r="AG93" i="10"/>
  <c r="AD93" i="10"/>
  <c r="K93" i="10"/>
  <c r="H93" i="10"/>
  <c r="AG92" i="10"/>
  <c r="AD92" i="10"/>
  <c r="K92" i="10"/>
  <c r="H92" i="10"/>
  <c r="AG91" i="10"/>
  <c r="AD91" i="10"/>
  <c r="K91" i="10"/>
  <c r="H91" i="10"/>
  <c r="AG90" i="10"/>
  <c r="AD90" i="10"/>
  <c r="K90" i="10"/>
  <c r="H90" i="10"/>
  <c r="AG89" i="10"/>
  <c r="AD89" i="10"/>
  <c r="K89" i="10"/>
  <c r="H89" i="10"/>
  <c r="AG88" i="10"/>
  <c r="AD88" i="10"/>
  <c r="K88" i="10"/>
  <c r="H88" i="10"/>
  <c r="AG87" i="10"/>
  <c r="AD87" i="10"/>
  <c r="K87" i="10"/>
  <c r="H87" i="10"/>
  <c r="AG86" i="10"/>
  <c r="AD86" i="10"/>
  <c r="K86" i="10"/>
  <c r="H86" i="10"/>
  <c r="AG85" i="10"/>
  <c r="AD85" i="10"/>
  <c r="K85" i="10"/>
  <c r="H85" i="10"/>
  <c r="AG84" i="10"/>
  <c r="AD84" i="10"/>
  <c r="K84" i="10"/>
  <c r="H84" i="10"/>
  <c r="AG83" i="10"/>
  <c r="AD83" i="10"/>
  <c r="K83" i="10"/>
  <c r="H83" i="10"/>
  <c r="AG82" i="10"/>
  <c r="AD82" i="10"/>
  <c r="K82" i="10"/>
  <c r="H82" i="10"/>
  <c r="AG81" i="10"/>
  <c r="AD81" i="10"/>
  <c r="K81" i="10"/>
  <c r="H81" i="10"/>
  <c r="AG80" i="10"/>
  <c r="AD80" i="10"/>
  <c r="K80" i="10"/>
  <c r="H80" i="10"/>
  <c r="AG79" i="10"/>
  <c r="AD79" i="10"/>
  <c r="K79" i="10"/>
  <c r="H79" i="10"/>
  <c r="AG78" i="10"/>
  <c r="AD78" i="10"/>
  <c r="K78" i="10"/>
  <c r="H78" i="10"/>
  <c r="AG77" i="10"/>
  <c r="AD77" i="10"/>
  <c r="K77" i="10"/>
  <c r="H77" i="10"/>
  <c r="AG76" i="10"/>
  <c r="AD76" i="10"/>
  <c r="K76" i="10"/>
  <c r="H76" i="10"/>
  <c r="AG75" i="10"/>
  <c r="AD75" i="10"/>
  <c r="V75" i="10"/>
  <c r="S75" i="10"/>
  <c r="K75" i="10"/>
  <c r="H75" i="10"/>
  <c r="AG74" i="10"/>
  <c r="AD74" i="10"/>
  <c r="V74" i="10"/>
  <c r="S74" i="10"/>
  <c r="K74" i="10"/>
  <c r="H74" i="10"/>
  <c r="AG73" i="10"/>
  <c r="AD73" i="10"/>
  <c r="V73" i="10"/>
  <c r="S73" i="10"/>
  <c r="K73" i="10"/>
  <c r="H73" i="10"/>
  <c r="AG72" i="10"/>
  <c r="AD72" i="10"/>
  <c r="V72" i="10"/>
  <c r="S72" i="10"/>
  <c r="K72" i="10"/>
  <c r="H72" i="10"/>
  <c r="AG71" i="10"/>
  <c r="AD71" i="10"/>
  <c r="V71" i="10"/>
  <c r="S71" i="10"/>
  <c r="K71" i="10"/>
  <c r="H71" i="10"/>
  <c r="AG70" i="10"/>
  <c r="AD70" i="10"/>
  <c r="V70" i="10"/>
  <c r="S70" i="10"/>
  <c r="K70" i="10"/>
  <c r="H70" i="10"/>
  <c r="AG69" i="10"/>
  <c r="AD69" i="10"/>
  <c r="V69" i="10"/>
  <c r="S69" i="10"/>
  <c r="K69" i="10"/>
  <c r="H69" i="10"/>
  <c r="AG68" i="10"/>
  <c r="AD68" i="10"/>
  <c r="V68" i="10"/>
  <c r="S68" i="10"/>
  <c r="K68" i="10"/>
  <c r="H68" i="10"/>
  <c r="AG67" i="10"/>
  <c r="AD67" i="10"/>
  <c r="V67" i="10"/>
  <c r="S67" i="10"/>
  <c r="K67" i="10"/>
  <c r="H67" i="10"/>
  <c r="AG66" i="10"/>
  <c r="AD66" i="10"/>
  <c r="V66" i="10"/>
  <c r="S66" i="10"/>
  <c r="K66" i="10"/>
  <c r="H66" i="10"/>
  <c r="AG65" i="10"/>
  <c r="AD65" i="10"/>
  <c r="V65" i="10"/>
  <c r="S65" i="10"/>
  <c r="K65" i="10"/>
  <c r="H65" i="10"/>
  <c r="AG64" i="10"/>
  <c r="AD64" i="10"/>
  <c r="V64" i="10"/>
  <c r="S64" i="10"/>
  <c r="K64" i="10"/>
  <c r="H64" i="10"/>
  <c r="AG63" i="10"/>
  <c r="AD63" i="10"/>
  <c r="V63" i="10"/>
  <c r="S63" i="10"/>
  <c r="K63" i="10"/>
  <c r="H63" i="10"/>
  <c r="AG62" i="10"/>
  <c r="AD62" i="10"/>
  <c r="V62" i="10"/>
  <c r="S62" i="10"/>
  <c r="K62" i="10"/>
  <c r="H62" i="10"/>
  <c r="AG61" i="10"/>
  <c r="AD61" i="10"/>
  <c r="V61" i="10"/>
  <c r="S61" i="10"/>
  <c r="K61" i="10"/>
  <c r="H61" i="10"/>
  <c r="AG60" i="10"/>
  <c r="AD60" i="10"/>
  <c r="V60" i="10"/>
  <c r="S60" i="10"/>
  <c r="K60" i="10"/>
  <c r="H60" i="10"/>
  <c r="AG59" i="10"/>
  <c r="AD59" i="10"/>
  <c r="V59" i="10"/>
  <c r="S59" i="10"/>
  <c r="K59" i="10"/>
  <c r="H59" i="10"/>
  <c r="AG58" i="10"/>
  <c r="AD58" i="10"/>
  <c r="V58" i="10"/>
  <c r="S58" i="10"/>
  <c r="K58" i="10"/>
  <c r="H58" i="10"/>
  <c r="AG57" i="10"/>
  <c r="AD57" i="10"/>
  <c r="V57" i="10"/>
  <c r="S57" i="10"/>
  <c r="K57" i="10"/>
  <c r="H57" i="10"/>
  <c r="AG56" i="10"/>
  <c r="AD56" i="10"/>
  <c r="V56" i="10"/>
  <c r="S56" i="10"/>
  <c r="K56" i="10"/>
  <c r="H56" i="10"/>
  <c r="AG55" i="10"/>
  <c r="AD55" i="10"/>
  <c r="V55" i="10"/>
  <c r="S55" i="10"/>
  <c r="K55" i="10"/>
  <c r="H55" i="10"/>
  <c r="AG54" i="10"/>
  <c r="AD54" i="10"/>
  <c r="V54" i="10"/>
  <c r="S54" i="10"/>
  <c r="K54" i="10"/>
  <c r="H54" i="10"/>
  <c r="AG53" i="10"/>
  <c r="AD53" i="10"/>
  <c r="V53" i="10"/>
  <c r="S53" i="10"/>
  <c r="K53" i="10"/>
  <c r="H53" i="10"/>
  <c r="AG52" i="10"/>
  <c r="AD52" i="10"/>
  <c r="V52" i="10"/>
  <c r="S52" i="10"/>
  <c r="K52" i="10"/>
  <c r="H52" i="10"/>
  <c r="AG51" i="10"/>
  <c r="AD51" i="10"/>
  <c r="V51" i="10"/>
  <c r="S51" i="10"/>
  <c r="K51" i="10"/>
  <c r="H51" i="10"/>
  <c r="AG50" i="10"/>
  <c r="AD50" i="10"/>
  <c r="V50" i="10"/>
  <c r="S50" i="10"/>
  <c r="K50" i="10"/>
  <c r="H50" i="10"/>
  <c r="AG49" i="10"/>
  <c r="AD49" i="10"/>
  <c r="V49" i="10"/>
  <c r="S49" i="10"/>
  <c r="K49" i="10"/>
  <c r="H49" i="10"/>
  <c r="AG48" i="10"/>
  <c r="AD48" i="10"/>
  <c r="V48" i="10"/>
  <c r="S48" i="10"/>
  <c r="K48" i="10"/>
  <c r="H48" i="10"/>
  <c r="AG47" i="10"/>
  <c r="AD47" i="10"/>
  <c r="V47" i="10"/>
  <c r="S47" i="10"/>
  <c r="K47" i="10"/>
  <c r="H47" i="10"/>
  <c r="AG46" i="10"/>
  <c r="AD46" i="10"/>
  <c r="V46" i="10"/>
  <c r="S46" i="10"/>
  <c r="K46" i="10"/>
  <c r="H46" i="10"/>
  <c r="AG45" i="10"/>
  <c r="AD45" i="10"/>
  <c r="V45" i="10"/>
  <c r="S45" i="10"/>
  <c r="K45" i="10"/>
  <c r="H45" i="10"/>
  <c r="AG44" i="10"/>
  <c r="AD44" i="10"/>
  <c r="V44" i="10"/>
  <c r="S44" i="10"/>
  <c r="K44" i="10"/>
  <c r="H44" i="10"/>
  <c r="AG43" i="10"/>
  <c r="AD43" i="10"/>
  <c r="V43" i="10"/>
  <c r="S43" i="10"/>
  <c r="K43" i="10"/>
  <c r="H43" i="10"/>
  <c r="AG42" i="10"/>
  <c r="AD42" i="10"/>
  <c r="V42" i="10"/>
  <c r="S42" i="10"/>
  <c r="K42" i="10"/>
  <c r="H42" i="10"/>
  <c r="AG41" i="10"/>
  <c r="AD41" i="10"/>
  <c r="V41" i="10"/>
  <c r="S41" i="10"/>
  <c r="K41" i="10"/>
  <c r="H41" i="10"/>
  <c r="AG40" i="10"/>
  <c r="AD40" i="10"/>
  <c r="V40" i="10"/>
  <c r="S40" i="10"/>
  <c r="K40" i="10"/>
  <c r="H40" i="10"/>
  <c r="AG39" i="10"/>
  <c r="AD39" i="10"/>
  <c r="V39" i="10"/>
  <c r="S39" i="10"/>
  <c r="K39" i="10"/>
  <c r="H39" i="10"/>
  <c r="AG38" i="10"/>
  <c r="AD38" i="10"/>
  <c r="V38" i="10"/>
  <c r="S38" i="10"/>
  <c r="K38" i="10"/>
  <c r="H38" i="10"/>
  <c r="AG37" i="10"/>
  <c r="AD37" i="10"/>
  <c r="V37" i="10"/>
  <c r="S37" i="10"/>
  <c r="K37" i="10"/>
  <c r="H37" i="10"/>
  <c r="AG36" i="10"/>
  <c r="AD36" i="10"/>
  <c r="V36" i="10"/>
  <c r="S36" i="10"/>
  <c r="K36" i="10"/>
  <c r="H36" i="10"/>
  <c r="AG35" i="10"/>
  <c r="AD35" i="10"/>
  <c r="V35" i="10"/>
  <c r="S35" i="10"/>
  <c r="K35" i="10"/>
  <c r="H35" i="10"/>
  <c r="AG34" i="10"/>
  <c r="AD34" i="10"/>
  <c r="V34" i="10"/>
  <c r="S34" i="10"/>
  <c r="K34" i="10"/>
  <c r="H34" i="10"/>
  <c r="AG33" i="10"/>
  <c r="AD33" i="10"/>
  <c r="V33" i="10"/>
  <c r="S33" i="10"/>
  <c r="K33" i="10"/>
  <c r="H33" i="10"/>
  <c r="AG32" i="10"/>
  <c r="AD32" i="10"/>
  <c r="V32" i="10"/>
  <c r="S32" i="10"/>
  <c r="K32" i="10"/>
  <c r="H32" i="10"/>
  <c r="AG31" i="10"/>
  <c r="AD31" i="10"/>
  <c r="V31" i="10"/>
  <c r="S31" i="10"/>
  <c r="K31" i="10"/>
  <c r="H31" i="10"/>
  <c r="AG30" i="10"/>
  <c r="AD30" i="10"/>
  <c r="V30" i="10"/>
  <c r="S30" i="10"/>
  <c r="K30" i="10"/>
  <c r="H30" i="10"/>
  <c r="AG29" i="10"/>
  <c r="AD29" i="10"/>
  <c r="V29" i="10"/>
  <c r="S29" i="10"/>
  <c r="K29" i="10"/>
  <c r="H29" i="10"/>
  <c r="AG28" i="10"/>
  <c r="AD28" i="10"/>
  <c r="V28" i="10"/>
  <c r="S28" i="10"/>
  <c r="K28" i="10"/>
  <c r="H28" i="10"/>
  <c r="AG27" i="10"/>
  <c r="AD27" i="10"/>
  <c r="V27" i="10"/>
  <c r="S27" i="10"/>
  <c r="K27" i="10"/>
  <c r="H27" i="10"/>
  <c r="AG26" i="10"/>
  <c r="AD26" i="10"/>
  <c r="V26" i="10"/>
  <c r="S26" i="10"/>
  <c r="K26" i="10"/>
  <c r="H26" i="10"/>
  <c r="AG25" i="10"/>
  <c r="AD25" i="10"/>
  <c r="V25" i="10"/>
  <c r="S25" i="10"/>
  <c r="K25" i="10"/>
  <c r="H25" i="10"/>
  <c r="AG24" i="10"/>
  <c r="AD24" i="10"/>
  <c r="V24" i="10"/>
  <c r="S24" i="10"/>
  <c r="K24" i="10"/>
  <c r="H24" i="10"/>
  <c r="AG23" i="10"/>
  <c r="AD23" i="10"/>
  <c r="V23" i="10"/>
  <c r="S23" i="10"/>
  <c r="K23" i="10"/>
  <c r="H23" i="10"/>
  <c r="AG22" i="10"/>
  <c r="AD22" i="10"/>
  <c r="V22" i="10"/>
  <c r="S22" i="10"/>
  <c r="K22" i="10"/>
  <c r="H22" i="10"/>
  <c r="AG21" i="10"/>
  <c r="AD21" i="10"/>
  <c r="V21" i="10"/>
  <c r="S21" i="10"/>
  <c r="K21" i="10"/>
  <c r="H21" i="10"/>
  <c r="AG20" i="10"/>
  <c r="AD20" i="10"/>
  <c r="V20" i="10"/>
  <c r="S20" i="10"/>
  <c r="K20" i="10"/>
  <c r="H20" i="10"/>
  <c r="AG19" i="10"/>
  <c r="AD19" i="10"/>
  <c r="V19" i="10"/>
  <c r="S19" i="10"/>
  <c r="K19" i="10"/>
  <c r="H19" i="10"/>
  <c r="AG18" i="10"/>
  <c r="AD18" i="10"/>
  <c r="V18" i="10"/>
  <c r="S18" i="10"/>
  <c r="K18" i="10"/>
  <c r="H18" i="10"/>
  <c r="AG17" i="10"/>
  <c r="AD17" i="10"/>
  <c r="V17" i="10"/>
  <c r="S17" i="10"/>
  <c r="K17" i="10"/>
  <c r="H17" i="10"/>
  <c r="AG16" i="10"/>
  <c r="AD16" i="10"/>
  <c r="V16" i="10"/>
  <c r="S16" i="10"/>
  <c r="K16" i="10"/>
  <c r="H16" i="10"/>
  <c r="AG15" i="10"/>
  <c r="AD15" i="10"/>
  <c r="V15" i="10"/>
  <c r="S15" i="10"/>
  <c r="K15" i="10"/>
  <c r="H15" i="10"/>
  <c r="AG14" i="10"/>
  <c r="AD14" i="10"/>
  <c r="V14" i="10"/>
  <c r="S14" i="10"/>
  <c r="K14" i="10"/>
  <c r="H14" i="10"/>
  <c r="AG13" i="10"/>
  <c r="AD13" i="10"/>
  <c r="V13" i="10"/>
  <c r="S13" i="10"/>
  <c r="K13" i="10"/>
  <c r="H13" i="10"/>
  <c r="AG12" i="10"/>
  <c r="AD12" i="10"/>
  <c r="V12" i="10"/>
  <c r="S12" i="10"/>
  <c r="K12" i="10"/>
  <c r="H12" i="10"/>
  <c r="AG11" i="10"/>
  <c r="AD11" i="10"/>
  <c r="V11" i="10"/>
  <c r="S11" i="10"/>
  <c r="K11" i="10"/>
  <c r="H11" i="10"/>
  <c r="AG10" i="10"/>
  <c r="AD10" i="10"/>
  <c r="V10" i="10"/>
  <c r="S10" i="10"/>
  <c r="K10" i="10"/>
  <c r="H10" i="10"/>
  <c r="AG9" i="10"/>
  <c r="AD9" i="10"/>
  <c r="V9" i="10"/>
  <c r="S9" i="10"/>
  <c r="K9" i="10"/>
  <c r="H9" i="10"/>
  <c r="AG8" i="10"/>
  <c r="AD8" i="10"/>
  <c r="V8" i="10"/>
  <c r="S8" i="10"/>
  <c r="K8" i="10"/>
  <c r="H8" i="10"/>
  <c r="AG7" i="10"/>
  <c r="AD7" i="10"/>
  <c r="V7" i="10"/>
  <c r="S7" i="10"/>
  <c r="K7" i="10"/>
  <c r="H7" i="10"/>
  <c r="AG6" i="10"/>
  <c r="AD6" i="10"/>
  <c r="V6" i="10"/>
  <c r="S6" i="10"/>
  <c r="K6" i="10"/>
  <c r="H6" i="10"/>
  <c r="AG5" i="10"/>
  <c r="AD5" i="10"/>
  <c r="V5" i="10"/>
  <c r="S5" i="10"/>
  <c r="K5" i="10"/>
  <c r="H5" i="10"/>
  <c r="AG4" i="10"/>
  <c r="AD4" i="10"/>
  <c r="V4" i="10"/>
  <c r="S4" i="10"/>
  <c r="K4" i="10"/>
  <c r="H4" i="10"/>
  <c r="F2" i="9"/>
  <c r="C42" i="8"/>
  <c r="C40" i="8"/>
  <c r="B2" i="8"/>
  <c r="E164" i="7"/>
  <c r="D164" i="7"/>
  <c r="F163" i="7"/>
  <c r="E163" i="7"/>
  <c r="D163" i="7"/>
  <c r="C163" i="7"/>
  <c r="F162" i="7"/>
  <c r="E162" i="7"/>
  <c r="D162" i="7"/>
  <c r="C162" i="7"/>
  <c r="B162" i="7"/>
  <c r="F160" i="7"/>
  <c r="E160" i="7"/>
  <c r="D160" i="7"/>
  <c r="C160" i="7"/>
  <c r="F159" i="7"/>
  <c r="E159" i="7"/>
  <c r="D159" i="7"/>
  <c r="C159" i="7"/>
  <c r="F158" i="7"/>
  <c r="E158" i="7"/>
  <c r="D158" i="7"/>
  <c r="C158" i="7"/>
  <c r="B158" i="7"/>
  <c r="G158" i="7" s="1"/>
  <c r="G157" i="7"/>
  <c r="F157" i="7"/>
  <c r="E157" i="7"/>
  <c r="D157" i="7"/>
  <c r="C157" i="7"/>
  <c r="B157" i="7"/>
  <c r="F156" i="7"/>
  <c r="E156" i="7"/>
  <c r="D156" i="7"/>
  <c r="C156" i="7"/>
  <c r="B156" i="7"/>
  <c r="G156" i="7" s="1"/>
  <c r="F155" i="7"/>
  <c r="E155" i="7"/>
  <c r="D155" i="7"/>
  <c r="C155" i="7"/>
  <c r="B155" i="7"/>
  <c r="F154" i="7"/>
  <c r="E154" i="7"/>
  <c r="D154" i="7"/>
  <c r="C154" i="7"/>
  <c r="B154" i="7"/>
  <c r="F153" i="7"/>
  <c r="E153" i="7"/>
  <c r="D153" i="7"/>
  <c r="C153" i="7"/>
  <c r="B153" i="7"/>
  <c r="F152" i="7"/>
  <c r="E152" i="7"/>
  <c r="D152" i="7"/>
  <c r="C152" i="7"/>
  <c r="B152" i="7"/>
  <c r="F151" i="7"/>
  <c r="E151" i="7"/>
  <c r="D151" i="7"/>
  <c r="C151" i="7"/>
  <c r="B151" i="7"/>
  <c r="E143" i="7"/>
  <c r="H141" i="7"/>
  <c r="F134" i="7"/>
  <c r="E134" i="7"/>
  <c r="D134" i="7"/>
  <c r="G128" i="7"/>
  <c r="F128" i="7"/>
  <c r="E124" i="7"/>
  <c r="G115" i="7"/>
  <c r="F115" i="7"/>
  <c r="D115" i="7"/>
  <c r="F102" i="7"/>
  <c r="E102" i="7"/>
  <c r="D102" i="7"/>
  <c r="C102" i="7"/>
  <c r="H102" i="7" s="1"/>
  <c r="H101" i="7"/>
  <c r="F101" i="7"/>
  <c r="E101" i="7"/>
  <c r="D101" i="7"/>
  <c r="C101" i="7"/>
  <c r="F100" i="7"/>
  <c r="E100" i="7"/>
  <c r="D100" i="7"/>
  <c r="C100" i="7"/>
  <c r="H100" i="7" s="1"/>
  <c r="F99" i="7"/>
  <c r="E99" i="7"/>
  <c r="H99" i="7" s="1"/>
  <c r="D99" i="7"/>
  <c r="C99" i="7"/>
  <c r="G98" i="7"/>
  <c r="E98" i="7"/>
  <c r="D98" i="7"/>
  <c r="C98" i="7"/>
  <c r="H98" i="7" s="1"/>
  <c r="G97" i="7"/>
  <c r="F97" i="7"/>
  <c r="E97" i="7"/>
  <c r="D97" i="7"/>
  <c r="H97" i="7" s="1"/>
  <c r="C97" i="7"/>
  <c r="G96" i="7"/>
  <c r="G103" i="7" s="1"/>
  <c r="F96" i="7"/>
  <c r="E96" i="7"/>
  <c r="D96" i="7"/>
  <c r="H96" i="7" s="1"/>
  <c r="F94" i="7"/>
  <c r="H94" i="7" s="1"/>
  <c r="C94" i="7"/>
  <c r="F93" i="7"/>
  <c r="F103" i="7" s="1"/>
  <c r="C93" i="7"/>
  <c r="C90" i="7"/>
  <c r="H90" i="7" s="1"/>
  <c r="F89" i="7"/>
  <c r="E89" i="7"/>
  <c r="D89" i="7"/>
  <c r="C89" i="7"/>
  <c r="H89" i="7" s="1"/>
  <c r="F88" i="7"/>
  <c r="D88" i="7"/>
  <c r="C88" i="7"/>
  <c r="F87" i="7"/>
  <c r="E87" i="7"/>
  <c r="C87" i="7"/>
  <c r="H87" i="7" s="1"/>
  <c r="E80" i="7"/>
  <c r="C80" i="7"/>
  <c r="H80" i="7" s="1"/>
  <c r="H79" i="7"/>
  <c r="E79" i="7"/>
  <c r="D79" i="7"/>
  <c r="C79" i="7"/>
  <c r="E78" i="7"/>
  <c r="D78" i="7"/>
  <c r="G77" i="7"/>
  <c r="G78" i="7" s="1"/>
  <c r="G81" i="7" s="1"/>
  <c r="F77" i="7"/>
  <c r="E77" i="7"/>
  <c r="D77" i="7"/>
  <c r="C77" i="7"/>
  <c r="F76" i="7"/>
  <c r="E76" i="7"/>
  <c r="C76" i="7"/>
  <c r="H76" i="7" s="1"/>
  <c r="H75" i="7"/>
  <c r="C75" i="7"/>
  <c r="C74" i="7"/>
  <c r="H74" i="7" s="1"/>
  <c r="H73" i="7"/>
  <c r="F73" i="7"/>
  <c r="C73" i="7"/>
  <c r="F72" i="7"/>
  <c r="F78" i="7" s="1"/>
  <c r="F81" i="7" s="1"/>
  <c r="G70" i="7"/>
  <c r="F70" i="7"/>
  <c r="G69" i="7"/>
  <c r="F69" i="7"/>
  <c r="E69" i="7"/>
  <c r="E70" i="7" s="1"/>
  <c r="D69" i="7"/>
  <c r="D70" i="7" s="1"/>
  <c r="C69" i="7"/>
  <c r="H69" i="7" s="1"/>
  <c r="C68" i="7"/>
  <c r="C67" i="7"/>
  <c r="H67" i="7" s="1"/>
  <c r="G61" i="7"/>
  <c r="F61" i="7"/>
  <c r="E61" i="7"/>
  <c r="D61" i="7"/>
  <c r="C61" i="7"/>
  <c r="G59" i="7"/>
  <c r="F59" i="7"/>
  <c r="F62" i="7" s="1"/>
  <c r="E59" i="7"/>
  <c r="D59" i="7"/>
  <c r="C59" i="7"/>
  <c r="H59" i="7" s="1"/>
  <c r="D56" i="7"/>
  <c r="C56" i="7"/>
  <c r="D50" i="7"/>
  <c r="C49" i="7"/>
  <c r="H49" i="7" s="1"/>
  <c r="F48" i="7"/>
  <c r="E48" i="7"/>
  <c r="D48" i="7"/>
  <c r="F47" i="7"/>
  <c r="E47" i="7"/>
  <c r="D47" i="7"/>
  <c r="C45" i="7"/>
  <c r="H45" i="7" s="1"/>
  <c r="F44" i="7"/>
  <c r="E44" i="7"/>
  <c r="D44" i="7"/>
  <c r="C44" i="7"/>
  <c r="F43" i="7"/>
  <c r="E43" i="7"/>
  <c r="D43" i="7"/>
  <c r="C43" i="7"/>
  <c r="F42" i="7"/>
  <c r="E42" i="7"/>
  <c r="D42" i="7"/>
  <c r="C42" i="7"/>
  <c r="H40" i="7"/>
  <c r="F40" i="7"/>
  <c r="D39" i="7"/>
  <c r="H39" i="7" s="1"/>
  <c r="F38" i="7"/>
  <c r="E38" i="7"/>
  <c r="D38" i="7"/>
  <c r="C38" i="7"/>
  <c r="F36" i="7"/>
  <c r="E36" i="7"/>
  <c r="D36" i="7"/>
  <c r="C36" i="7"/>
  <c r="H35" i="7"/>
  <c r="F35" i="7"/>
  <c r="E35" i="7"/>
  <c r="D35" i="7"/>
  <c r="C35" i="7"/>
  <c r="F34" i="7"/>
  <c r="F50" i="7" s="1"/>
  <c r="E34" i="7"/>
  <c r="D34" i="7"/>
  <c r="C34" i="7"/>
  <c r="H34" i="7" s="1"/>
  <c r="F31" i="7"/>
  <c r="F30" i="7"/>
  <c r="E30" i="7"/>
  <c r="D30" i="7"/>
  <c r="C30" i="7"/>
  <c r="F29" i="7"/>
  <c r="E29" i="7"/>
  <c r="D29" i="7"/>
  <c r="C29" i="7"/>
  <c r="H29" i="7" s="1"/>
  <c r="F28" i="7"/>
  <c r="E28" i="7"/>
  <c r="D28" i="7"/>
  <c r="F27" i="7"/>
  <c r="E27" i="7"/>
  <c r="D27" i="7"/>
  <c r="C27" i="7"/>
  <c r="H27" i="7" s="1"/>
  <c r="F26" i="7"/>
  <c r="C26" i="7"/>
  <c r="H26" i="7" s="1"/>
  <c r="F25" i="7"/>
  <c r="C25" i="7"/>
  <c r="H25" i="7" s="1"/>
  <c r="F24" i="7"/>
  <c r="E24" i="7"/>
  <c r="D24" i="7"/>
  <c r="C24" i="7"/>
  <c r="H24" i="7" s="1"/>
  <c r="F23" i="7"/>
  <c r="E23" i="7"/>
  <c r="D23" i="7"/>
  <c r="F22" i="7"/>
  <c r="E22" i="7"/>
  <c r="D22" i="7"/>
  <c r="C22" i="7"/>
  <c r="F21" i="7"/>
  <c r="D21" i="7"/>
  <c r="C21" i="7"/>
  <c r="F17" i="7"/>
  <c r="E17" i="7"/>
  <c r="D17" i="7"/>
  <c r="C17" i="7"/>
  <c r="F16" i="7"/>
  <c r="E16" i="7"/>
  <c r="D16" i="7"/>
  <c r="C16" i="7"/>
  <c r="H15" i="7"/>
  <c r="F15" i="7"/>
  <c r="E15" i="7"/>
  <c r="D15" i="7"/>
  <c r="C15" i="7"/>
  <c r="F14" i="7"/>
  <c r="H14" i="7" s="1"/>
  <c r="F13" i="7"/>
  <c r="E13" i="7"/>
  <c r="D13" i="7"/>
  <c r="C13" i="7"/>
  <c r="F12" i="7"/>
  <c r="D12" i="7"/>
  <c r="C12" i="7"/>
  <c r="F11" i="7"/>
  <c r="D11" i="7"/>
  <c r="H10" i="7"/>
  <c r="C10" i="7"/>
  <c r="F9" i="7"/>
  <c r="E9" i="7"/>
  <c r="D9" i="7"/>
  <c r="C9" i="7"/>
  <c r="F8" i="7"/>
  <c r="F18" i="7" s="1"/>
  <c r="E8" i="7"/>
  <c r="D8" i="7"/>
  <c r="C8" i="7"/>
  <c r="A2" i="7"/>
  <c r="A1" i="7"/>
  <c r="E43" i="6"/>
  <c r="D43" i="6"/>
  <c r="F42" i="6"/>
  <c r="C42" i="6" a="1"/>
  <c r="C42" i="6" s="1"/>
  <c r="B42" i="6"/>
  <c r="F41" i="6"/>
  <c r="C41" i="6" a="1"/>
  <c r="C41" i="6" s="1"/>
  <c r="B41" i="6"/>
  <c r="F40" i="6"/>
  <c r="C40" i="6" a="1"/>
  <c r="C40" i="6" s="1"/>
  <c r="B40" i="6"/>
  <c r="F39" i="6"/>
  <c r="C39" i="6" a="1"/>
  <c r="C39" i="6" s="1"/>
  <c r="B39" i="6"/>
  <c r="F38" i="6"/>
  <c r="C38" i="6" a="1"/>
  <c r="C38" i="6"/>
  <c r="B38" i="6"/>
  <c r="F37" i="6"/>
  <c r="F36" i="6"/>
  <c r="E33" i="6"/>
  <c r="D33" i="6"/>
  <c r="F32" i="6"/>
  <c r="B32" i="6"/>
  <c r="C32" i="6" s="1" a="1"/>
  <c r="C32" i="6" s="1"/>
  <c r="F31" i="6"/>
  <c r="C31" i="6" a="1"/>
  <c r="C31" i="6"/>
  <c r="B31" i="6"/>
  <c r="F30" i="6"/>
  <c r="C30" i="6" a="1"/>
  <c r="C30" i="6"/>
  <c r="B30" i="6"/>
  <c r="F29" i="6"/>
  <c r="C29" i="6" a="1"/>
  <c r="C29" i="6"/>
  <c r="B29" i="6"/>
  <c r="F28" i="6"/>
  <c r="C28" i="6" a="1"/>
  <c r="C28" i="6"/>
  <c r="B28" i="6"/>
  <c r="F27" i="6"/>
  <c r="C27" i="6" a="1"/>
  <c r="C27" i="6"/>
  <c r="B27" i="6"/>
  <c r="F26" i="6"/>
  <c r="C26" i="6" a="1"/>
  <c r="C26" i="6"/>
  <c r="B26" i="6"/>
  <c r="F25" i="6"/>
  <c r="F24" i="6" s="1"/>
  <c r="E21" i="6"/>
  <c r="D21" i="6"/>
  <c r="F20" i="6"/>
  <c r="B20" i="6"/>
  <c r="C20" i="6" s="1" a="1"/>
  <c r="C20" i="6" s="1"/>
  <c r="F19" i="6"/>
  <c r="B19" i="6"/>
  <c r="C19" i="6" s="1" a="1"/>
  <c r="C19" i="6" s="1"/>
  <c r="F18" i="6"/>
  <c r="B18" i="6"/>
  <c r="C18" i="6" s="1" a="1"/>
  <c r="C18" i="6" s="1"/>
  <c r="F17" i="6"/>
  <c r="B17" i="6"/>
  <c r="C17" i="6" s="1" a="1"/>
  <c r="C17" i="6" s="1"/>
  <c r="F16" i="6"/>
  <c r="B16" i="6"/>
  <c r="C16" i="6" s="1" a="1"/>
  <c r="C16" i="6" s="1"/>
  <c r="F15" i="6"/>
  <c r="B15" i="6"/>
  <c r="C15" i="6" s="1" a="1"/>
  <c r="C15" i="6" s="1"/>
  <c r="F14" i="6"/>
  <c r="B14" i="6"/>
  <c r="C14" i="6" s="1" a="1"/>
  <c r="C14" i="6" s="1"/>
  <c r="F13" i="6"/>
  <c r="B13" i="6"/>
  <c r="C13" i="6" s="1" a="1"/>
  <c r="C13" i="6" s="1"/>
  <c r="F12" i="6"/>
  <c r="B12" i="6"/>
  <c r="C12" i="6" s="1" a="1"/>
  <c r="C12" i="6" s="1"/>
  <c r="F11" i="6"/>
  <c r="B11" i="6"/>
  <c r="C11" i="6" s="1" a="1"/>
  <c r="C11" i="6" s="1"/>
  <c r="F10" i="6"/>
  <c r="B10" i="6"/>
  <c r="C10" i="6" s="1" a="1"/>
  <c r="C10" i="6" s="1"/>
  <c r="F9" i="6"/>
  <c r="B9" i="6"/>
  <c r="C9" i="6" s="1" a="1"/>
  <c r="C9" i="6" s="1"/>
  <c r="F8" i="6"/>
  <c r="B8" i="6"/>
  <c r="C8" i="6" s="1" a="1"/>
  <c r="C8" i="6" s="1"/>
  <c r="F7" i="6"/>
  <c r="B7" i="6"/>
  <c r="C7" i="6" s="1" a="1"/>
  <c r="C7" i="6" s="1"/>
  <c r="F6" i="6"/>
  <c r="B6" i="6"/>
  <c r="C6" i="6" s="1" a="1"/>
  <c r="C6" i="6" s="1"/>
  <c r="F5" i="6"/>
  <c r="B5" i="6"/>
  <c r="C5" i="6" s="1" a="1"/>
  <c r="C5" i="6" s="1"/>
  <c r="F4" i="6"/>
  <c r="A2" i="6"/>
  <c r="D39" i="5"/>
  <c r="G36" i="5"/>
  <c r="F33" i="5"/>
  <c r="H29" i="5"/>
  <c r="G29" i="5"/>
  <c r="H19" i="5"/>
  <c r="G19" i="5"/>
  <c r="H18" i="5"/>
  <c r="G18" i="5"/>
  <c r="H17" i="5"/>
  <c r="G17" i="5"/>
  <c r="C17" i="5"/>
  <c r="G16" i="5"/>
  <c r="H15" i="5"/>
  <c r="G15" i="5"/>
  <c r="H14" i="5"/>
  <c r="H13" i="5"/>
  <c r="G13" i="5"/>
  <c r="G12" i="5"/>
  <c r="C11" i="5"/>
  <c r="C10" i="5"/>
  <c r="C9" i="5"/>
  <c r="G8" i="5"/>
  <c r="G7" i="5"/>
  <c r="H6" i="5"/>
  <c r="G6" i="5"/>
  <c r="B2" i="5"/>
  <c r="C40" i="4"/>
  <c r="B40" i="4"/>
  <c r="C36" i="4"/>
  <c r="B36" i="4"/>
  <c r="C31" i="4"/>
  <c r="B31" i="4"/>
  <c r="A31" i="4"/>
  <c r="C27" i="4"/>
  <c r="B27" i="4"/>
  <c r="C21" i="4"/>
  <c r="B20" i="4"/>
  <c r="C19" i="4"/>
  <c r="C22" i="4" s="1"/>
  <c r="B19" i="4"/>
  <c r="B22" i="4" s="1"/>
  <c r="C13" i="4"/>
  <c r="C10" i="4"/>
  <c r="B10" i="4"/>
  <c r="B13" i="4" s="1"/>
  <c r="B4" i="4"/>
  <c r="B1" i="4"/>
  <c r="B31" i="3"/>
  <c r="B27" i="3"/>
  <c r="B9" i="3"/>
  <c r="B5" i="3"/>
  <c r="E7" i="2"/>
  <c r="H7" i="2" s="1"/>
  <c r="I671" i="1"/>
  <c r="I670" i="1"/>
  <c r="I666" i="1"/>
  <c r="J656" i="1"/>
  <c r="H656" i="1"/>
  <c r="G656" i="1"/>
  <c r="J655" i="1"/>
  <c r="H655" i="1"/>
  <c r="G655" i="1"/>
  <c r="H654" i="1"/>
  <c r="J654" i="1" s="1"/>
  <c r="G654" i="1"/>
  <c r="H653" i="1"/>
  <c r="G653" i="1"/>
  <c r="J653" i="1" s="1"/>
  <c r="J652" i="1"/>
  <c r="H650" i="1"/>
  <c r="G645" i="1"/>
  <c r="J644" i="1"/>
  <c r="G644" i="1"/>
  <c r="H639" i="1"/>
  <c r="H638" i="1"/>
  <c r="H637" i="1"/>
  <c r="H636" i="1"/>
  <c r="H633" i="1"/>
  <c r="H631" i="1"/>
  <c r="H626" i="1"/>
  <c r="K615" i="1"/>
  <c r="J615" i="1"/>
  <c r="I615" i="1"/>
  <c r="H615" i="1"/>
  <c r="G615" i="1"/>
  <c r="F615" i="1"/>
  <c r="L614" i="1"/>
  <c r="H664" i="1" s="1"/>
  <c r="L613" i="1"/>
  <c r="G664" i="1" s="1"/>
  <c r="L612" i="1"/>
  <c r="L615" i="1" s="1"/>
  <c r="J606" i="1"/>
  <c r="I606" i="1"/>
  <c r="H605" i="1"/>
  <c r="K604" i="1"/>
  <c r="K603" i="1"/>
  <c r="J599" i="1"/>
  <c r="H652" i="1" s="1"/>
  <c r="I599" i="1"/>
  <c r="H651" i="1" s="1"/>
  <c r="H599" i="1"/>
  <c r="K598" i="1"/>
  <c r="K597" i="1"/>
  <c r="K596" i="1"/>
  <c r="K595" i="1"/>
  <c r="K594" i="1"/>
  <c r="K593" i="1"/>
  <c r="K599" i="1" s="1"/>
  <c r="G648" i="1" s="1"/>
  <c r="K592" i="1"/>
  <c r="I588" i="1"/>
  <c r="I587" i="1"/>
  <c r="I586" i="1"/>
  <c r="I585" i="1"/>
  <c r="I584" i="1"/>
  <c r="I583" i="1"/>
  <c r="I582" i="1"/>
  <c r="I581" i="1"/>
  <c r="I580" i="1"/>
  <c r="I579" i="1"/>
  <c r="I578" i="1"/>
  <c r="I577" i="1"/>
  <c r="I576" i="1"/>
  <c r="K571" i="1"/>
  <c r="J571" i="1"/>
  <c r="I571" i="1"/>
  <c r="H571" i="1"/>
  <c r="G571" i="1"/>
  <c r="F571" i="1"/>
  <c r="L570" i="1"/>
  <c r="L569" i="1"/>
  <c r="L568" i="1"/>
  <c r="L571" i="1" s="1"/>
  <c r="K566" i="1"/>
  <c r="J566" i="1"/>
  <c r="I566" i="1"/>
  <c r="I572" i="1" s="1"/>
  <c r="H566" i="1"/>
  <c r="H572" i="1" s="1"/>
  <c r="G566" i="1"/>
  <c r="F566" i="1"/>
  <c r="L565" i="1"/>
  <c r="L564" i="1"/>
  <c r="L563" i="1"/>
  <c r="L566" i="1" s="1"/>
  <c r="L572" i="1" s="1"/>
  <c r="K561" i="1"/>
  <c r="J561" i="1"/>
  <c r="I561" i="1"/>
  <c r="H561" i="1"/>
  <c r="G561" i="1"/>
  <c r="G572" i="1" s="1"/>
  <c r="F561" i="1"/>
  <c r="F572" i="1" s="1"/>
  <c r="L560" i="1"/>
  <c r="L559" i="1"/>
  <c r="L558" i="1"/>
  <c r="L561" i="1" s="1"/>
  <c r="J552" i="1"/>
  <c r="I552" i="1"/>
  <c r="I551" i="1"/>
  <c r="H551" i="1"/>
  <c r="J550" i="1"/>
  <c r="J553" i="1" s="1"/>
  <c r="I550" i="1"/>
  <c r="L545" i="1"/>
  <c r="K545" i="1"/>
  <c r="J545" i="1"/>
  <c r="I545" i="1"/>
  <c r="H545" i="1"/>
  <c r="G545" i="1"/>
  <c r="F545" i="1"/>
  <c r="L544" i="1"/>
  <c r="L543" i="1"/>
  <c r="J551" i="1" s="1"/>
  <c r="L542" i="1"/>
  <c r="K540" i="1"/>
  <c r="J540" i="1"/>
  <c r="I540" i="1"/>
  <c r="I546" i="1" s="1"/>
  <c r="H540" i="1"/>
  <c r="G540" i="1"/>
  <c r="F540" i="1"/>
  <c r="L539" i="1"/>
  <c r="L538" i="1"/>
  <c r="L537" i="1"/>
  <c r="L540" i="1" s="1"/>
  <c r="L535" i="1"/>
  <c r="K535" i="1"/>
  <c r="J535" i="1"/>
  <c r="I535" i="1"/>
  <c r="H535" i="1"/>
  <c r="G535" i="1"/>
  <c r="F535" i="1"/>
  <c r="L534" i="1"/>
  <c r="H552" i="1" s="1"/>
  <c r="L533" i="1"/>
  <c r="L532" i="1"/>
  <c r="H550" i="1" s="1"/>
  <c r="H553" i="1" s="1"/>
  <c r="K530" i="1"/>
  <c r="J530" i="1"/>
  <c r="I530" i="1"/>
  <c r="F530" i="1"/>
  <c r="L529" i="1"/>
  <c r="G552" i="1" s="1"/>
  <c r="L528" i="1"/>
  <c r="G551" i="1" s="1"/>
  <c r="H527" i="1"/>
  <c r="H530" i="1" s="1"/>
  <c r="G527" i="1"/>
  <c r="L527" i="1" s="1"/>
  <c r="J525" i="1"/>
  <c r="H525" i="1"/>
  <c r="F525" i="1"/>
  <c r="L524" i="1"/>
  <c r="F552" i="1" s="1"/>
  <c r="K552" i="1" s="1"/>
  <c r="L523" i="1"/>
  <c r="F551" i="1" s="1"/>
  <c r="K522" i="1"/>
  <c r="K525" i="1" s="1"/>
  <c r="K546" i="1" s="1"/>
  <c r="I522" i="1"/>
  <c r="I525" i="1" s="1"/>
  <c r="G522" i="1"/>
  <c r="G525" i="1" s="1"/>
  <c r="F522" i="1"/>
  <c r="I518" i="1"/>
  <c r="H518" i="1"/>
  <c r="G518" i="1"/>
  <c r="F518" i="1"/>
  <c r="J504" i="1"/>
  <c r="F164" i="7" s="1"/>
  <c r="I504" i="1"/>
  <c r="H504" i="1"/>
  <c r="G504" i="1"/>
  <c r="C164" i="7" s="1"/>
  <c r="F503" i="1"/>
  <c r="F504" i="1" s="1"/>
  <c r="B164" i="7" s="1"/>
  <c r="K502" i="1"/>
  <c r="J501" i="1"/>
  <c r="F161" i="7" s="1"/>
  <c r="I501" i="1"/>
  <c r="E161" i="7" s="1"/>
  <c r="H501" i="1"/>
  <c r="D161" i="7" s="1"/>
  <c r="G501" i="1"/>
  <c r="C161" i="7" s="1"/>
  <c r="F500" i="1"/>
  <c r="K500" i="1" s="1"/>
  <c r="F499" i="1"/>
  <c r="F501" i="1" s="1"/>
  <c r="K498" i="1"/>
  <c r="K497" i="1"/>
  <c r="K496" i="1"/>
  <c r="J475" i="1"/>
  <c r="I475" i="1"/>
  <c r="G475" i="1"/>
  <c r="F475" i="1"/>
  <c r="I471" i="1"/>
  <c r="G471" i="1"/>
  <c r="G477" i="1" s="1"/>
  <c r="J469" i="1"/>
  <c r="H632" i="1" s="1"/>
  <c r="G469" i="1"/>
  <c r="H629" i="1" s="1"/>
  <c r="I466" i="1"/>
  <c r="I477" i="1" s="1"/>
  <c r="H461" i="1"/>
  <c r="H462" i="1" s="1"/>
  <c r="H642" i="1" s="1"/>
  <c r="G461" i="1"/>
  <c r="F461" i="1"/>
  <c r="I460" i="1"/>
  <c r="I459" i="1"/>
  <c r="J39" i="1" s="1"/>
  <c r="I458" i="1"/>
  <c r="I457" i="1"/>
  <c r="I456" i="1"/>
  <c r="I455" i="1"/>
  <c r="H453" i="1"/>
  <c r="G453" i="1"/>
  <c r="G462" i="1" s="1"/>
  <c r="H641" i="1" s="1"/>
  <c r="F453" i="1"/>
  <c r="F462" i="1" s="1"/>
  <c r="H640" i="1" s="1"/>
  <c r="I452" i="1"/>
  <c r="I451" i="1"/>
  <c r="I450" i="1"/>
  <c r="I449" i="1"/>
  <c r="I453" i="1" s="1"/>
  <c r="H447" i="1"/>
  <c r="G642" i="1" s="1"/>
  <c r="F447" i="1"/>
  <c r="G640" i="1" s="1"/>
  <c r="J640" i="1" s="1"/>
  <c r="I446" i="1"/>
  <c r="I445" i="1"/>
  <c r="I444" i="1"/>
  <c r="I443" i="1"/>
  <c r="I442" i="1"/>
  <c r="I441" i="1"/>
  <c r="G440" i="1"/>
  <c r="I435" i="1"/>
  <c r="L434" i="1"/>
  <c r="K434" i="1"/>
  <c r="J434" i="1"/>
  <c r="I434" i="1"/>
  <c r="H434" i="1"/>
  <c r="G434" i="1"/>
  <c r="F434" i="1"/>
  <c r="L433" i="1"/>
  <c r="L432" i="1"/>
  <c r="L431" i="1"/>
  <c r="L430" i="1"/>
  <c r="K428" i="1"/>
  <c r="J428" i="1"/>
  <c r="J435" i="1" s="1"/>
  <c r="I428" i="1"/>
  <c r="H428" i="1"/>
  <c r="G428" i="1"/>
  <c r="F428" i="1"/>
  <c r="L427" i="1"/>
  <c r="L426" i="1"/>
  <c r="L425" i="1"/>
  <c r="L424" i="1"/>
  <c r="L423" i="1"/>
  <c r="L422" i="1"/>
  <c r="L428" i="1" s="1"/>
  <c r="K420" i="1"/>
  <c r="J420" i="1"/>
  <c r="I420" i="1"/>
  <c r="H420" i="1"/>
  <c r="G420" i="1"/>
  <c r="G435" i="1" s="1"/>
  <c r="F420" i="1"/>
  <c r="F435" i="1" s="1"/>
  <c r="L419" i="1"/>
  <c r="L418" i="1"/>
  <c r="L417" i="1"/>
  <c r="L416" i="1"/>
  <c r="L415" i="1"/>
  <c r="L414" i="1"/>
  <c r="L420" i="1" s="1"/>
  <c r="L435" i="1" s="1"/>
  <c r="G639" i="1" s="1"/>
  <c r="J639" i="1" s="1"/>
  <c r="G409" i="1"/>
  <c r="H646" i="1" s="1"/>
  <c r="I408" i="1"/>
  <c r="H408" i="1"/>
  <c r="G408" i="1"/>
  <c r="F408" i="1"/>
  <c r="L407" i="1"/>
  <c r="L406" i="1"/>
  <c r="L405" i="1"/>
  <c r="L404" i="1"/>
  <c r="I402" i="1"/>
  <c r="H402" i="1"/>
  <c r="G402" i="1"/>
  <c r="F402" i="1"/>
  <c r="L401" i="1"/>
  <c r="L400" i="1"/>
  <c r="L399" i="1"/>
  <c r="L398" i="1"/>
  <c r="L397" i="1"/>
  <c r="L396" i="1"/>
  <c r="I394" i="1"/>
  <c r="H394" i="1"/>
  <c r="H409" i="1" s="1"/>
  <c r="H645" i="1" s="1"/>
  <c r="G394" i="1"/>
  <c r="F394" i="1"/>
  <c r="F409" i="1" s="1"/>
  <c r="H644" i="1" s="1"/>
  <c r="L393" i="1"/>
  <c r="L392" i="1"/>
  <c r="L391" i="1"/>
  <c r="L390" i="1"/>
  <c r="L389" i="1"/>
  <c r="L388" i="1"/>
  <c r="K383" i="1"/>
  <c r="J383" i="1"/>
  <c r="I383" i="1"/>
  <c r="H383" i="1"/>
  <c r="G383" i="1"/>
  <c r="F383" i="1"/>
  <c r="L382" i="1"/>
  <c r="L383" i="1" s="1"/>
  <c r="G637" i="1" s="1"/>
  <c r="J637" i="1" s="1"/>
  <c r="L381" i="1"/>
  <c r="L380" i="1"/>
  <c r="L379" i="1"/>
  <c r="L378" i="1"/>
  <c r="L377" i="1"/>
  <c r="L376" i="1"/>
  <c r="L375" i="1"/>
  <c r="F130" i="7" s="1"/>
  <c r="F144" i="7" s="1"/>
  <c r="H370" i="1"/>
  <c r="G370" i="1"/>
  <c r="F370" i="1"/>
  <c r="I369" i="1"/>
  <c r="I370" i="1" s="1"/>
  <c r="H635" i="1" s="1"/>
  <c r="I368" i="1"/>
  <c r="K363" i="1"/>
  <c r="J363" i="1"/>
  <c r="I363" i="1"/>
  <c r="G635" i="1" s="1"/>
  <c r="H363" i="1"/>
  <c r="F363" i="1"/>
  <c r="L362" i="1"/>
  <c r="B28" i="3" s="1"/>
  <c r="L361" i="1"/>
  <c r="L360" i="1"/>
  <c r="G662" i="1" s="1"/>
  <c r="L359" i="1"/>
  <c r="I359" i="1"/>
  <c r="G359" i="1"/>
  <c r="G363" i="1" s="1"/>
  <c r="F359" i="1"/>
  <c r="K352" i="1"/>
  <c r="L351" i="1"/>
  <c r="L350" i="1"/>
  <c r="E142" i="7" s="1"/>
  <c r="L348" i="1"/>
  <c r="L347" i="1"/>
  <c r="E137" i="7" s="1"/>
  <c r="L346" i="1"/>
  <c r="E135" i="7" s="1"/>
  <c r="L345" i="1"/>
  <c r="L343" i="1"/>
  <c r="E132" i="7" s="1"/>
  <c r="L342" i="1"/>
  <c r="K338" i="1"/>
  <c r="J338" i="1"/>
  <c r="I338" i="1"/>
  <c r="H338" i="1"/>
  <c r="L338" i="1" s="1"/>
  <c r="G338" i="1"/>
  <c r="F338" i="1"/>
  <c r="L337" i="1"/>
  <c r="E130" i="7" s="1"/>
  <c r="L336" i="1"/>
  <c r="L335" i="1"/>
  <c r="L334" i="1"/>
  <c r="E114" i="7" s="1"/>
  <c r="L333" i="1"/>
  <c r="E113" i="7" s="1"/>
  <c r="K329" i="1"/>
  <c r="J329" i="1"/>
  <c r="I329" i="1"/>
  <c r="H329" i="1"/>
  <c r="G329" i="1"/>
  <c r="F329" i="1"/>
  <c r="L327" i="1"/>
  <c r="L326" i="1"/>
  <c r="H663" i="1" s="1"/>
  <c r="L325" i="1"/>
  <c r="L324" i="1"/>
  <c r="L323" i="1"/>
  <c r="L322" i="1"/>
  <c r="L321" i="1"/>
  <c r="L320" i="1"/>
  <c r="L318" i="1"/>
  <c r="L317" i="1"/>
  <c r="L329" i="1" s="1"/>
  <c r="L316" i="1"/>
  <c r="L315" i="1"/>
  <c r="K310" i="1"/>
  <c r="J310" i="1"/>
  <c r="I310" i="1"/>
  <c r="H310" i="1"/>
  <c r="G310" i="1"/>
  <c r="F310" i="1"/>
  <c r="L308" i="1"/>
  <c r="L307" i="1"/>
  <c r="L306" i="1"/>
  <c r="L305" i="1"/>
  <c r="L304" i="1"/>
  <c r="L303" i="1"/>
  <c r="L302" i="1"/>
  <c r="L301" i="1"/>
  <c r="L299" i="1"/>
  <c r="L298" i="1"/>
  <c r="L297" i="1"/>
  <c r="L296" i="1"/>
  <c r="K291" i="1"/>
  <c r="J291" i="1"/>
  <c r="G291" i="1"/>
  <c r="G339" i="1" s="1"/>
  <c r="G353" i="1" s="1"/>
  <c r="L289" i="1"/>
  <c r="E125" i="7" s="1"/>
  <c r="L288" i="1"/>
  <c r="H288" i="1"/>
  <c r="H287" i="1"/>
  <c r="L287" i="1" s="1"/>
  <c r="E123" i="7" s="1"/>
  <c r="L286" i="1"/>
  <c r="L285" i="1"/>
  <c r="E121" i="7" s="1"/>
  <c r="L284" i="1"/>
  <c r="E120" i="7" s="1"/>
  <c r="L283" i="1"/>
  <c r="E119" i="7" s="1"/>
  <c r="H282" i="1"/>
  <c r="L280" i="1"/>
  <c r="E112" i="7" s="1"/>
  <c r="L279" i="1"/>
  <c r="L278" i="1"/>
  <c r="E110" i="7" s="1"/>
  <c r="I277" i="1"/>
  <c r="I291" i="1" s="1"/>
  <c r="I339" i="1" s="1"/>
  <c r="I353" i="1" s="1"/>
  <c r="F277" i="1"/>
  <c r="L277" i="1" s="1"/>
  <c r="K271" i="1"/>
  <c r="J271" i="1"/>
  <c r="I271" i="1"/>
  <c r="H271" i="1"/>
  <c r="G271" i="1"/>
  <c r="F271" i="1"/>
  <c r="L271" i="1" s="1"/>
  <c r="L270" i="1"/>
  <c r="C143" i="7" s="1"/>
  <c r="H143" i="7" s="1"/>
  <c r="L269" i="1"/>
  <c r="L267" i="1"/>
  <c r="L266" i="1"/>
  <c r="C137" i="7" s="1"/>
  <c r="H137" i="7" s="1"/>
  <c r="L265" i="1"/>
  <c r="C136" i="7" s="1"/>
  <c r="H136" i="7" s="1"/>
  <c r="L264" i="1"/>
  <c r="C135" i="7" s="1"/>
  <c r="H135" i="7" s="1"/>
  <c r="L262" i="1"/>
  <c r="C25" i="8" s="1"/>
  <c r="L261" i="1"/>
  <c r="C131" i="7" s="1"/>
  <c r="K257" i="1"/>
  <c r="J257" i="1"/>
  <c r="I257" i="1"/>
  <c r="H257" i="1"/>
  <c r="G257" i="1"/>
  <c r="L257" i="1" s="1"/>
  <c r="F257" i="1"/>
  <c r="L256" i="1"/>
  <c r="G22" i="5" s="1"/>
  <c r="C22" i="5" s="1"/>
  <c r="L255" i="1"/>
  <c r="L254" i="1"/>
  <c r="D19" i="5" s="1"/>
  <c r="C19" i="5" s="1"/>
  <c r="L253" i="1"/>
  <c r="D18" i="5" s="1"/>
  <c r="C18" i="5" s="1"/>
  <c r="L252" i="1"/>
  <c r="D17" i="5" s="1"/>
  <c r="L251" i="1"/>
  <c r="K248" i="1"/>
  <c r="J248" i="1"/>
  <c r="I248" i="1"/>
  <c r="H248" i="1"/>
  <c r="G248" i="1"/>
  <c r="F248" i="1"/>
  <c r="L246" i="1"/>
  <c r="L245" i="1"/>
  <c r="G652" i="1" s="1"/>
  <c r="H245" i="1"/>
  <c r="L244" i="1"/>
  <c r="L243" i="1"/>
  <c r="L242" i="1"/>
  <c r="L241" i="1"/>
  <c r="L240" i="1"/>
  <c r="L248" i="1" s="1"/>
  <c r="L239" i="1"/>
  <c r="L237" i="1"/>
  <c r="L236" i="1"/>
  <c r="L235" i="1"/>
  <c r="L234" i="1"/>
  <c r="K230" i="1"/>
  <c r="J230" i="1"/>
  <c r="I230" i="1"/>
  <c r="H230" i="1"/>
  <c r="G230" i="1"/>
  <c r="F230" i="1"/>
  <c r="L228" i="1"/>
  <c r="L227" i="1"/>
  <c r="H227" i="1"/>
  <c r="L226" i="1"/>
  <c r="L225" i="1"/>
  <c r="L224" i="1"/>
  <c r="L223" i="1"/>
  <c r="L222" i="1"/>
  <c r="L221" i="1"/>
  <c r="L219" i="1"/>
  <c r="L218" i="1"/>
  <c r="L217" i="1"/>
  <c r="L230" i="1" s="1"/>
  <c r="L216" i="1"/>
  <c r="L210" i="1"/>
  <c r="K210" i="1"/>
  <c r="H16" i="5" s="1"/>
  <c r="H210" i="1"/>
  <c r="L209" i="1"/>
  <c r="H209" i="1"/>
  <c r="J208" i="1"/>
  <c r="G14" i="5" s="1"/>
  <c r="I208" i="1"/>
  <c r="H208" i="1"/>
  <c r="G208" i="1"/>
  <c r="F208" i="1"/>
  <c r="H207" i="1"/>
  <c r="L207" i="1" s="1"/>
  <c r="K206" i="1"/>
  <c r="H12" i="5" s="1"/>
  <c r="I206" i="1"/>
  <c r="H206" i="1"/>
  <c r="G206" i="1"/>
  <c r="F206" i="1"/>
  <c r="L206" i="1" s="1"/>
  <c r="K205" i="1"/>
  <c r="H8" i="5" s="1"/>
  <c r="I205" i="1"/>
  <c r="H205" i="1"/>
  <c r="L205" i="1" s="1"/>
  <c r="K204" i="1"/>
  <c r="H7" i="5" s="1"/>
  <c r="H204" i="1"/>
  <c r="G204" i="1"/>
  <c r="F204" i="1"/>
  <c r="L204" i="1" s="1"/>
  <c r="H203" i="1"/>
  <c r="H212" i="1" s="1"/>
  <c r="H258" i="1" s="1"/>
  <c r="H272" i="1" s="1"/>
  <c r="G203" i="1"/>
  <c r="L203" i="1" s="1"/>
  <c r="F203" i="1"/>
  <c r="L201" i="1"/>
  <c r="L200" i="1"/>
  <c r="C12" i="8" s="1"/>
  <c r="K199" i="1"/>
  <c r="I199" i="1"/>
  <c r="H199" i="1"/>
  <c r="G199" i="1"/>
  <c r="C18" i="4" s="1"/>
  <c r="F199" i="1"/>
  <c r="B18" i="4" s="1"/>
  <c r="K198" i="1"/>
  <c r="K212" i="1" s="1"/>
  <c r="K258" i="1" s="1"/>
  <c r="K272" i="1" s="1"/>
  <c r="J198" i="1"/>
  <c r="L198" i="1" s="1"/>
  <c r="I198" i="1"/>
  <c r="G198" i="1"/>
  <c r="C9" i="4" s="1"/>
  <c r="F198" i="1"/>
  <c r="H193" i="1"/>
  <c r="G193" i="1"/>
  <c r="B13" i="3" s="1"/>
  <c r="I189" i="1"/>
  <c r="H189" i="1"/>
  <c r="G189" i="1"/>
  <c r="F189" i="1"/>
  <c r="J184" i="1"/>
  <c r="G646" i="1" s="1"/>
  <c r="I184" i="1"/>
  <c r="H184" i="1"/>
  <c r="G184" i="1"/>
  <c r="F184" i="1"/>
  <c r="I178" i="1"/>
  <c r="I193" i="1" s="1"/>
  <c r="F178" i="1"/>
  <c r="F193" i="1" s="1"/>
  <c r="I163" i="1"/>
  <c r="H163" i="1"/>
  <c r="H469" i="1" s="1"/>
  <c r="H471" i="1" s="1"/>
  <c r="G163" i="1"/>
  <c r="F163" i="1"/>
  <c r="F170" i="1" s="1"/>
  <c r="H155" i="1"/>
  <c r="E88" i="7" s="1"/>
  <c r="I147" i="1"/>
  <c r="I170" i="1" s="1"/>
  <c r="H147" i="1"/>
  <c r="H170" i="1" s="1"/>
  <c r="G147" i="1"/>
  <c r="D85" i="7" s="1"/>
  <c r="D91" i="7" s="1"/>
  <c r="F147" i="1"/>
  <c r="C85" i="7" s="1"/>
  <c r="J140" i="1"/>
  <c r="H140" i="1"/>
  <c r="J136" i="1"/>
  <c r="I136" i="1"/>
  <c r="H136" i="1"/>
  <c r="G136" i="1"/>
  <c r="F123" i="1"/>
  <c r="C72" i="7" s="1"/>
  <c r="J121" i="1"/>
  <c r="I121" i="1"/>
  <c r="I140" i="1" s="1"/>
  <c r="H121" i="1"/>
  <c r="G121" i="1"/>
  <c r="G140" i="1" s="1"/>
  <c r="B11" i="3" s="1"/>
  <c r="F117" i="1"/>
  <c r="F121" i="1" s="1"/>
  <c r="G112" i="1"/>
  <c r="F112" i="1"/>
  <c r="J111" i="1"/>
  <c r="I111" i="1"/>
  <c r="H111" i="1"/>
  <c r="G111" i="1"/>
  <c r="F111" i="1"/>
  <c r="G97" i="1"/>
  <c r="D60" i="7" s="1"/>
  <c r="H60" i="7" s="1"/>
  <c r="H94" i="1"/>
  <c r="E58" i="7" s="1"/>
  <c r="F94" i="1"/>
  <c r="C58" i="7" s="1"/>
  <c r="H79" i="1"/>
  <c r="E57" i="7" s="1"/>
  <c r="E62" i="7" s="1"/>
  <c r="F79" i="1"/>
  <c r="C57" i="7" s="1"/>
  <c r="J60" i="1"/>
  <c r="G56" i="7" s="1"/>
  <c r="I60" i="1"/>
  <c r="F56" i="7" s="1"/>
  <c r="F63" i="7" s="1"/>
  <c r="H60" i="1"/>
  <c r="E56" i="7" s="1"/>
  <c r="E63" i="7" s="1"/>
  <c r="G60" i="1"/>
  <c r="F60" i="1"/>
  <c r="I51" i="1"/>
  <c r="G626" i="1" s="1"/>
  <c r="H51" i="1"/>
  <c r="G51" i="1"/>
  <c r="G624" i="1" s="1"/>
  <c r="F51" i="1"/>
  <c r="G623" i="1" s="1"/>
  <c r="J48" i="1"/>
  <c r="G47" i="7" s="1"/>
  <c r="J45" i="1"/>
  <c r="G44" i="7" s="1"/>
  <c r="J43" i="1"/>
  <c r="G42" i="7" s="1"/>
  <c r="J37" i="1"/>
  <c r="G36" i="7" s="1"/>
  <c r="I32" i="1"/>
  <c r="I52" i="1" s="1"/>
  <c r="H621" i="1" s="1"/>
  <c r="G32" i="1"/>
  <c r="F32" i="1"/>
  <c r="J31" i="1"/>
  <c r="G30" i="7" s="1"/>
  <c r="F29" i="1"/>
  <c r="C28" i="7" s="1"/>
  <c r="H28" i="7" s="1"/>
  <c r="J24" i="1"/>
  <c r="G23" i="7" s="1"/>
  <c r="F24" i="1"/>
  <c r="C23" i="7" s="1"/>
  <c r="H23" i="7" s="1"/>
  <c r="J23" i="1"/>
  <c r="G22" i="7" s="1"/>
  <c r="H22" i="1"/>
  <c r="E21" i="7" s="1"/>
  <c r="E31" i="7" s="1"/>
  <c r="I19" i="1"/>
  <c r="G621" i="1" s="1"/>
  <c r="J621" i="1" s="1"/>
  <c r="H19" i="1"/>
  <c r="G620" i="1" s="1"/>
  <c r="G19" i="1"/>
  <c r="G619" i="1" s="1"/>
  <c r="F19" i="1"/>
  <c r="G618" i="1" s="1"/>
  <c r="J18" i="1"/>
  <c r="G17" i="7" s="1"/>
  <c r="H17" i="7" s="1"/>
  <c r="J17" i="1"/>
  <c r="G16" i="7" s="1"/>
  <c r="J14" i="1"/>
  <c r="G13" i="7" s="1"/>
  <c r="J13" i="1"/>
  <c r="G12" i="7" s="1"/>
  <c r="J12" i="1"/>
  <c r="G11" i="7" s="1"/>
  <c r="H12" i="1"/>
  <c r="E11" i="7" s="1"/>
  <c r="F12" i="1"/>
  <c r="C11" i="7" s="1"/>
  <c r="J10" i="1"/>
  <c r="G9" i="7" s="1"/>
  <c r="C2" i="1" a="1"/>
  <c r="C2" i="1" s="1"/>
  <c r="B2" i="1" a="1"/>
  <c r="B2" i="1" s="1"/>
  <c r="B2" i="6" s="1"/>
  <c r="I233" i="10" s="1"/>
  <c r="H61" i="7" l="1"/>
  <c r="H624" i="1"/>
  <c r="B33" i="3"/>
  <c r="C18" i="8"/>
  <c r="C121" i="7"/>
  <c r="H121" i="7" s="1"/>
  <c r="D12" i="5"/>
  <c r="C12" i="5" s="1"/>
  <c r="G63" i="7"/>
  <c r="G104" i="7" s="1"/>
  <c r="D6" i="5"/>
  <c r="C6" i="5" s="1"/>
  <c r="C118" i="7"/>
  <c r="G36" i="6"/>
  <c r="H36" i="6" s="1"/>
  <c r="I36" i="6" s="1"/>
  <c r="H661" i="1"/>
  <c r="G38" i="7"/>
  <c r="H38" i="7" s="1"/>
  <c r="J51" i="1"/>
  <c r="G194" i="1"/>
  <c r="G629" i="1" s="1"/>
  <c r="J629" i="1" s="1"/>
  <c r="C10" i="8"/>
  <c r="C109" i="7"/>
  <c r="C119" i="7"/>
  <c r="H119" i="7" s="1"/>
  <c r="C16" i="8"/>
  <c r="D7" i="5"/>
  <c r="C7" i="5" s="1"/>
  <c r="C19" i="8"/>
  <c r="C122" i="7"/>
  <c r="E13" i="5"/>
  <c r="C13" i="5" s="1"/>
  <c r="J635" i="1"/>
  <c r="H11" i="7"/>
  <c r="C18" i="7"/>
  <c r="J624" i="1"/>
  <c r="H52" i="1"/>
  <c r="H620" i="1" s="1"/>
  <c r="J620" i="1" s="1"/>
  <c r="C17" i="8"/>
  <c r="E8" i="5"/>
  <c r="C120" i="7"/>
  <c r="H120" i="7" s="1"/>
  <c r="AE80" i="10"/>
  <c r="E131" i="7"/>
  <c r="E144" i="7" s="1"/>
  <c r="L352" i="1"/>
  <c r="F136" i="1"/>
  <c r="F140" i="1" s="1"/>
  <c r="I462" i="1"/>
  <c r="H643" i="1" s="1"/>
  <c r="T34" i="10"/>
  <c r="H32" i="1"/>
  <c r="J626" i="1"/>
  <c r="H57" i="7"/>
  <c r="C62" i="7"/>
  <c r="C63" i="7" s="1"/>
  <c r="H112" i="1"/>
  <c r="H194" i="1" s="1"/>
  <c r="G630" i="1" s="1"/>
  <c r="J193" i="1"/>
  <c r="A22" i="4"/>
  <c r="H648" i="1"/>
  <c r="J648" i="1" s="1"/>
  <c r="F663" i="1"/>
  <c r="I663" i="1" s="1"/>
  <c r="G650" i="1"/>
  <c r="J650" i="1" s="1"/>
  <c r="C21" i="8"/>
  <c r="D15" i="5"/>
  <c r="C15" i="5" s="1"/>
  <c r="C113" i="7"/>
  <c r="H113" i="7" s="1"/>
  <c r="C23" i="8"/>
  <c r="D127" i="7"/>
  <c r="F662" i="1"/>
  <c r="I662" i="1" s="1"/>
  <c r="L363" i="1"/>
  <c r="D29" i="5"/>
  <c r="C29" i="5" s="1"/>
  <c r="L522" i="1"/>
  <c r="I553" i="1"/>
  <c r="G625" i="1"/>
  <c r="B10" i="3"/>
  <c r="B14" i="3" s="1"/>
  <c r="H36" i="7"/>
  <c r="F85" i="7"/>
  <c r="F91" i="7" s="1"/>
  <c r="C103" i="7"/>
  <c r="H93" i="7"/>
  <c r="C111" i="7"/>
  <c r="H5" i="5"/>
  <c r="H42" i="7"/>
  <c r="H47" i="7"/>
  <c r="D62" i="7"/>
  <c r="D63" i="7" s="1"/>
  <c r="D104" i="7" s="1"/>
  <c r="H77" i="7"/>
  <c r="E111" i="7"/>
  <c r="H134" i="7"/>
  <c r="D144" i="7"/>
  <c r="H72" i="7"/>
  <c r="C78" i="7"/>
  <c r="J212" i="1"/>
  <c r="J258" i="1" s="1"/>
  <c r="G5" i="5"/>
  <c r="J642" i="1"/>
  <c r="I112" i="1"/>
  <c r="I194" i="1" s="1"/>
  <c r="G631" i="1" s="1"/>
  <c r="J631" i="1" s="1"/>
  <c r="I440" i="1"/>
  <c r="G447" i="1"/>
  <c r="G641" i="1" s="1"/>
  <c r="J641" i="1" s="1"/>
  <c r="G546" i="1"/>
  <c r="F52" i="1"/>
  <c r="H618" i="1" s="1"/>
  <c r="J618" i="1" s="1"/>
  <c r="H58" i="7"/>
  <c r="J112" i="1"/>
  <c r="F291" i="1"/>
  <c r="F339" i="1" s="1"/>
  <c r="F353" i="1" s="1"/>
  <c r="H662" i="1"/>
  <c r="L408" i="1"/>
  <c r="C140" i="7" s="1"/>
  <c r="H140" i="7" s="1"/>
  <c r="G164" i="7"/>
  <c r="J645" i="1"/>
  <c r="C31" i="7"/>
  <c r="T4" i="10"/>
  <c r="E109" i="7"/>
  <c r="K435" i="1"/>
  <c r="G134" i="7" s="1"/>
  <c r="G144" i="7" s="1"/>
  <c r="G145" i="7" s="1"/>
  <c r="I409" i="1"/>
  <c r="D18" i="7"/>
  <c r="H12" i="7"/>
  <c r="D31" i="7"/>
  <c r="D81" i="7"/>
  <c r="T22" i="10"/>
  <c r="T40" i="10"/>
  <c r="AE98" i="10"/>
  <c r="H56" i="7"/>
  <c r="E16" i="5"/>
  <c r="C16" i="5" s="1"/>
  <c r="C125" i="7"/>
  <c r="H125" i="7" s="1"/>
  <c r="J572" i="1"/>
  <c r="F664" i="1"/>
  <c r="I664" i="1" s="1"/>
  <c r="H606" i="1"/>
  <c r="J22" i="1"/>
  <c r="G212" i="1"/>
  <c r="G258" i="1" s="1"/>
  <c r="G272" i="1" s="1"/>
  <c r="H291" i="1"/>
  <c r="H339" i="1" s="1"/>
  <c r="H353" i="1" s="1"/>
  <c r="L282" i="1"/>
  <c r="E118" i="7" s="1"/>
  <c r="E128" i="7" s="1"/>
  <c r="L402" i="1"/>
  <c r="C139" i="7" s="1"/>
  <c r="H139" i="7" s="1"/>
  <c r="K551" i="1"/>
  <c r="K572" i="1"/>
  <c r="K605" i="1"/>
  <c r="K606" i="1" s="1"/>
  <c r="G649" i="1" s="1"/>
  <c r="E18" i="7"/>
  <c r="H16" i="7"/>
  <c r="G62" i="7"/>
  <c r="E81" i="7"/>
  <c r="H88" i="7"/>
  <c r="F145" i="7"/>
  <c r="I325" i="10"/>
  <c r="I322" i="10"/>
  <c r="I319" i="10"/>
  <c r="I316" i="10"/>
  <c r="I313" i="10"/>
  <c r="I310" i="10"/>
  <c r="I307" i="10"/>
  <c r="I304" i="10"/>
  <c r="I301" i="10"/>
  <c r="I298" i="10"/>
  <c r="I295" i="10"/>
  <c r="I292" i="10"/>
  <c r="I289" i="10"/>
  <c r="I286" i="10"/>
  <c r="I283" i="10"/>
  <c r="I280" i="10"/>
  <c r="I277" i="10"/>
  <c r="I274" i="10"/>
  <c r="I271" i="10"/>
  <c r="I268" i="10"/>
  <c r="I265" i="10"/>
  <c r="I262" i="10"/>
  <c r="I259" i="10"/>
  <c r="I256" i="10"/>
  <c r="I253" i="10"/>
  <c r="I250" i="10"/>
  <c r="I247" i="10"/>
  <c r="I244" i="10"/>
  <c r="I241" i="10"/>
  <c r="I238" i="10"/>
  <c r="I235" i="10"/>
  <c r="I232" i="10"/>
  <c r="I229" i="10"/>
  <c r="I226" i="10"/>
  <c r="I223" i="10"/>
  <c r="I220" i="10"/>
  <c r="I217" i="10"/>
  <c r="I214" i="10"/>
  <c r="I211" i="10"/>
  <c r="I208" i="10"/>
  <c r="I205" i="10"/>
  <c r="I202" i="10"/>
  <c r="I199" i="10"/>
  <c r="I196" i="10"/>
  <c r="I193" i="10"/>
  <c r="I190" i="10"/>
  <c r="I187" i="10"/>
  <c r="I184" i="10"/>
  <c r="I181" i="10"/>
  <c r="I178" i="10"/>
  <c r="I175" i="10"/>
  <c r="I172" i="10"/>
  <c r="I169" i="10"/>
  <c r="I166" i="10"/>
  <c r="I163" i="10"/>
  <c r="I160" i="10"/>
  <c r="I157" i="10"/>
  <c r="I154" i="10"/>
  <c r="I151" i="10"/>
  <c r="I148" i="10"/>
  <c r="I145" i="10"/>
  <c r="I142" i="10"/>
  <c r="I139" i="10"/>
  <c r="I136" i="10"/>
  <c r="I133" i="10"/>
  <c r="I130" i="10"/>
  <c r="I127" i="10"/>
  <c r="I124" i="10"/>
  <c r="I121" i="10"/>
  <c r="I118" i="10"/>
  <c r="I115" i="10"/>
  <c r="I112" i="10"/>
  <c r="I109" i="10"/>
  <c r="I106" i="10"/>
  <c r="I103" i="10"/>
  <c r="I324" i="10"/>
  <c r="I321" i="10"/>
  <c r="I318" i="10"/>
  <c r="I315" i="10"/>
  <c r="I312" i="10"/>
  <c r="I309" i="10"/>
  <c r="I306" i="10"/>
  <c r="I303" i="10"/>
  <c r="I300" i="10"/>
  <c r="I297" i="10"/>
  <c r="I294" i="10"/>
  <c r="I291" i="10"/>
  <c r="I288" i="10"/>
  <c r="I285" i="10"/>
  <c r="I282" i="10"/>
  <c r="I279" i="10"/>
  <c r="I276" i="10"/>
  <c r="I273" i="10"/>
  <c r="I270" i="10"/>
  <c r="I267" i="10"/>
  <c r="I264" i="10"/>
  <c r="I261" i="10"/>
  <c r="I258" i="10"/>
  <c r="I255" i="10"/>
  <c r="I252" i="10"/>
  <c r="I249" i="10"/>
  <c r="I246" i="10"/>
  <c r="I243" i="10"/>
  <c r="I240" i="10"/>
  <c r="I237" i="10"/>
  <c r="I234" i="10"/>
  <c r="I231" i="10"/>
  <c r="I228" i="10"/>
  <c r="I225" i="10"/>
  <c r="I222" i="10"/>
  <c r="I219" i="10"/>
  <c r="I216" i="10"/>
  <c r="I213" i="10"/>
  <c r="I210" i="10"/>
  <c r="I207" i="10"/>
  <c r="I204" i="10"/>
  <c r="I201" i="10"/>
  <c r="I198" i="10"/>
  <c r="I195" i="10"/>
  <c r="I192" i="10"/>
  <c r="I189" i="10"/>
  <c r="I186" i="10"/>
  <c r="I183" i="10"/>
  <c r="I180" i="10"/>
  <c r="I177" i="10"/>
  <c r="I174" i="10"/>
  <c r="I171" i="10"/>
  <c r="I168" i="10"/>
  <c r="I165" i="10"/>
  <c r="I162" i="10"/>
  <c r="I159" i="10"/>
  <c r="I156" i="10"/>
  <c r="I153" i="10"/>
  <c r="I150" i="10"/>
  <c r="I147" i="10"/>
  <c r="I144" i="10"/>
  <c r="I141" i="10"/>
  <c r="I138" i="10"/>
  <c r="I135" i="10"/>
  <c r="I132" i="10"/>
  <c r="I129" i="10"/>
  <c r="I126" i="10"/>
  <c r="I123" i="10"/>
  <c r="I120" i="10"/>
  <c r="I117" i="10"/>
  <c r="I114" i="10"/>
  <c r="I111" i="10"/>
  <c r="I108" i="10"/>
  <c r="I105" i="10"/>
  <c r="I102" i="10"/>
  <c r="I320" i="10"/>
  <c r="I284" i="10"/>
  <c r="I248" i="10"/>
  <c r="I212" i="10"/>
  <c r="I176" i="10"/>
  <c r="I140" i="10"/>
  <c r="AE88" i="10"/>
  <c r="AE83" i="10"/>
  <c r="I77" i="10"/>
  <c r="AE75" i="10"/>
  <c r="AE74" i="10"/>
  <c r="AE73" i="10"/>
  <c r="AE72" i="10"/>
  <c r="AE71" i="10"/>
  <c r="AE70" i="10"/>
  <c r="AE69" i="10"/>
  <c r="AE68" i="10"/>
  <c r="AE67" i="10"/>
  <c r="AE66" i="10"/>
  <c r="AE65" i="10"/>
  <c r="AE64" i="10"/>
  <c r="AE63" i="10"/>
  <c r="AE62" i="10"/>
  <c r="AE61" i="10"/>
  <c r="AE60" i="10"/>
  <c r="AE59" i="10"/>
  <c r="AE58" i="10"/>
  <c r="AE57" i="10"/>
  <c r="AE56" i="10"/>
  <c r="AE55" i="10"/>
  <c r="AE54" i="10"/>
  <c r="AE53" i="10"/>
  <c r="AE52" i="10"/>
  <c r="AE51" i="10"/>
  <c r="AE50" i="10"/>
  <c r="AE49" i="10"/>
  <c r="AE48" i="10"/>
  <c r="AE47" i="10"/>
  <c r="AE46" i="10"/>
  <c r="AE45" i="10"/>
  <c r="AE44" i="10"/>
  <c r="AE43" i="10"/>
  <c r="AE42" i="10"/>
  <c r="AE41" i="10"/>
  <c r="AE40" i="10"/>
  <c r="AE39" i="10"/>
  <c r="AE38" i="10"/>
  <c r="AE37" i="10"/>
  <c r="AE36" i="10"/>
  <c r="AE35" i="10"/>
  <c r="AE34" i="10"/>
  <c r="AE33" i="10"/>
  <c r="AE32" i="10"/>
  <c r="AE31" i="10"/>
  <c r="AE30" i="10"/>
  <c r="AE29" i="10"/>
  <c r="AE28" i="10"/>
  <c r="AE27" i="10"/>
  <c r="AE26" i="10"/>
  <c r="AE25" i="10"/>
  <c r="AE24" i="10"/>
  <c r="AE23" i="10"/>
  <c r="AE22" i="10"/>
  <c r="AE21" i="10"/>
  <c r="AE20" i="10"/>
  <c r="AE19" i="10"/>
  <c r="AE18" i="10"/>
  <c r="AE17" i="10"/>
  <c r="AE16" i="10"/>
  <c r="AE15" i="10"/>
  <c r="AE14" i="10"/>
  <c r="AE13" i="10"/>
  <c r="AE12" i="10"/>
  <c r="AE11" i="10"/>
  <c r="AE10" i="10"/>
  <c r="AE9" i="10"/>
  <c r="AE8" i="10"/>
  <c r="AE7" i="10"/>
  <c r="AE6" i="10"/>
  <c r="AE5" i="10"/>
  <c r="AE4" i="10"/>
  <c r="I299" i="10"/>
  <c r="I263" i="10"/>
  <c r="I227" i="10"/>
  <c r="I191" i="10"/>
  <c r="I155" i="10"/>
  <c r="I100" i="10"/>
  <c r="I98" i="10"/>
  <c r="I96" i="10"/>
  <c r="I94" i="10"/>
  <c r="I92" i="10"/>
  <c r="I85" i="10"/>
  <c r="AE78" i="10"/>
  <c r="I314" i="10"/>
  <c r="I278" i="10"/>
  <c r="I242" i="10"/>
  <c r="I206" i="10"/>
  <c r="I170" i="10"/>
  <c r="I134" i="10"/>
  <c r="I107" i="10"/>
  <c r="I90" i="10"/>
  <c r="AE86" i="10"/>
  <c r="I80" i="10"/>
  <c r="I293" i="10"/>
  <c r="I257" i="10"/>
  <c r="I221" i="10"/>
  <c r="I185" i="10"/>
  <c r="I149" i="10"/>
  <c r="I119" i="10"/>
  <c r="I88" i="10"/>
  <c r="AE81" i="10"/>
  <c r="I308" i="10"/>
  <c r="I272" i="10"/>
  <c r="I236" i="10"/>
  <c r="I200" i="10"/>
  <c r="I164" i="10"/>
  <c r="I128" i="10"/>
  <c r="AE99" i="10"/>
  <c r="AE97" i="10"/>
  <c r="AE95" i="10"/>
  <c r="AE93" i="10"/>
  <c r="AE91" i="10"/>
  <c r="I83" i="10"/>
  <c r="I78" i="10"/>
  <c r="AE76" i="10"/>
  <c r="T75" i="10"/>
  <c r="T74" i="10"/>
  <c r="T73" i="10"/>
  <c r="T72" i="10"/>
  <c r="T71" i="10"/>
  <c r="T70" i="10"/>
  <c r="T69" i="10"/>
  <c r="T68" i="10"/>
  <c r="T67" i="10"/>
  <c r="T66" i="10"/>
  <c r="T65" i="10"/>
  <c r="T64" i="10"/>
  <c r="T63" i="10"/>
  <c r="T62" i="10"/>
  <c r="T61" i="10"/>
  <c r="T60" i="10"/>
  <c r="T59" i="10"/>
  <c r="T58" i="10"/>
  <c r="T57" i="10"/>
  <c r="T56" i="10"/>
  <c r="T55" i="10"/>
  <c r="T54" i="10"/>
  <c r="T53" i="10"/>
  <c r="T52" i="10"/>
  <c r="T51" i="10"/>
  <c r="T50" i="10"/>
  <c r="T49" i="10"/>
  <c r="T48" i="10"/>
  <c r="T47" i="10"/>
  <c r="T46" i="10"/>
  <c r="T45" i="10"/>
  <c r="T44" i="10"/>
  <c r="T43" i="10"/>
  <c r="T42" i="10"/>
  <c r="I323" i="10"/>
  <c r="I287" i="10"/>
  <c r="I251" i="10"/>
  <c r="I215" i="10"/>
  <c r="I179" i="10"/>
  <c r="I143" i="10"/>
  <c r="I110" i="10"/>
  <c r="AE89" i="10"/>
  <c r="AE84" i="10"/>
  <c r="AE79" i="10"/>
  <c r="I302" i="10"/>
  <c r="I266" i="10"/>
  <c r="I230" i="10"/>
  <c r="I194" i="10"/>
  <c r="I158" i="10"/>
  <c r="I86" i="10"/>
  <c r="I81" i="10"/>
  <c r="I317" i="10"/>
  <c r="I281" i="10"/>
  <c r="I245" i="10"/>
  <c r="I209" i="10"/>
  <c r="I173" i="10"/>
  <c r="I137" i="10"/>
  <c r="I122" i="10"/>
  <c r="I99" i="10"/>
  <c r="I97" i="10"/>
  <c r="I95" i="10"/>
  <c r="I93" i="10"/>
  <c r="I91" i="10"/>
  <c r="AE87" i="10"/>
  <c r="AE82" i="10"/>
  <c r="I296" i="10"/>
  <c r="I260" i="10"/>
  <c r="I224" i="10"/>
  <c r="I188" i="10"/>
  <c r="I152" i="10"/>
  <c r="I113" i="10"/>
  <c r="I101" i="10"/>
  <c r="I84" i="10"/>
  <c r="AE77" i="10"/>
  <c r="I76" i="10"/>
  <c r="I75" i="10"/>
  <c r="I74" i="10"/>
  <c r="I73" i="10"/>
  <c r="I72" i="10"/>
  <c r="I71" i="10"/>
  <c r="I70" i="10"/>
  <c r="I69" i="10"/>
  <c r="I68" i="10"/>
  <c r="I67" i="10"/>
  <c r="I66" i="10"/>
  <c r="I65" i="10"/>
  <c r="I64" i="10"/>
  <c r="I63" i="10"/>
  <c r="I62" i="10"/>
  <c r="I61" i="10"/>
  <c r="I60" i="10"/>
  <c r="I59" i="10"/>
  <c r="I58" i="10"/>
  <c r="I57" i="10"/>
  <c r="I56" i="10"/>
  <c r="I55" i="10"/>
  <c r="I54" i="10"/>
  <c r="I53" i="10"/>
  <c r="I52" i="10"/>
  <c r="I51" i="10"/>
  <c r="I50" i="10"/>
  <c r="I49" i="10"/>
  <c r="I48" i="10"/>
  <c r="I47" i="10"/>
  <c r="I46" i="10"/>
  <c r="I45" i="10"/>
  <c r="I44" i="10"/>
  <c r="I43" i="10"/>
  <c r="I42" i="10"/>
  <c r="I41" i="10"/>
  <c r="I40" i="10"/>
  <c r="I39" i="10"/>
  <c r="I38" i="10"/>
  <c r="I37" i="10"/>
  <c r="I36" i="10"/>
  <c r="I35" i="10"/>
  <c r="I34" i="10"/>
  <c r="I33" i="10"/>
  <c r="I32" i="10"/>
  <c r="I31" i="10"/>
  <c r="I30" i="10"/>
  <c r="I29" i="10"/>
  <c r="I28" i="10"/>
  <c r="I27" i="10"/>
  <c r="I26" i="10"/>
  <c r="I25" i="10"/>
  <c r="I24" i="10"/>
  <c r="I23" i="10"/>
  <c r="I22" i="10"/>
  <c r="I21" i="10"/>
  <c r="I20" i="10"/>
  <c r="I19" i="10"/>
  <c r="I18" i="10"/>
  <c r="I17" i="10"/>
  <c r="I16" i="10"/>
  <c r="I15" i="10"/>
  <c r="I14" i="10"/>
  <c r="I13" i="10"/>
  <c r="I12" i="10"/>
  <c r="I11" i="10"/>
  <c r="I10" i="10"/>
  <c r="I9" i="10"/>
  <c r="I8" i="10"/>
  <c r="I7" i="10"/>
  <c r="I6" i="10"/>
  <c r="I290" i="10"/>
  <c r="I254" i="10"/>
  <c r="I203" i="10"/>
  <c r="T35" i="10"/>
  <c r="T29" i="10"/>
  <c r="T23" i="10"/>
  <c r="T17" i="10"/>
  <c r="T11" i="10"/>
  <c r="T5" i="10"/>
  <c r="I197" i="10"/>
  <c r="AE100" i="10"/>
  <c r="AF100" i="10" s="1"/>
  <c r="AE92" i="10"/>
  <c r="T41" i="10"/>
  <c r="I116" i="10"/>
  <c r="T36" i="10"/>
  <c r="T30" i="10"/>
  <c r="T24" i="10"/>
  <c r="T18" i="10"/>
  <c r="T12" i="10"/>
  <c r="T6" i="10"/>
  <c r="I167" i="10"/>
  <c r="I87" i="10"/>
  <c r="I82" i="10"/>
  <c r="I4" i="10"/>
  <c r="I161" i="10"/>
  <c r="AE94" i="10"/>
  <c r="T37" i="10"/>
  <c r="T31" i="10"/>
  <c r="T25" i="10"/>
  <c r="T19" i="10"/>
  <c r="T13" i="10"/>
  <c r="T7" i="10"/>
  <c r="I5" i="10"/>
  <c r="I311" i="10"/>
  <c r="I218" i="10"/>
  <c r="I104" i="10"/>
  <c r="I305" i="10"/>
  <c r="I131" i="10"/>
  <c r="I89" i="10"/>
  <c r="I79" i="10"/>
  <c r="T38" i="10"/>
  <c r="T32" i="10"/>
  <c r="T26" i="10"/>
  <c r="T20" i="10"/>
  <c r="T14" i="10"/>
  <c r="T8" i="10"/>
  <c r="I275" i="10"/>
  <c r="I125" i="10"/>
  <c r="AE96" i="10"/>
  <c r="AF96" i="10" s="1"/>
  <c r="I269" i="10"/>
  <c r="I182" i="10"/>
  <c r="T39" i="10"/>
  <c r="T33" i="10"/>
  <c r="T27" i="10"/>
  <c r="T21" i="10"/>
  <c r="T15" i="10"/>
  <c r="T9" i="10"/>
  <c r="I239" i="10"/>
  <c r="G550" i="1"/>
  <c r="G553" i="1" s="1"/>
  <c r="L530" i="1"/>
  <c r="I25" i="5"/>
  <c r="G52" i="1"/>
  <c r="H619" i="1" s="1"/>
  <c r="J619" i="1" s="1"/>
  <c r="C37" i="8"/>
  <c r="C66" i="7"/>
  <c r="H630" i="1"/>
  <c r="E50" i="7"/>
  <c r="E51" i="7" s="1"/>
  <c r="H43" i="7"/>
  <c r="E103" i="7"/>
  <c r="AE90" i="10"/>
  <c r="AF90" i="10" s="1"/>
  <c r="E104" i="7"/>
  <c r="D51" i="7"/>
  <c r="G170" i="1"/>
  <c r="B12" i="3" s="1"/>
  <c r="F212" i="1"/>
  <c r="F258" i="1" s="1"/>
  <c r="F272" i="1" s="1"/>
  <c r="B9" i="4"/>
  <c r="A13" i="4" s="1"/>
  <c r="H31" i="5"/>
  <c r="L394" i="1"/>
  <c r="F546" i="1"/>
  <c r="H13" i="7"/>
  <c r="H22" i="7"/>
  <c r="F51" i="7"/>
  <c r="H30" i="7"/>
  <c r="C26" i="8"/>
  <c r="C142" i="7"/>
  <c r="H142" i="7" s="1"/>
  <c r="T16" i="10"/>
  <c r="L199" i="1"/>
  <c r="C35" i="8"/>
  <c r="L310" i="1"/>
  <c r="G24" i="6" s="1"/>
  <c r="H24" i="6" s="1"/>
  <c r="I24" i="6" s="1"/>
  <c r="B161" i="7"/>
  <c r="G161" i="7" s="1"/>
  <c r="K501" i="1"/>
  <c r="H546" i="1"/>
  <c r="H9" i="7"/>
  <c r="B160" i="7"/>
  <c r="G160" i="7" s="1"/>
  <c r="T10" i="10"/>
  <c r="T28" i="10"/>
  <c r="F104" i="7"/>
  <c r="L208" i="1"/>
  <c r="E85" i="7"/>
  <c r="E91" i="7" s="1"/>
  <c r="J646" i="1"/>
  <c r="G31" i="5"/>
  <c r="J339" i="1"/>
  <c r="J353" i="1" s="1"/>
  <c r="I461" i="1"/>
  <c r="C13" i="8"/>
  <c r="C112" i="7"/>
  <c r="H112" i="7" s="1"/>
  <c r="G663" i="1"/>
  <c r="G651" i="1"/>
  <c r="J651" i="1" s="1"/>
  <c r="K504" i="1"/>
  <c r="J49" i="1"/>
  <c r="G48" i="7" s="1"/>
  <c r="H48" i="7" s="1"/>
  <c r="C91" i="7"/>
  <c r="I212" i="1"/>
  <c r="I258" i="1" s="1"/>
  <c r="I272" i="1" s="1"/>
  <c r="E122" i="7"/>
  <c r="H435" i="1"/>
  <c r="J546" i="1"/>
  <c r="A40" i="4"/>
  <c r="H44" i="7"/>
  <c r="C50" i="7"/>
  <c r="C124" i="7"/>
  <c r="H124" i="7" s="1"/>
  <c r="AE85" i="10"/>
  <c r="AF85" i="10" s="1"/>
  <c r="I146" i="10"/>
  <c r="G530" i="1"/>
  <c r="C130" i="7"/>
  <c r="C29" i="8"/>
  <c r="J471" i="1"/>
  <c r="J477" i="1" s="1"/>
  <c r="H627" i="1" s="1"/>
  <c r="B163" i="7"/>
  <c r="G163" i="7" s="1"/>
  <c r="C32" i="8"/>
  <c r="B159" i="7"/>
  <c r="G159" i="7" s="1"/>
  <c r="K339" i="1"/>
  <c r="K353" i="1" s="1"/>
  <c r="K503" i="1"/>
  <c r="D103" i="7"/>
  <c r="C24" i="8"/>
  <c r="K499" i="1"/>
  <c r="C114" i="7"/>
  <c r="H114" i="7" s="1"/>
  <c r="C132" i="7"/>
  <c r="H132" i="7" s="1"/>
  <c r="G162" i="7"/>
  <c r="AF99" i="10" l="1"/>
  <c r="AF97" i="10"/>
  <c r="AF6" i="10"/>
  <c r="AF22" i="10"/>
  <c r="AF42" i="10"/>
  <c r="AF54" i="10"/>
  <c r="AF82" i="10"/>
  <c r="AF86" i="10"/>
  <c r="AF19" i="10"/>
  <c r="AF27" i="10"/>
  <c r="AF35" i="10"/>
  <c r="AF43" i="10"/>
  <c r="AF47" i="10"/>
  <c r="AF51" i="10"/>
  <c r="AF59" i="10"/>
  <c r="AF63" i="10"/>
  <c r="AF67" i="10"/>
  <c r="AF71" i="10"/>
  <c r="AF75" i="10"/>
  <c r="AF98" i="10"/>
  <c r="AF81" i="10"/>
  <c r="AF14" i="10"/>
  <c r="AF38" i="10"/>
  <c r="AF66" i="10"/>
  <c r="AF91" i="10"/>
  <c r="AF15" i="10"/>
  <c r="AF32" i="10"/>
  <c r="AF44" i="10"/>
  <c r="AF52" i="10"/>
  <c r="AF64" i="10"/>
  <c r="AF72" i="10"/>
  <c r="AF80" i="10"/>
  <c r="AF89" i="10"/>
  <c r="AF18" i="10"/>
  <c r="AF26" i="10"/>
  <c r="AF34" i="10"/>
  <c r="AF46" i="10"/>
  <c r="AF62" i="10"/>
  <c r="AF92" i="10"/>
  <c r="AF7" i="10"/>
  <c r="AF11" i="10"/>
  <c r="AF23" i="10"/>
  <c r="AF31" i="10"/>
  <c r="AF39" i="10"/>
  <c r="AF55" i="10"/>
  <c r="AF87" i="10"/>
  <c r="AF79" i="10"/>
  <c r="AF76" i="10"/>
  <c r="AF93" i="10"/>
  <c r="AF78" i="10"/>
  <c r="AF4" i="10"/>
  <c r="AF8" i="10"/>
  <c r="AF12" i="10"/>
  <c r="AF16" i="10"/>
  <c r="AF20" i="10"/>
  <c r="AF24" i="10"/>
  <c r="AF28" i="10"/>
  <c r="AF36" i="10"/>
  <c r="AF40" i="10"/>
  <c r="AF48" i="10"/>
  <c r="AF56" i="10"/>
  <c r="AF60" i="10"/>
  <c r="AF68" i="10"/>
  <c r="AF94" i="10"/>
  <c r="AF84" i="10"/>
  <c r="AF95" i="10"/>
  <c r="AF5" i="10"/>
  <c r="AF9" i="10"/>
  <c r="AF13" i="10"/>
  <c r="AF17" i="10"/>
  <c r="AF21" i="10"/>
  <c r="AF25" i="10"/>
  <c r="AF29" i="10"/>
  <c r="AF33" i="10"/>
  <c r="AF37" i="10"/>
  <c r="AF41" i="10"/>
  <c r="AF45" i="10"/>
  <c r="AF49" i="10"/>
  <c r="AF53" i="10"/>
  <c r="AF57" i="10"/>
  <c r="AF61" i="10"/>
  <c r="AF65" i="10"/>
  <c r="AF69" i="10"/>
  <c r="AF73" i="10"/>
  <c r="AF83" i="10"/>
  <c r="AF77" i="10"/>
  <c r="AF10" i="10"/>
  <c r="AF30" i="10"/>
  <c r="AF50" i="10"/>
  <c r="AF58" i="10"/>
  <c r="AF70" i="10"/>
  <c r="AF74" i="10"/>
  <c r="AF88" i="10"/>
  <c r="C38" i="8"/>
  <c r="F194" i="1"/>
  <c r="L291" i="1"/>
  <c r="H130" i="7"/>
  <c r="C138" i="7"/>
  <c r="H138" i="7" s="1"/>
  <c r="L409" i="1"/>
  <c r="G21" i="7"/>
  <c r="J32" i="1"/>
  <c r="H122" i="7"/>
  <c r="G661" i="1"/>
  <c r="G665" i="1" s="1"/>
  <c r="C25" i="5"/>
  <c r="I33" i="5"/>
  <c r="C36" i="8"/>
  <c r="C41" i="8" s="1"/>
  <c r="G636" i="1"/>
  <c r="J636" i="1" s="1"/>
  <c r="B17" i="3"/>
  <c r="B19" i="3" s="1"/>
  <c r="B22" i="3" s="1"/>
  <c r="C27" i="8"/>
  <c r="J99" i="10"/>
  <c r="J96" i="10"/>
  <c r="J93" i="10"/>
  <c r="J90" i="10"/>
  <c r="J87" i="10"/>
  <c r="J84" i="10"/>
  <c r="J81" i="10"/>
  <c r="J78" i="10"/>
  <c r="J325" i="10"/>
  <c r="J322" i="10"/>
  <c r="J319" i="10"/>
  <c r="J316" i="10"/>
  <c r="J313" i="10"/>
  <c r="J310" i="10"/>
  <c r="J307" i="10"/>
  <c r="J304" i="10"/>
  <c r="J301" i="10"/>
  <c r="J298" i="10"/>
  <c r="J295" i="10"/>
  <c r="J292" i="10"/>
  <c r="J289" i="10"/>
  <c r="J286" i="10"/>
  <c r="J283" i="10"/>
  <c r="J280" i="10"/>
  <c r="J277" i="10"/>
  <c r="J274" i="10"/>
  <c r="J271" i="10"/>
  <c r="J268" i="10"/>
  <c r="J265" i="10"/>
  <c r="J262" i="10"/>
  <c r="J259" i="10"/>
  <c r="J256" i="10"/>
  <c r="J253" i="10"/>
  <c r="J250" i="10"/>
  <c r="J247" i="10"/>
  <c r="J244" i="10"/>
  <c r="J241" i="10"/>
  <c r="J238" i="10"/>
  <c r="J235" i="10"/>
  <c r="J232" i="10"/>
  <c r="J229" i="10"/>
  <c r="J226" i="10"/>
  <c r="J223" i="10"/>
  <c r="J220" i="10"/>
  <c r="J217" i="10"/>
  <c r="J214" i="10"/>
  <c r="J211" i="10"/>
  <c r="J208" i="10"/>
  <c r="J205" i="10"/>
  <c r="J202" i="10"/>
  <c r="J199" i="10"/>
  <c r="J196" i="10"/>
  <c r="J193" i="10"/>
  <c r="J190" i="10"/>
  <c r="J187" i="10"/>
  <c r="J184" i="10"/>
  <c r="J181" i="10"/>
  <c r="J178" i="10"/>
  <c r="J175" i="10"/>
  <c r="J172" i="10"/>
  <c r="J169" i="10"/>
  <c r="J166" i="10"/>
  <c r="J163" i="10"/>
  <c r="J160" i="10"/>
  <c r="J157" i="10"/>
  <c r="J154" i="10"/>
  <c r="J151" i="10"/>
  <c r="J148" i="10"/>
  <c r="J145" i="10"/>
  <c r="J142" i="10"/>
  <c r="J139" i="10"/>
  <c r="J136" i="10"/>
  <c r="J133" i="10"/>
  <c r="J130" i="10"/>
  <c r="J127" i="10"/>
  <c r="J124" i="10"/>
  <c r="J121" i="10"/>
  <c r="J118" i="10"/>
  <c r="J100" i="10"/>
  <c r="J97" i="10"/>
  <c r="J94" i="10"/>
  <c r="J91" i="10"/>
  <c r="J88" i="10"/>
  <c r="J324" i="10"/>
  <c r="J321" i="10"/>
  <c r="J318" i="10"/>
  <c r="J315" i="10"/>
  <c r="J312" i="10"/>
  <c r="J309" i="10"/>
  <c r="J306" i="10"/>
  <c r="J303" i="10"/>
  <c r="J300" i="10"/>
  <c r="J297" i="10"/>
  <c r="J294" i="10"/>
  <c r="J291" i="10"/>
  <c r="J288" i="10"/>
  <c r="J285" i="10"/>
  <c r="J282" i="10"/>
  <c r="J279" i="10"/>
  <c r="J276" i="10"/>
  <c r="J273" i="10"/>
  <c r="J270" i="10"/>
  <c r="J267" i="10"/>
  <c r="J264" i="10"/>
  <c r="J261" i="10"/>
  <c r="J258" i="10"/>
  <c r="J255" i="10"/>
  <c r="J252" i="10"/>
  <c r="J249" i="10"/>
  <c r="J246" i="10"/>
  <c r="J243" i="10"/>
  <c r="J240" i="10"/>
  <c r="J237" i="10"/>
  <c r="J234" i="10"/>
  <c r="J231" i="10"/>
  <c r="J228" i="10"/>
  <c r="J225" i="10"/>
  <c r="J222" i="10"/>
  <c r="J219" i="10"/>
  <c r="J216" i="10"/>
  <c r="J213" i="10"/>
  <c r="J210" i="10"/>
  <c r="J207" i="10"/>
  <c r="J204" i="10"/>
  <c r="J201" i="10"/>
  <c r="J198" i="10"/>
  <c r="J195" i="10"/>
  <c r="J192" i="10"/>
  <c r="J189" i="10"/>
  <c r="J186" i="10"/>
  <c r="J183" i="10"/>
  <c r="J180" i="10"/>
  <c r="J177" i="10"/>
  <c r="J174" i="10"/>
  <c r="J171" i="10"/>
  <c r="J168" i="10"/>
  <c r="J165" i="10"/>
  <c r="J162" i="10"/>
  <c r="J159" i="10"/>
  <c r="J156" i="10"/>
  <c r="J153" i="10"/>
  <c r="J150" i="10"/>
  <c r="J147" i="10"/>
  <c r="J144" i="10"/>
  <c r="J141" i="10"/>
  <c r="J138" i="10"/>
  <c r="J135" i="10"/>
  <c r="J132" i="10"/>
  <c r="J129" i="10"/>
  <c r="J126" i="10"/>
  <c r="J98" i="10"/>
  <c r="J95" i="10"/>
  <c r="J92" i="10"/>
  <c r="J323" i="10"/>
  <c r="J320" i="10"/>
  <c r="J317" i="10"/>
  <c r="J314" i="10"/>
  <c r="J311" i="10"/>
  <c r="J308" i="10"/>
  <c r="J305" i="10"/>
  <c r="J302" i="10"/>
  <c r="J299" i="10"/>
  <c r="J296" i="10"/>
  <c r="J293" i="10"/>
  <c r="J290" i="10"/>
  <c r="J287" i="10"/>
  <c r="J284" i="10"/>
  <c r="J281" i="10"/>
  <c r="J278" i="10"/>
  <c r="J275" i="10"/>
  <c r="J272" i="10"/>
  <c r="J269" i="10"/>
  <c r="J266" i="10"/>
  <c r="J263" i="10"/>
  <c r="J260" i="10"/>
  <c r="J257" i="10"/>
  <c r="J254" i="10"/>
  <c r="J251" i="10"/>
  <c r="J248" i="10"/>
  <c r="J245" i="10"/>
  <c r="J242" i="10"/>
  <c r="J239" i="10"/>
  <c r="J236" i="10"/>
  <c r="J233" i="10"/>
  <c r="J230" i="10"/>
  <c r="J227" i="10"/>
  <c r="J224" i="10"/>
  <c r="J221" i="10"/>
  <c r="J218" i="10"/>
  <c r="J215" i="10"/>
  <c r="J212" i="10"/>
  <c r="J209" i="10"/>
  <c r="J206" i="10"/>
  <c r="J203" i="10"/>
  <c r="J200" i="10"/>
  <c r="J197" i="10"/>
  <c r="J194" i="10"/>
  <c r="J191" i="10"/>
  <c r="J188" i="10"/>
  <c r="J185" i="10"/>
  <c r="J182" i="10"/>
  <c r="J179" i="10"/>
  <c r="J176" i="10"/>
  <c r="J173" i="10"/>
  <c r="J170" i="10"/>
  <c r="J167" i="10"/>
  <c r="J164" i="10"/>
  <c r="J161" i="10"/>
  <c r="J158" i="10"/>
  <c r="J155" i="10"/>
  <c r="J152" i="10"/>
  <c r="J149" i="10"/>
  <c r="J146" i="10"/>
  <c r="J143" i="10"/>
  <c r="J140" i="10"/>
  <c r="J137" i="10"/>
  <c r="J134" i="10"/>
  <c r="J131" i="10"/>
  <c r="J128" i="10"/>
  <c r="J125" i="10"/>
  <c r="J122" i="10"/>
  <c r="J119" i="10"/>
  <c r="J116" i="10"/>
  <c r="J113" i="10"/>
  <c r="J110" i="10"/>
  <c r="J107" i="10"/>
  <c r="J104" i="10"/>
  <c r="J101" i="10"/>
  <c r="J120" i="10"/>
  <c r="J85" i="10"/>
  <c r="J80" i="10"/>
  <c r="J115" i="10"/>
  <c r="J111" i="10"/>
  <c r="J103" i="10"/>
  <c r="J83" i="10"/>
  <c r="J123" i="10"/>
  <c r="J114" i="10"/>
  <c r="J106" i="10"/>
  <c r="J102" i="10"/>
  <c r="J86" i="10"/>
  <c r="J76" i="10"/>
  <c r="J75" i="10"/>
  <c r="J74" i="10"/>
  <c r="J73" i="10"/>
  <c r="J72" i="10"/>
  <c r="J71" i="10"/>
  <c r="J70" i="10"/>
  <c r="J69" i="10"/>
  <c r="J68" i="10"/>
  <c r="J67" i="10"/>
  <c r="J66" i="10"/>
  <c r="J65" i="10"/>
  <c r="J64" i="10"/>
  <c r="J63" i="10"/>
  <c r="J62" i="10"/>
  <c r="J61" i="10"/>
  <c r="J60" i="10"/>
  <c r="J59" i="10"/>
  <c r="J58" i="10"/>
  <c r="J57" i="10"/>
  <c r="J56" i="10"/>
  <c r="J117" i="10"/>
  <c r="J109" i="10"/>
  <c r="J105" i="10"/>
  <c r="J89" i="10"/>
  <c r="J79" i="10"/>
  <c r="J40" i="10"/>
  <c r="J34" i="10"/>
  <c r="J28" i="10"/>
  <c r="J22" i="10"/>
  <c r="J16" i="10"/>
  <c r="J10" i="10"/>
  <c r="J82" i="10"/>
  <c r="J4" i="10"/>
  <c r="J77" i="10"/>
  <c r="J53" i="10"/>
  <c r="J50" i="10"/>
  <c r="J47" i="10"/>
  <c r="J44" i="10"/>
  <c r="J35" i="10"/>
  <c r="J29" i="10"/>
  <c r="J23" i="10"/>
  <c r="J17" i="10"/>
  <c r="J11" i="10"/>
  <c r="J5" i="10"/>
  <c r="J41" i="10"/>
  <c r="J36" i="10"/>
  <c r="J30" i="10"/>
  <c r="J24" i="10"/>
  <c r="J18" i="10"/>
  <c r="J12" i="10"/>
  <c r="J6" i="10"/>
  <c r="J54" i="10"/>
  <c r="J51" i="10"/>
  <c r="J48" i="10"/>
  <c r="J45" i="10"/>
  <c r="J42" i="10"/>
  <c r="J37" i="10"/>
  <c r="J31" i="10"/>
  <c r="J25" i="10"/>
  <c r="J19" i="10"/>
  <c r="J13" i="10"/>
  <c r="J7" i="10"/>
  <c r="J108" i="10"/>
  <c r="J38" i="10"/>
  <c r="J32" i="10"/>
  <c r="J26" i="10"/>
  <c r="J20" i="10"/>
  <c r="J14" i="10"/>
  <c r="J8" i="10"/>
  <c r="J39" i="10"/>
  <c r="J21" i="10"/>
  <c r="J55" i="10"/>
  <c r="J46" i="10"/>
  <c r="J112" i="10"/>
  <c r="J43" i="10"/>
  <c r="J9" i="10"/>
  <c r="J33" i="10"/>
  <c r="J15" i="10"/>
  <c r="J27" i="10"/>
  <c r="J49" i="10"/>
  <c r="J52" i="10"/>
  <c r="I447" i="1"/>
  <c r="G643" i="1" s="1"/>
  <c r="J643" i="1" s="1"/>
  <c r="J9" i="1"/>
  <c r="H33" i="5"/>
  <c r="J630" i="1"/>
  <c r="E33" i="5"/>
  <c r="D35" i="5" s="1"/>
  <c r="C8" i="5"/>
  <c r="H63" i="7"/>
  <c r="C20" i="8"/>
  <c r="D14" i="5"/>
  <c r="C14" i="5" s="1"/>
  <c r="C123" i="7"/>
  <c r="H123" i="7" s="1"/>
  <c r="D5" i="5"/>
  <c r="G33" i="5"/>
  <c r="H111" i="7"/>
  <c r="D128" i="7"/>
  <c r="D145" i="7" s="1"/>
  <c r="H127" i="7"/>
  <c r="H62" i="7"/>
  <c r="H665" i="1"/>
  <c r="E115" i="7"/>
  <c r="E145" i="7" s="1"/>
  <c r="H131" i="7"/>
  <c r="H91" i="7"/>
  <c r="C11" i="8"/>
  <c r="C110" i="7"/>
  <c r="H110" i="7" s="1"/>
  <c r="H66" i="7"/>
  <c r="C70" i="7"/>
  <c r="H70" i="7" s="1"/>
  <c r="H649" i="1"/>
  <c r="J272" i="1"/>
  <c r="C39" i="8"/>
  <c r="G627" i="1"/>
  <c r="J627" i="1" s="1"/>
  <c r="J52" i="1"/>
  <c r="H622" i="1" s="1"/>
  <c r="J649" i="1"/>
  <c r="H78" i="7"/>
  <c r="H103" i="7"/>
  <c r="L212" i="1"/>
  <c r="H85" i="7"/>
  <c r="J194" i="1"/>
  <c r="H109" i="7"/>
  <c r="C115" i="7"/>
  <c r="H118" i="7"/>
  <c r="U75" i="10"/>
  <c r="U74" i="10"/>
  <c r="U73" i="10"/>
  <c r="U72" i="10"/>
  <c r="U71" i="10"/>
  <c r="U70" i="10"/>
  <c r="U69" i="10"/>
  <c r="U68" i="10"/>
  <c r="U67" i="10"/>
  <c r="U66" i="10"/>
  <c r="U65" i="10"/>
  <c r="U64" i="10"/>
  <c r="U63" i="10"/>
  <c r="U62" i="10"/>
  <c r="U61" i="10"/>
  <c r="U60" i="10"/>
  <c r="U59" i="10"/>
  <c r="U58" i="10"/>
  <c r="U57" i="10"/>
  <c r="U56" i="10"/>
  <c r="U55" i="10"/>
  <c r="U54" i="10"/>
  <c r="U53" i="10"/>
  <c r="U52" i="10"/>
  <c r="U51" i="10"/>
  <c r="U50" i="10"/>
  <c r="U49" i="10"/>
  <c r="U48" i="10"/>
  <c r="U47" i="10"/>
  <c r="U46" i="10"/>
  <c r="U45" i="10"/>
  <c r="U44" i="10"/>
  <c r="U43" i="10"/>
  <c r="U42" i="10"/>
  <c r="U41" i="10"/>
  <c r="U40" i="10"/>
  <c r="U36" i="10"/>
  <c r="U30" i="10"/>
  <c r="U24" i="10"/>
  <c r="U18" i="10"/>
  <c r="U12" i="10"/>
  <c r="U6" i="10"/>
  <c r="U37" i="10"/>
  <c r="U31" i="10"/>
  <c r="U25" i="10"/>
  <c r="U19" i="10"/>
  <c r="U13" i="10"/>
  <c r="U7" i="10"/>
  <c r="U38" i="10"/>
  <c r="U32" i="10"/>
  <c r="U26" i="10"/>
  <c r="U20" i="10"/>
  <c r="U14" i="10"/>
  <c r="U8" i="10"/>
  <c r="U39" i="10"/>
  <c r="U33" i="10"/>
  <c r="U27" i="10"/>
  <c r="U21" i="10"/>
  <c r="U15" i="10"/>
  <c r="U9" i="10"/>
  <c r="U34" i="10"/>
  <c r="U28" i="10"/>
  <c r="U22" i="10"/>
  <c r="U16" i="10"/>
  <c r="U10" i="10"/>
  <c r="U23" i="10"/>
  <c r="U35" i="10"/>
  <c r="U17" i="10"/>
  <c r="U4" i="10"/>
  <c r="U29" i="10"/>
  <c r="U11" i="10"/>
  <c r="U5" i="10"/>
  <c r="L525" i="1"/>
  <c r="L546" i="1" s="1"/>
  <c r="F550" i="1"/>
  <c r="C51" i="7"/>
  <c r="G50" i="7"/>
  <c r="C15" i="8"/>
  <c r="C28" i="8" s="1"/>
  <c r="C30" i="8" l="1"/>
  <c r="D22" i="8"/>
  <c r="D12" i="8"/>
  <c r="D25" i="8"/>
  <c r="D19" i="8"/>
  <c r="D24" i="8"/>
  <c r="D23" i="8"/>
  <c r="D13" i="8"/>
  <c r="D26" i="8"/>
  <c r="D17" i="8"/>
  <c r="D16" i="8"/>
  <c r="D10" i="8"/>
  <c r="D18" i="8"/>
  <c r="D21" i="8"/>
  <c r="D40" i="8"/>
  <c r="D37" i="8"/>
  <c r="D35" i="8"/>
  <c r="C128" i="7"/>
  <c r="H128" i="7" s="1"/>
  <c r="H647" i="1"/>
  <c r="G638" i="1"/>
  <c r="J638" i="1" s="1"/>
  <c r="F553" i="1"/>
  <c r="K550" i="1"/>
  <c r="K553" i="1" s="1"/>
  <c r="C145" i="7"/>
  <c r="H145" i="7" s="1"/>
  <c r="H115" i="7"/>
  <c r="D20" i="8"/>
  <c r="H673" i="1"/>
  <c r="C6" i="8" s="1"/>
  <c r="H668" i="1"/>
  <c r="D36" i="8"/>
  <c r="C144" i="7"/>
  <c r="H144" i="7" s="1"/>
  <c r="G31" i="7"/>
  <c r="H31" i="7" s="1"/>
  <c r="H21" i="7"/>
  <c r="D39" i="8"/>
  <c r="G632" i="1"/>
  <c r="J632" i="1" s="1"/>
  <c r="G647" i="1"/>
  <c r="J647" i="1" s="1"/>
  <c r="L339" i="1"/>
  <c r="L353" i="1" s="1"/>
  <c r="D31" i="5"/>
  <c r="C31" i="5" s="1"/>
  <c r="C5" i="5"/>
  <c r="G4" i="6"/>
  <c r="H4" i="6" s="1"/>
  <c r="I4" i="6" s="1"/>
  <c r="F661" i="1"/>
  <c r="L258" i="1"/>
  <c r="L272" i="1" s="1"/>
  <c r="G633" i="1" s="1"/>
  <c r="J633" i="1" s="1"/>
  <c r="G51" i="7"/>
  <c r="H51" i="7" s="1"/>
  <c r="G628" i="1"/>
  <c r="F469" i="1"/>
  <c r="G673" i="1"/>
  <c r="C5" i="8" s="1"/>
  <c r="G668" i="1"/>
  <c r="D38" i="8"/>
  <c r="D27" i="8"/>
  <c r="D15" i="8"/>
  <c r="H50" i="7"/>
  <c r="C81" i="7"/>
  <c r="D11" i="8"/>
  <c r="G8" i="7"/>
  <c r="J19" i="1"/>
  <c r="G622" i="1" s="1"/>
  <c r="H628" i="1" l="1"/>
  <c r="J628" i="1" s="1"/>
  <c r="F471" i="1"/>
  <c r="F477" i="1" s="1"/>
  <c r="H623" i="1" s="1"/>
  <c r="J623" i="1" s="1"/>
  <c r="D28" i="8"/>
  <c r="G18" i="7"/>
  <c r="H18" i="7" s="1"/>
  <c r="H8" i="7"/>
  <c r="D41" i="8"/>
  <c r="H81" i="7"/>
  <c r="C104" i="7"/>
  <c r="H104" i="7" s="1"/>
  <c r="F665" i="1"/>
  <c r="I661" i="1"/>
  <c r="I665" i="1" s="1"/>
  <c r="G634" i="1"/>
  <c r="H473" i="1"/>
  <c r="J622" i="1"/>
  <c r="D33" i="5"/>
  <c r="D36" i="5" s="1"/>
  <c r="I673" i="1" l="1"/>
  <c r="C7" i="8" s="1"/>
  <c r="I668" i="1"/>
  <c r="F668" i="1"/>
  <c r="F673" i="1"/>
  <c r="C4" i="8" s="1"/>
  <c r="H475" i="1"/>
  <c r="H477" i="1" s="1"/>
  <c r="H625" i="1" s="1"/>
  <c r="J625" i="1" s="1"/>
  <c r="H634" i="1"/>
  <c r="J634" i="1" s="1"/>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7" authorId="0" shapeId="0" xr:uid="{00000000-0006-0000-0000-000025000000}">
      <text>
        <r>
          <rPr>
            <sz val="8"/>
            <color rgb="FF000000"/>
            <rFont val="Arial"/>
            <scheme val="minor"/>
          </rPr>
          <t>======
ID#AAAAgHheP8M
Ron  Leclerc    (2022-09-17 18:29:24)
Only report the amount raise locally to support education.  Do not report the amount raise from the Statewide Property Tax.  That amount should be reported on  Page 4.</t>
        </r>
      </text>
    </comment>
    <comment ref="A61" authorId="0" shapeId="0" xr:uid="{00000000-0006-0000-0000-000017000000}">
      <text>
        <r>
          <rPr>
            <sz val="8"/>
            <color rgb="FF000000"/>
            <rFont val="Arial"/>
            <scheme val="minor"/>
          </rPr>
          <t>======
ID#AAAAgHheP9E
Ron  Leclerc    (2022-09-17 18:29:24)
Please be careful in reporting the tuition revenue to the appropriate category. Example, tuition paid by Parents vs. tuition paid by other LEA’s.</t>
        </r>
      </text>
    </comment>
    <comment ref="A81" authorId="0" shapeId="0" xr:uid="{00000000-0006-0000-0000-00000A000000}">
      <text>
        <r>
          <rPr>
            <sz val="8"/>
            <color rgb="FF000000"/>
            <rFont val="Arial"/>
            <scheme val="minor"/>
          </rPr>
          <t>======
ID#AAAAgHheP94
Ron  Leclerc    (2022-09-17 18:29:24)
Please be careful in reporting the transportation revenue to the appropriate category.  Example, transportation paid by Parents vs. transportation paid by other LEA’s.</t>
        </r>
      </text>
    </comment>
    <comment ref="A93" authorId="0" shapeId="0" xr:uid="{00000000-0006-0000-0000-00002E000000}">
      <text>
        <r>
          <rPr>
            <sz val="8"/>
            <color rgb="FF000000"/>
            <rFont val="Arial"/>
            <scheme val="minor"/>
          </rPr>
          <t>======
ID#AAAAgHheP7o
Ron  Leclerc    (2022-09-17 18:29:24)
Note:  Transportation Fees received for non-student related transportation services</t>
        </r>
      </text>
    </comment>
    <comment ref="A114" authorId="0" shapeId="0" xr:uid="{00000000-0006-0000-0000-000006000000}">
      <text>
        <r>
          <rPr>
            <sz val="8"/>
            <color rgb="FF000000"/>
            <rFont val="Arial"/>
            <scheme val="minor"/>
          </rPr>
          <t>======
ID#AAAAgHheP-E
Ron  Leclerc    (2022-09-17 18:29:24)
Please report to the appropriate category your state revenues.  Please refer to document  State Aid (Partial Listing), for the amounts to report in this section.</t>
        </r>
      </text>
    </comment>
    <comment ref="F118" authorId="0" shapeId="0" xr:uid="{00000000-0006-0000-0000-00001B000000}">
      <text>
        <r>
          <rPr>
            <sz val="8"/>
            <color rgb="FF000000"/>
            <rFont val="Arial"/>
            <scheme val="minor"/>
          </rPr>
          <t>======
ID#AAAAgHheP84
Ron  Leclerc    (2022-09-17 18:29:24)
Only report that amount raise from the Statewide Property  Tax.</t>
        </r>
      </text>
    </comment>
    <comment ref="G132" authorId="0" shapeId="0" xr:uid="{00000000-0006-0000-0000-000005000000}">
      <text>
        <r>
          <rPr>
            <sz val="8"/>
            <color rgb="FF000000"/>
            <rFont val="Arial"/>
            <scheme val="minor"/>
          </rPr>
          <t>======
ID#AAAAgHheP-M
Ron  Leclerc    (2022-09-17 18:29:24)
Only report the state’s share of the revenue on this page.  Do not lump sum the state and federal revenues.</t>
        </r>
      </text>
    </comment>
    <comment ref="G158" authorId="0" shapeId="0" xr:uid="{00000000-0006-0000-0000-000031000000}">
      <text>
        <r>
          <rPr>
            <sz val="8"/>
            <color rgb="FF000000"/>
            <rFont val="Arial"/>
            <scheme val="minor"/>
          </rPr>
          <t>======
ID#AAAAgHheP7c
Ron  Leclerc    (2022-09-17 18:29:24)
Only report the federal share of the revenue on this page.  Do not lump sum the 
 federal and state revenues.</t>
        </r>
      </text>
    </comment>
    <comment ref="A492" authorId="0" shapeId="0" xr:uid="{00000000-0006-0000-0000-000018000000}">
      <text>
        <r>
          <rPr>
            <sz val="8"/>
            <color rgb="FF000000"/>
            <rFont val="Arial"/>
            <scheme val="minor"/>
          </rPr>
          <t>======
ID#AAAAgHheP9A
Ron  Leclerc    (2022-09-17 18:29:24)
Please use the Month slash Year Format.  For example: July 2001 = 07/01</t>
        </r>
      </text>
    </comment>
    <comment ref="K599" authorId="0" shapeId="0" xr:uid="{00000000-0006-0000-0000-000027000000}">
      <text>
        <r>
          <rPr>
            <sz val="8"/>
            <color rgb="FF000000"/>
            <rFont val="Arial"/>
            <scheme val="minor"/>
          </rPr>
          <t>======
ID#AAAAgHheP8E
Ron  Leclerc    (2022-09-17 18:29:24)
The total reported here must agree with the total transportation expenditures reported on Pages 7, 8, and 9.</t>
        </r>
      </text>
    </comment>
    <comment ref="K606" authorId="0" shapeId="0" xr:uid="{00000000-0006-0000-0000-00002C000000}">
      <text>
        <r>
          <rPr>
            <sz val="8"/>
            <color rgb="FF000000"/>
            <rFont val="Arial"/>
            <scheme val="minor"/>
          </rPr>
          <t>======
ID#AAAAgHheP7w
Ron  Leclerc    (2022-09-17 18:29:24)
The total reported here must agree with the total reported on Pages 10 and 14  minus Function 4000 (Facilities Acquisition) for 
 property.</t>
        </r>
      </text>
    </comment>
    <comment ref="J618" authorId="0" shapeId="0" xr:uid="{00000000-0006-0000-0000-000008000000}">
      <text>
        <r>
          <rPr>
            <sz val="8"/>
            <color rgb="FF000000"/>
            <rFont val="Arial"/>
            <scheme val="minor"/>
          </rPr>
          <t>======
ID#AAAAgHheP-A
Welch, Matthew    (2022-09-17 18:29:24)
Total Current Assets equal Total Liabilities &amp; Equity for General Fund 10</t>
        </r>
      </text>
    </comment>
    <comment ref="J619" authorId="0" shapeId="0" xr:uid="{00000000-0006-0000-0000-00002B000000}">
      <text>
        <r>
          <rPr>
            <sz val="8"/>
            <color rgb="FF000000"/>
            <rFont val="Arial"/>
            <scheme val="minor"/>
          </rPr>
          <t>======
ID#AAAAgHheP70
Welch, Matthew    (2022-09-17 18:29:24)
Total Current Assets equal Total Liabilities &amp; Equity for Food Service Fund 21</t>
        </r>
      </text>
    </comment>
    <comment ref="J620" authorId="0" shapeId="0" xr:uid="{00000000-0006-0000-0000-00002F000000}">
      <text>
        <r>
          <rPr>
            <sz val="8"/>
            <color rgb="FF000000"/>
            <rFont val="Arial"/>
            <scheme val="minor"/>
          </rPr>
          <t>======
ID#AAAAgHheP7k
Welch, Matthew    (2022-09-17 18:29:24)
Total Current Assets equal Total Liabilities &amp; Equity for All Other Special Revenue Fund 22</t>
        </r>
      </text>
    </comment>
    <comment ref="J621" authorId="0" shapeId="0" xr:uid="{00000000-0006-0000-0000-000022000000}">
      <text>
        <r>
          <rPr>
            <sz val="8"/>
            <color rgb="FF000000"/>
            <rFont val="Arial"/>
            <scheme val="minor"/>
          </rPr>
          <t>======
ID#AAAAgHheP8U
Welch, Matthew    (2022-09-17 18:29:24)
Total Current Assets equal Total Liabilities &amp; Equity for Capital Projects Fund 30</t>
        </r>
      </text>
    </comment>
    <comment ref="J622" authorId="0" shapeId="0" xr:uid="{00000000-0006-0000-0000-00001E000000}">
      <text>
        <r>
          <rPr>
            <sz val="8"/>
            <color rgb="FF000000"/>
            <rFont val="Arial"/>
            <scheme val="minor"/>
          </rPr>
          <t>======
ID#AAAAgHheP8s
Welch, Matthew    (2022-09-17 18:29:24)
Total Current Assets equal Total Liabilities &amp; Equity for Trust Agency Fund 70</t>
        </r>
      </text>
    </comment>
    <comment ref="J623" authorId="0" shapeId="0" xr:uid="{00000000-0006-0000-0000-000020000000}">
      <text>
        <r>
          <rPr>
            <sz val="8"/>
            <color rgb="FF000000"/>
            <rFont val="Arial"/>
            <scheme val="minor"/>
          </rPr>
          <t>======
ID#AAAAgHheP8k
Welch, Matthew    (2022-09-17 18:29:24)
Total Fund Equity on Balance Sheet equals ending fund balance on page 19 for General Fund 10</t>
        </r>
      </text>
    </comment>
    <comment ref="J624" authorId="0" shapeId="0" xr:uid="{00000000-0006-0000-0000-00001A000000}">
      <text>
        <r>
          <rPr>
            <sz val="8"/>
            <color rgb="FF000000"/>
            <rFont val="Arial"/>
            <scheme val="minor"/>
          </rPr>
          <t>======
ID#AAAAgHheP80
Welch, Matthew    (2022-09-17 18:29:24)
Total Fund Equity on Balance Sheet equals ending fund balance on page 19 for Food Service Fund 21</t>
        </r>
      </text>
    </comment>
    <comment ref="J625" authorId="0" shapeId="0" xr:uid="{00000000-0006-0000-0000-00001D000000}">
      <text>
        <r>
          <rPr>
            <sz val="8"/>
            <color rgb="FF000000"/>
            <rFont val="Arial"/>
            <scheme val="minor"/>
          </rPr>
          <t>======
ID#AAAAgHheP8o
Welch, Matthew    (2022-09-17 18:29:24)
Total Fund Equity on Balance Sheet equals ending fund balance on page 19 for All Other Special Revenue Fund 22</t>
        </r>
      </text>
    </comment>
    <comment ref="J626" authorId="0" shapeId="0" xr:uid="{00000000-0006-0000-0000-00000B000000}">
      <text>
        <r>
          <rPr>
            <sz val="8"/>
            <color rgb="FF000000"/>
            <rFont val="Arial"/>
            <scheme val="minor"/>
          </rPr>
          <t>======
ID#AAAAgHheP9w
Welch, Matthew    (2022-09-17 18:29:24)
Total Fund Equity on Balance Sheet equals ending fund balance on page 19 for Capital Projects Fund 30</t>
        </r>
      </text>
    </comment>
    <comment ref="J627" authorId="0" shapeId="0" xr:uid="{00000000-0006-0000-0000-00000C000000}">
      <text>
        <r>
          <rPr>
            <sz val="8"/>
            <color rgb="FF000000"/>
            <rFont val="Arial"/>
            <scheme val="minor"/>
          </rPr>
          <t>======
ID#AAAAgHheP90
Welch, Matthew    (2022-09-17 18:29:24)
Total Fund Equity on Balance Sheet equals ending fund balance on page 19 for Trust Agency Fund 70</t>
        </r>
      </text>
    </comment>
    <comment ref="J628" authorId="0" shapeId="0" xr:uid="{00000000-0006-0000-0000-00000F000000}">
      <text>
        <r>
          <rPr>
            <sz val="8"/>
            <color rgb="FF000000"/>
            <rFont val="Arial"/>
            <scheme val="minor"/>
          </rPr>
          <t>======
ID#AAAAgHheP9k
Welch, Matthew    (2022-09-17 18:29:24)
Total Revenue &amp; Other Financing Sources on Page 6 equals Revenue reported on Page 19 for General Fund 10</t>
        </r>
      </text>
    </comment>
    <comment ref="J629" authorId="0" shapeId="0" xr:uid="{00000000-0006-0000-0000-000019000000}">
      <text>
        <r>
          <rPr>
            <sz val="8"/>
            <color rgb="FF000000"/>
            <rFont val="Arial"/>
            <scheme val="minor"/>
          </rPr>
          <t>======
ID#AAAAgHheP88
Welch, Matthew    (2022-09-17 18:29:24)
Total Revenue &amp; Other Financing Sources on Page 6 equals Revenue reported on Page 19 for Food Service Fund 21</t>
        </r>
      </text>
    </comment>
    <comment ref="J630" authorId="0" shapeId="0" xr:uid="{00000000-0006-0000-0000-000029000000}">
      <text>
        <r>
          <rPr>
            <sz val="8"/>
            <color rgb="FF000000"/>
            <rFont val="Arial"/>
            <scheme val="minor"/>
          </rPr>
          <t>======
ID#AAAAgHheP74
Welch, Matthew    (2022-09-17 18:29:24)
Total Revenue &amp; Other Financing Sources on Page 6 equals Revenue reported on Page 19 for All Other Special Revenue Fund 22</t>
        </r>
      </text>
    </comment>
    <comment ref="J631" authorId="0" shapeId="0" xr:uid="{00000000-0006-0000-0000-000002000000}">
      <text>
        <r>
          <rPr>
            <sz val="8"/>
            <color rgb="FF000000"/>
            <rFont val="Arial"/>
            <scheme val="minor"/>
          </rPr>
          <t>======
ID#AAAAgHheP-Y
Welch, Matthew    (2022-09-17 18:29:24)
Total Revenue &amp; Other Financing Sources on Page 6 equals Revenue reported on Page 19 for Capital Projects Fund 30</t>
        </r>
      </text>
    </comment>
    <comment ref="J632" authorId="0" shapeId="0" xr:uid="{00000000-0006-0000-0000-000004000000}">
      <text>
        <r>
          <rPr>
            <sz val="8"/>
            <color rgb="FF000000"/>
            <rFont val="Arial"/>
            <scheme val="minor"/>
          </rPr>
          <t>======
ID#AAAAgHheP-Q
Welch, Matthew    (2022-09-17 18:29:24)
Total Revenue &amp; Other Financing Sources on Page 6 equals Revenue reported on Page 19 for Trust Agency Fund 70</t>
        </r>
      </text>
    </comment>
    <comment ref="J633" authorId="0" shapeId="0" xr:uid="{00000000-0006-0000-0000-000007000000}">
      <text>
        <r>
          <rPr>
            <sz val="8"/>
            <color rgb="FF000000"/>
            <rFont val="Arial"/>
            <scheme val="minor"/>
          </rPr>
          <t>======
ID#AAAAgHheP-I
Welch, Matthew    (2022-09-17 18:29:24)
Total Expenditures &amp; Other Financing Uses on Page 10 equals Expenditures reported on Page 19 for General Fund 10</t>
        </r>
      </text>
    </comment>
    <comment ref="J634" authorId="0" shapeId="0" xr:uid="{00000000-0006-0000-0000-00000E000000}">
      <text>
        <r>
          <rPr>
            <sz val="8"/>
            <color rgb="FF000000"/>
            <rFont val="Arial"/>
            <scheme val="minor"/>
          </rPr>
          <t>======
ID#AAAAgHheP9o
Welch, Matthew    (2022-09-17 18:29:24)
Total Expenditures &amp; Other Financing Uses on Page 14 equals Expenditures reported on Page 19 for Special Revenue Fund 22</t>
        </r>
      </text>
    </comment>
    <comment ref="J635" authorId="0" shapeId="0" xr:uid="{00000000-0006-0000-0000-00001C000000}">
      <text>
        <r>
          <rPr>
            <sz val="8"/>
            <color rgb="FF000000"/>
            <rFont val="Arial"/>
            <scheme val="minor"/>
          </rPr>
          <t>======
ID#AAAAgHheP8w
Welch, Matthew    (2022-09-17 18:29:24)
Total Food Service Supplies on Page 15 equals Total Food &amp; Supplies reported on Page 15, Line 8, Column 4 for Food Service Fund 22</t>
        </r>
      </text>
    </comment>
    <comment ref="J636" authorId="0" shapeId="0" xr:uid="{00000000-0006-0000-0000-000010000000}">
      <text>
        <r>
          <rPr>
            <sz val="8"/>
            <color rgb="FF000000"/>
            <rFont val="Arial"/>
            <scheme val="minor"/>
          </rPr>
          <t>======
ID#AAAAgHheP9g
Welch, Matthew    (2022-09-17 18:29:24)
Total Food Service Expenditures on Page 15, line 5 equals Expenditures reported on Page 19 for Food Service Fund 22</t>
        </r>
      </text>
    </comment>
    <comment ref="J637" authorId="0" shapeId="0" xr:uid="{00000000-0006-0000-0000-000026000000}">
      <text>
        <r>
          <rPr>
            <sz val="8"/>
            <color rgb="FF000000"/>
            <rFont val="Arial"/>
            <scheme val="minor"/>
          </rPr>
          <t>======
ID#AAAAgHheP8I
Welch, Matthew    (2022-09-17 18:29:24)
Total Expenditures for Page 15 line 17 equals page 19 Expenditures for Capital Fund 30</t>
        </r>
      </text>
    </comment>
    <comment ref="J638" authorId="0" shapeId="0" xr:uid="{00000000-0006-0000-0000-000009000000}">
      <text>
        <r>
          <rPr>
            <sz val="8"/>
            <color rgb="FF000000"/>
            <rFont val="Arial"/>
            <scheme val="minor"/>
          </rPr>
          <t>======
ID#AAAAgHheP98
Welch, Matthew    (2022-09-17 18:29:24)
Total Trust Fund Revenue on page 16, line 20 equals Revenues reported on Page 19 for Trust Agency Fund 70</t>
        </r>
      </text>
    </comment>
    <comment ref="J639" authorId="0" shapeId="0" xr:uid="{00000000-0006-0000-0000-000014000000}">
      <text>
        <r>
          <rPr>
            <sz val="8"/>
            <color rgb="FF000000"/>
            <rFont val="Arial"/>
            <scheme val="minor"/>
          </rPr>
          <t>======
ID#AAAAgHheP9Q
Welch, Matthew    (2022-09-17 18:29:24)
Total Trust Fund Expenditures on page 17, line 20 equals Expenditures reported on Page 19 for Trust Agency Fund 70</t>
        </r>
      </text>
    </comment>
    <comment ref="J640" authorId="0" shapeId="0" xr:uid="{00000000-0006-0000-0000-000011000000}">
      <text>
        <r>
          <rPr>
            <sz val="8"/>
            <color rgb="FF000000"/>
            <rFont val="Arial"/>
            <scheme val="minor"/>
          </rPr>
          <t>======
ID#AAAAgHheP9c
Welch, Matthew    (2022-09-17 18:29:24)
Total Current Trust Assets equal Total Liabilities and Equity on Page 18, column 1 for Capital Reserves</t>
        </r>
      </text>
    </comment>
    <comment ref="J641" authorId="0" shapeId="0" xr:uid="{00000000-0006-0000-0000-00000D000000}">
      <text>
        <r>
          <rPr>
            <sz val="8"/>
            <color rgb="FF000000"/>
            <rFont val="Arial"/>
            <scheme val="minor"/>
          </rPr>
          <t>======
ID#AAAAgHheP9s
Welch, Matthew    (2022-09-17 18:29:24)
Total Current Trust Assets equal Total Liabilities and Equity on Page 18, column 2 for Other Expendable</t>
        </r>
      </text>
    </comment>
    <comment ref="J642" authorId="0" shapeId="0" xr:uid="{00000000-0006-0000-0000-000028000000}">
      <text>
        <r>
          <rPr>
            <sz val="8"/>
            <color rgb="FF000000"/>
            <rFont val="Arial"/>
            <scheme val="minor"/>
          </rPr>
          <t>======
ID#AAAAgHheP8A
Welch, Matthew    (2022-09-17 18:29:24)
Total Current Trust Assets equal Total Liabilities and Equity on Page 18, column 3 for Non-Expendable</t>
        </r>
      </text>
    </comment>
    <comment ref="J643" authorId="0" shapeId="0" xr:uid="{00000000-0006-0000-0000-000015000000}">
      <text>
        <r>
          <rPr>
            <sz val="8"/>
            <color rgb="FF000000"/>
            <rFont val="Arial"/>
            <scheme val="minor"/>
          </rPr>
          <t>======
ID#AAAAgHheP9I
Welch, Matthew    (2022-09-17 18:29:24)
Total Current Trust Assets equal Total Liabilities and Equity on Page 18, column 4 for Total Trust</t>
        </r>
      </text>
    </comment>
    <comment ref="J644" authorId="0" shapeId="0" xr:uid="{00000000-0006-0000-0000-000001000000}">
      <text>
        <r>
          <rPr>
            <sz val="8"/>
            <color rgb="FF000000"/>
            <rFont val="Arial"/>
            <scheme val="minor"/>
          </rPr>
          <t>======
ID#AAAAgHheP-c
Welch, Matthew    (2022-09-17 18:29:24)
Total Appropriation for Trust Fund Page 2, Column 5 equals Page 16, column 1 line 20 Total Appropriations</t>
        </r>
      </text>
    </comment>
    <comment ref="J645" authorId="0" shapeId="0" xr:uid="{00000000-0006-0000-0000-000013000000}">
      <text>
        <r>
          <rPr>
            <sz val="8"/>
            <color rgb="FF000000"/>
            <rFont val="Arial"/>
            <scheme val="minor"/>
          </rPr>
          <t>======
ID#AAAAgHheP9Y
Welch, Matthew    (2022-09-17 18:29:24)
Total Earnings on Investments Page 3, Column 5 equals Page 16, column 3 line 20 Total Interest Earned</t>
        </r>
      </text>
    </comment>
    <comment ref="J646" authorId="0" shapeId="0" xr:uid="{00000000-0006-0000-0000-00002D000000}">
      <text>
        <r>
          <rPr>
            <sz val="8"/>
            <color rgb="FF000000"/>
            <rFont val="Arial"/>
            <scheme val="minor"/>
          </rPr>
          <t>======
ID#AAAAgHheP7s
Welch, Matthew    (2022-09-17 18:29:24)
Total Inter-fund transfers on page 6 line 10 Fund 70 equals Total Inter-fund Transfers on Page 16, line20 Column 2</t>
        </r>
      </text>
    </comment>
    <comment ref="J647" authorId="0" shapeId="0" xr:uid="{00000000-0006-0000-0000-000012000000}">
      <text>
        <r>
          <rPr>
            <sz val="8"/>
            <color rgb="FF000000"/>
            <rFont val="Arial"/>
            <scheme val="minor"/>
          </rPr>
          <t>======
ID#AAAAgHheP9U
Welch, Matthew    (2022-09-17 18:29:24)
Total Revenue &amp; Other Financing Sources Page 6 line 19 Fund 70 equals Total Trust Fund Revenue on Page 16 line 20 column 7</t>
        </r>
      </text>
    </comment>
    <comment ref="J648" authorId="0" shapeId="0" xr:uid="{00000000-0006-0000-0000-000033000000}">
      <text>
        <r>
          <rPr>
            <sz val="8"/>
            <color rgb="FF000000"/>
            <rFont val="Arial"/>
            <scheme val="minor"/>
          </rPr>
          <t>======
ID#AAAAgHheP7U
Welch, Matthew    (2022-09-17 18:29:24)
Total transportation expenses on Page 23 line 8 equals total transportation reported on Pages 7, 8, and 9 on line 11 for each page</t>
        </r>
      </text>
    </comment>
    <comment ref="J649" authorId="0" shapeId="0" xr:uid="{00000000-0006-0000-0000-000023000000}">
      <text>
        <r>
          <rPr>
            <sz val="8"/>
            <color rgb="FF000000"/>
            <rFont val="Arial"/>
            <scheme val="minor"/>
          </rPr>
          <t>======
ID#AAAAgHheP8Y
Welch, Matthew    (2022-09-17 18:29:24)
Total Capital Items on page 23 equal total property items on pages 7/8/9/10/11/12/13/14</t>
        </r>
      </text>
    </comment>
    <comment ref="J650" authorId="0" shapeId="0" xr:uid="{00000000-0006-0000-0000-000024000000}">
      <text>
        <r>
          <rPr>
            <sz val="8"/>
            <color rgb="FF000000"/>
            <rFont val="Arial"/>
            <scheme val="minor"/>
          </rPr>
          <t>======
ID#AAAAgHheP8Q
Welch, Matthew    (2022-09-17 18:29:24)
Elementary transportation on page 7 equals elementary transportation reported on page 23</t>
        </r>
      </text>
    </comment>
    <comment ref="J651" authorId="0" shapeId="0" xr:uid="{00000000-0006-0000-0000-00002A000000}">
      <text>
        <r>
          <rPr>
            <sz val="8"/>
            <color rgb="FF000000"/>
            <rFont val="Arial"/>
            <scheme val="minor"/>
          </rPr>
          <t>======
ID#AAAAgHheP78
Welch, Matthew    (2022-09-17 18:29:24)
Middle/Jr. High  transportation on page 8 equals middle/Jr. High transportation reported on page 23</t>
        </r>
      </text>
    </comment>
    <comment ref="J652" authorId="0" shapeId="0" xr:uid="{00000000-0006-0000-0000-000016000000}">
      <text>
        <r>
          <rPr>
            <sz val="8"/>
            <color rgb="FF000000"/>
            <rFont val="Arial"/>
            <scheme val="minor"/>
          </rPr>
          <t>======
ID#AAAAgHheP9M
Welch, Matthew    (2022-09-17 18:29:24)
High School  transportation on page 9 equals High School transportation reported on page 23</t>
        </r>
      </text>
    </comment>
    <comment ref="J653" authorId="0" shapeId="0" xr:uid="{00000000-0006-0000-0000-000003000000}">
      <text>
        <r>
          <rPr>
            <sz val="8"/>
            <color rgb="FF000000"/>
            <rFont val="Arial"/>
            <scheme val="minor"/>
          </rPr>
          <t>======
ID#AAAAgHheP-U
Welch, Matthew    (2022-09-17 18:29:24)
Fund tranfer to Food Service on Page 6 equals Food Service transfers reported on pages 10 and 14</t>
        </r>
      </text>
    </comment>
    <comment ref="J654" authorId="0" shapeId="0" xr:uid="{00000000-0006-0000-0000-000032000000}">
      <text>
        <r>
          <rPr>
            <sz val="8"/>
            <color rgb="FF000000"/>
            <rFont val="Arial"/>
            <scheme val="minor"/>
          </rPr>
          <t>======
ID#AAAAgHheP7Y
Welch, Matthew    (2022-09-17 18:29:24)
Fund tranfer to Spec Revenue Fund on Page 6 equals Special Revenue transfers reported on page 10</t>
        </r>
      </text>
    </comment>
    <comment ref="J655" authorId="0" shapeId="0" xr:uid="{00000000-0006-0000-0000-000030000000}">
      <text>
        <r>
          <rPr>
            <sz val="8"/>
            <color rgb="FF000000"/>
            <rFont val="Arial"/>
            <scheme val="minor"/>
          </rPr>
          <t>======
ID#AAAAgHheP7g
Welch, Matthew    (2022-09-17 18:29:24)
Fund tranfer to Capital Fund on Page 6 equals Capital Fund transfers reported on pages 10 and 14</t>
        </r>
      </text>
    </comment>
    <comment ref="J656" authorId="0" shapeId="0" xr:uid="{00000000-0006-0000-0000-000021000000}">
      <text>
        <r>
          <rPr>
            <sz val="8"/>
            <color rgb="FF000000"/>
            <rFont val="Arial"/>
            <scheme val="minor"/>
          </rPr>
          <t>======
ID#AAAAgHheP8c
Welch, Matthew    (2022-09-17 18:29:24)
Fund tranfer to Trust Fund on Page 6 equals Trust Fund transfers reported on pages 10 and 14</t>
        </r>
      </text>
    </comment>
    <comment ref="H657" authorId="0" shapeId="0" xr:uid="{00000000-0006-0000-0000-00001F000000}">
      <text>
        <r>
          <rPr>
            <sz val="8"/>
            <color rgb="FF000000"/>
            <rFont val="Arial"/>
            <scheme val="minor"/>
          </rPr>
          <t>======
ID#AAAAgHheP8g
Ron  Leclerc    (2022-09-17 18:29:24)
This value must equal zero.  Please also make sure that rows 632 to 668 column H equals zero.</t>
        </r>
      </text>
    </comment>
  </commentList>
  <extLst>
    <ext xmlns:r="http://schemas.openxmlformats.org/officeDocument/2006/relationships" uri="GoogleSheetsCustomDataVersion1">
      <go:sheetsCustomData xmlns:go="http://customooxmlschemas.google.com/" r:id="rId1" roundtripDataSignature="AMtx7miFlyZt3O+s+ZywmTq3SrvDh0hwzw=="/>
    </ext>
  </extLst>
</comments>
</file>

<file path=xl/sharedStrings.xml><?xml version="1.0" encoding="utf-8"?>
<sst xmlns="http://schemas.openxmlformats.org/spreadsheetml/2006/main" count="6530" uniqueCount="1805">
  <si>
    <t>NAME:</t>
  </si>
  <si>
    <t>DIST</t>
  </si>
  <si>
    <t>LOC</t>
  </si>
  <si>
    <t>DOE 25  2021-2022</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</si>
  <si>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</si>
  <si>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</si>
  <si>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</si>
  <si>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</si>
  <si>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</si>
  <si>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</si>
  <si>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</si>
  <si>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</si>
  <si>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</si>
  <si>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</si>
  <si>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</si>
  <si>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</si>
  <si>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</si>
  <si>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</si>
  <si>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</si>
  <si>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</si>
  <si>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</si>
  <si>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</si>
  <si>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</si>
  <si>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</si>
  <si>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</si>
  <si>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</si>
  <si>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</si>
  <si>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</si>
  <si>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</si>
  <si>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</si>
  <si>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</si>
  <si>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</si>
  <si>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</si>
  <si>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</si>
  <si>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</si>
  <si>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</si>
  <si>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</si>
  <si>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</si>
  <si>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</si>
  <si>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</si>
  <si>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</si>
  <si>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</si>
  <si>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</si>
  <si>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</si>
  <si>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</si>
  <si>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</si>
  <si>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</si>
  <si>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</si>
  <si>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</si>
  <si>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</si>
  <si>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</si>
  <si>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</si>
  <si>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</si>
  <si>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</si>
  <si>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</si>
  <si>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</si>
  <si>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</si>
  <si>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</si>
  <si>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</si>
  <si>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</si>
  <si>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</si>
  <si>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</si>
  <si>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</si>
  <si>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</si>
  <si>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</si>
  <si>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</si>
  <si>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</si>
  <si>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</si>
  <si>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</si>
  <si>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</si>
  <si>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</si>
  <si>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</si>
  <si>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</si>
  <si>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</si>
  <si>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</si>
  <si>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</si>
  <si>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</si>
  <si>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</si>
  <si>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</si>
  <si>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</si>
  <si>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</si>
  <si>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</si>
  <si>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</si>
  <si>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</si>
  <si>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</si>
  <si>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</si>
  <si>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</si>
  <si>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</si>
  <si>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</si>
  <si>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</si>
  <si>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</si>
  <si>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</si>
  <si>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</si>
  <si>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</si>
  <si>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</si>
  <si>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</si>
  <si>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</si>
  <si>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</si>
  <si>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</si>
  <si>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</si>
  <si>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</si>
  <si>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</si>
  <si>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</si>
  <si>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</si>
  <si>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</si>
  <si>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</si>
  <si>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</si>
  <si>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</si>
  <si>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</si>
  <si>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</si>
  <si>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</si>
  <si>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</si>
  <si>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</si>
  <si>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</si>
  <si>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</si>
  <si>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</si>
  <si>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</si>
  <si>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</si>
  <si>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</si>
  <si>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</si>
  <si>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</si>
  <si>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</si>
  <si>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</si>
  <si>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</si>
  <si>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</si>
  <si>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</si>
  <si>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</si>
  <si>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</si>
  <si>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</si>
  <si>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</si>
  <si>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</si>
  <si>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</si>
  <si>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</si>
  <si>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</si>
  <si>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</si>
  <si>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</si>
  <si>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</si>
  <si>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</si>
  <si>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</si>
  <si>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</si>
  <si>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</si>
  <si>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</si>
  <si>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</si>
  <si>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</si>
  <si>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</si>
  <si>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</si>
  <si>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</si>
  <si>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</si>
  <si>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</si>
  <si>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</si>
  <si>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</si>
  <si>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</si>
  <si>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</si>
  <si>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</si>
  <si>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</si>
  <si>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</si>
  <si>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</si>
  <si>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</si>
  <si>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</si>
  <si>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</si>
  <si>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</si>
  <si>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</si>
  <si>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</si>
  <si>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</si>
  <si>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</si>
  <si>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</si>
  <si>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</si>
  <si>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</si>
  <si>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</si>
  <si>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</si>
  <si>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</si>
  <si>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</si>
  <si>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</si>
  <si>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</si>
  <si>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</si>
  <si>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</si>
  <si>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</si>
  <si>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</si>
  <si>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</si>
  <si>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</si>
  <si>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</si>
  <si>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</si>
  <si>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</si>
  <si>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</si>
  <si>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</si>
  <si>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</si>
  <si>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</si>
  <si>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</si>
  <si>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</si>
  <si>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</si>
  <si>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</si>
  <si>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</si>
  <si>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</si>
  <si>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</si>
  <si>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</si>
  <si>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</si>
  <si>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</si>
  <si>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</si>
  <si>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</si>
  <si>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</si>
  <si>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</si>
  <si>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</si>
  <si>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</si>
  <si>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</si>
  <si>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</si>
  <si>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</si>
  <si>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</si>
  <si>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</si>
  <si>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</si>
  <si>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</si>
  <si>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</si>
  <si>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</si>
  <si>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</si>
  <si>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</si>
  <si>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</si>
  <si>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</si>
  <si>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</si>
  <si>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</si>
  <si>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</si>
  <si>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</si>
  <si>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</si>
  <si>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</si>
  <si>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</si>
  <si>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</si>
  <si>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</si>
  <si>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</si>
  <si>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</si>
  <si>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</si>
  <si>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</si>
  <si>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</si>
  <si>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</si>
  <si>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</si>
  <si>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</si>
  <si>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</si>
  <si>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</si>
  <si>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</si>
  <si>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</si>
  <si>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</si>
  <si>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</si>
  <si>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</si>
  <si>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</si>
  <si>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</si>
  <si>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</si>
  <si>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</si>
  <si>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</si>
  <si>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</si>
  <si>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</si>
  <si>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</si>
  <si>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</si>
  <si>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</si>
  <si>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</si>
  <si>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</si>
  <si>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</si>
  <si>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</si>
  <si>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</si>
  <si>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</si>
  <si>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</si>
  <si>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</si>
  <si>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</si>
  <si>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</si>
  <si>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</si>
  <si>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</si>
  <si>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</si>
  <si>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</si>
  <si>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</si>
  <si>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</si>
  <si>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</si>
  <si>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</si>
  <si>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</si>
  <si>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</si>
  <si>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</si>
  <si>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</si>
  <si>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</si>
  <si>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</si>
  <si>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</si>
  <si>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</si>
  <si>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</si>
  <si>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</si>
  <si>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</si>
  <si>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</si>
  <si>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</si>
  <si>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</si>
  <si>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</si>
  <si>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</si>
  <si>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</si>
  <si>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</si>
  <si>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</si>
  <si>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</si>
  <si>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</si>
  <si>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</si>
  <si>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</si>
  <si>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</si>
  <si>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</si>
  <si>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</si>
  <si>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</si>
  <si>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</si>
  <si>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</si>
  <si>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</si>
  <si>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</si>
  <si>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</si>
  <si>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</si>
  <si>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</si>
  <si>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</si>
  <si>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</si>
  <si>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</si>
  <si>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</si>
  <si>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</si>
  <si>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</si>
  <si>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</si>
  <si>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</si>
  <si>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</si>
  <si>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</si>
  <si>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</si>
  <si>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</si>
  <si>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</si>
  <si>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</si>
  <si>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</si>
  <si>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</si>
  <si>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</si>
  <si>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</si>
  <si>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</si>
  <si>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</si>
  <si>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</si>
  <si>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</si>
  <si>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</si>
  <si>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</si>
  <si>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</si>
  <si>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</si>
  <si>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</si>
  <si>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</si>
  <si>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</si>
  <si>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</si>
  <si>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</si>
  <si>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</si>
  <si>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</si>
  <si>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</si>
  <si>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</si>
  <si>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</si>
  <si>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</si>
  <si>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</si>
  <si>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</si>
  <si>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</si>
  <si>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</si>
  <si>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</si>
  <si>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</si>
  <si>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</si>
  <si>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</si>
  <si>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</si>
  <si>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</si>
  <si>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</si>
  <si>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</si>
  <si>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</si>
  <si>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</si>
  <si>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</si>
  <si>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</si>
  <si>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</si>
  <si>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</si>
  <si>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</si>
  <si>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</si>
  <si>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</si>
  <si>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</si>
  <si>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</si>
  <si>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</si>
  <si>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</si>
  <si>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</si>
  <si>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</si>
  <si>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</si>
  <si>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</si>
  <si>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</si>
  <si>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</si>
  <si>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</si>
  <si>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</si>
  <si>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</si>
  <si>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</si>
  <si>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</si>
  <si>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</si>
  <si>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</si>
  <si>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</si>
  <si>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</si>
  <si>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</si>
  <si>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</si>
  <si>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</si>
  <si>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</si>
  <si>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</si>
  <si>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2021</t>
  </si>
  <si>
    <t>Additions</t>
  </si>
  <si>
    <t xml:space="preserve">  REVENUE *</t>
  </si>
  <si>
    <t xml:space="preserve">  OTHER ADDITIONS **</t>
  </si>
  <si>
    <t xml:space="preserve">Total Additions </t>
  </si>
  <si>
    <t>Deletions</t>
  </si>
  <si>
    <t xml:space="preserve">  EXPENDITURES ***</t>
  </si>
  <si>
    <t xml:space="preserve">  OTHER DELETIONS ** Prior Year</t>
  </si>
  <si>
    <t>Total Deletions</t>
  </si>
  <si>
    <t xml:space="preserve">Total Fund Equity June 30, 2022**** </t>
  </si>
  <si>
    <t>*    Must agree with totals on Page 6, line 19</t>
  </si>
  <si>
    <r>
      <rPr>
        <sz val="8"/>
        <color rgb="FF0000FF"/>
        <rFont val="Arial Rounded"/>
      </rPr>
      <t xml:space="preserve">**  Other Additions - </t>
    </r>
    <r>
      <rPr>
        <b/>
        <sz val="8"/>
        <color rgb="FF0000FF"/>
        <rFont val="Arial Rounded MT Bold"/>
      </rPr>
      <t>(Explain below)</t>
    </r>
  </si>
  <si>
    <t>*** Must agree with total for:</t>
  </si>
  <si>
    <t xml:space="preserve">  General Fund on.. ……..………...…..Page 10,Line 18, Col. 7</t>
  </si>
  <si>
    <t xml:space="preserve">  Food Service Special Revenue Fund on…..Page 15, Line 5, Col. 7</t>
  </si>
  <si>
    <r>
      <rPr>
        <sz val="8"/>
        <color rgb="FF0000FF"/>
        <rFont val="Arial Rounded"/>
      </rPr>
      <t xml:space="preserve">** Other Deletions - </t>
    </r>
    <r>
      <rPr>
        <b/>
        <sz val="8"/>
        <color rgb="FF0000FF"/>
        <rFont val="Arial Rounded MT Bold"/>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</si>
  <si>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</si>
  <si>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</si>
  <si>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</si>
  <si>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</si>
  <si>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</si>
  <si>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2022</t>
  </si>
  <si>
    <t>REPORT IN WHOLE DOLLARS</t>
  </si>
  <si>
    <t>DEBT 1</t>
  </si>
  <si>
    <t>DEBT 2</t>
  </si>
  <si>
    <t>DEBT 3</t>
  </si>
  <si>
    <t>DEBT 4</t>
  </si>
  <si>
    <t>DEBT 5</t>
  </si>
  <si>
    <t xml:space="preserve">  Length of Debt (yrs)</t>
  </si>
  <si>
    <t xml:space="preserve">  Date of Issue (mm/yy)</t>
  </si>
  <si>
    <t>07/09</t>
  </si>
  <si>
    <t xml:space="preserve">  Date of Final Payment(mm/yy)</t>
  </si>
  <si>
    <t>08/29</t>
  </si>
  <si>
    <t xml:space="preserve">  Original Debt Amount</t>
  </si>
  <si>
    <t xml:space="preserve">  Interest Rate</t>
  </si>
  <si>
    <t>3.97</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</si>
  <si>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</si>
  <si>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</si>
  <si>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</si>
  <si>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</si>
  <si>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</si>
  <si>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</si>
  <si>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</si>
  <si>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</si>
  <si>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</si>
  <si>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</si>
  <si>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</si>
  <si>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</si>
  <si>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</si>
  <si>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</si>
  <si>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</si>
  <si>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2022</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</si>
  <si>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</si>
  <si>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</si>
  <si>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</si>
  <si>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</si>
  <si>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</si>
  <si>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</si>
  <si>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</si>
  <si>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</si>
  <si>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</si>
  <si>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</si>
  <si>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</si>
  <si>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</si>
  <si>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</si>
  <si>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</si>
  <si>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</si>
  <si>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</si>
  <si>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</si>
  <si>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</si>
  <si>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</si>
  <si>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</si>
  <si>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</si>
  <si>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</si>
  <si>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</si>
  <si>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</si>
  <si>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</si>
  <si>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</si>
  <si>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</si>
  <si>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</si>
  <si>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</si>
  <si>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</si>
  <si>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</si>
  <si>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</si>
  <si>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</si>
  <si>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</si>
  <si>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</si>
  <si>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</si>
  <si>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</si>
  <si>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</si>
  <si>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</si>
  <si>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</si>
  <si>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</si>
  <si>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</si>
  <si>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</si>
  <si>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</si>
  <si>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</si>
  <si>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</si>
  <si>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</si>
  <si>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</si>
  <si>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</si>
  <si>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</si>
  <si>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</si>
  <si>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</si>
  <si>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</si>
  <si>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</si>
  <si>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</si>
  <si>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</si>
  <si>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</si>
  <si>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</si>
  <si>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</si>
  <si>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</si>
  <si>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</si>
  <si>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</si>
  <si>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</si>
  <si>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</si>
  <si>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</si>
  <si>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</si>
  <si>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</si>
  <si>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</si>
  <si>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</si>
  <si>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</si>
  <si>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</si>
  <si>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</si>
  <si>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</si>
  <si>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</si>
  <si>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</si>
  <si>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</si>
  <si>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</si>
  <si>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</si>
  <si>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</si>
  <si>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</si>
  <si>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</si>
  <si>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</si>
  <si>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</si>
  <si>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</si>
  <si>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</si>
  <si>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</si>
  <si>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</si>
  <si>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</si>
  <si>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</si>
  <si>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</si>
  <si>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</si>
  <si>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</si>
  <si>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</si>
  <si>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</si>
  <si>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</si>
  <si>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</si>
  <si>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</si>
  <si>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</si>
  <si>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</si>
  <si>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</si>
  <si>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</si>
  <si>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</si>
  <si>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</si>
  <si>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</si>
  <si>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</si>
  <si>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</si>
  <si>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</si>
  <si>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</si>
  <si>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</si>
  <si>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</si>
  <si>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</si>
  <si>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</si>
  <si>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</si>
  <si>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</si>
  <si>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</si>
  <si>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</si>
  <si>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</si>
  <si>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</si>
  <si>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</si>
  <si>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</si>
  <si>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</si>
  <si>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</si>
  <si>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</si>
  <si>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</si>
  <si>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</si>
  <si>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</si>
  <si>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</si>
  <si>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</si>
  <si>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</si>
  <si>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</si>
  <si>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</si>
  <si>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</si>
  <si>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</si>
  <si>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</si>
  <si>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</si>
  <si>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</si>
  <si>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</si>
  <si>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</si>
  <si>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</si>
  <si>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</si>
  <si>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</si>
  <si>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</si>
  <si>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</si>
  <si>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</si>
  <si>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</si>
  <si>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</si>
  <si>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</si>
  <si>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</si>
  <si>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</si>
  <si>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</si>
  <si>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</si>
  <si>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</si>
  <si>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</si>
  <si>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</si>
  <si>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</si>
  <si>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</si>
  <si>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</si>
  <si>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</si>
  <si>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</si>
  <si>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</si>
  <si>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</si>
  <si>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</si>
  <si>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</si>
  <si>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</si>
  <si>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</si>
  <si>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</si>
  <si>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</si>
  <si>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</si>
  <si>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</si>
  <si>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2021-2022</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</si>
  <si>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</si>
  <si>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</si>
  <si>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</si>
  <si>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</si>
  <si>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</si>
  <si>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</si>
  <si>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</si>
  <si>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</si>
  <si>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</si>
  <si>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</si>
  <si>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</si>
  <si>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</si>
  <si>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</si>
  <si>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</si>
  <si>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</si>
  <si>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</si>
  <si>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</si>
  <si>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</si>
  <si>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</si>
  <si>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</si>
  <si>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</si>
  <si>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</si>
  <si>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</si>
  <si>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</si>
  <si>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</si>
  <si>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</si>
  <si>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</si>
  <si>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</si>
  <si>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</si>
  <si>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</si>
  <si>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</si>
  <si>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</si>
  <si>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</si>
  <si>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</si>
  <si>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</si>
  <si>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</si>
  <si>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YES</t>
  </si>
  <si>
    <t>NO</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</si>
  <si>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</si>
  <si>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</si>
  <si>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</si>
  <si>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</si>
  <si>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</si>
  <si>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</si>
  <si>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</si>
  <si>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</si>
  <si>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</si>
  <si>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</si>
  <si>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</si>
  <si>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</si>
  <si>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</si>
  <si>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</si>
  <si>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</si>
  <si>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</si>
  <si>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</si>
  <si>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</si>
  <si>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</si>
  <si>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</si>
  <si>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</si>
  <si>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</si>
  <si>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</si>
  <si>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</si>
  <si>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</si>
  <si>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</si>
  <si>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</si>
  <si>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</si>
  <si>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</si>
  <si>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2021</t>
  </si>
  <si>
    <t>Page 19 line 1 Column G</t>
  </si>
  <si>
    <t>Fund Equity End of Year June 30, 2022</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</si>
  <si>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</si>
  <si>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</si>
  <si>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</si>
  <si>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</si>
  <si>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</si>
  <si>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</si>
  <si>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</si>
  <si>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</si>
  <si>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</si>
  <si>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</si>
  <si>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</si>
  <si>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</si>
  <si>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</si>
  <si>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</si>
  <si>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</si>
  <si>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</si>
  <si>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</si>
  <si>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</si>
  <si>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</si>
  <si>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</si>
  <si>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rPr>
        <b/>
        <sz val="8"/>
        <color theme="1"/>
        <rFont val="Arial"/>
      </rPr>
      <t xml:space="preserve">Note: </t>
    </r>
    <r>
      <rPr>
        <sz val="8"/>
        <color theme="1"/>
        <rFont val="Arial"/>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</si>
  <si>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</si>
  <si>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</si>
  <si>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</si>
  <si>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</si>
  <si>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</si>
  <si>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</si>
  <si>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rPr>
        <sz val="8"/>
        <color rgb="FF000000"/>
        <rFont val="Arial"/>
      </rPr>
      <t xml:space="preserve">  2.  Allocate the full amount to the three employee catagories. </t>
    </r>
    <r>
      <rPr>
        <sz val="8"/>
        <color rgb="FFFF0000"/>
        <rFont val="Arial"/>
      </rPr>
      <t xml:space="preserve"> If the allocations do not sum to the total</t>
    </r>
    <r>
      <rPr>
        <sz val="8"/>
        <color rgb="FF000000"/>
        <rFont val="Arial"/>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</si>
  <si>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</si>
  <si>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</si>
  <si>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</si>
  <si>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</si>
  <si>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</si>
  <si>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</si>
  <si>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</si>
  <si>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</si>
  <si>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</si>
  <si>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</si>
  <si>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</si>
  <si>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</si>
  <si>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</si>
  <si>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</si>
  <si>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rPr>
        <b/>
        <sz val="8"/>
        <color theme="1"/>
        <rFont val="Arial"/>
      </rPr>
      <t xml:space="preserve">amounts above $25,000 </t>
    </r>
    <r>
      <rPr>
        <b/>
        <vertAlign val="superscript"/>
        <sz val="10"/>
        <color rgb="FFFF0000"/>
        <rFont val="Arial"/>
      </rPr>
      <t>4</t>
    </r>
  </si>
  <si>
    <t>Object 700</t>
  </si>
  <si>
    <t>Object 800-900</t>
  </si>
  <si>
    <t>Function 5100</t>
  </si>
  <si>
    <t>Support Services - Student</t>
  </si>
  <si>
    <t>Support Services - Instructional Staff</t>
  </si>
  <si>
    <t>General Administration</t>
  </si>
  <si>
    <r>
      <rPr>
        <sz val="8"/>
        <color theme="1"/>
        <rFont val="Arial"/>
      </rPr>
      <t>School Board Cost</t>
    </r>
    <r>
      <rPr>
        <vertAlign val="superscript"/>
        <sz val="8"/>
        <color theme="1"/>
        <rFont val="Arial"/>
      </rPr>
      <t xml:space="preserve"> </t>
    </r>
    <r>
      <rPr>
        <b/>
        <vertAlign val="superscript"/>
        <sz val="10"/>
        <color rgb="FFFF0000"/>
        <rFont val="Arial"/>
      </rPr>
      <t>1</t>
    </r>
  </si>
  <si>
    <r>
      <rPr>
        <sz val="8"/>
        <color theme="1"/>
        <rFont val="Arial"/>
      </rPr>
      <t>School Board Audit</t>
    </r>
    <r>
      <rPr>
        <vertAlign val="superscript"/>
        <sz val="8"/>
        <color rgb="FFFF0000"/>
        <rFont val="Arial"/>
      </rPr>
      <t xml:space="preserve"> </t>
    </r>
    <r>
      <rPr>
        <vertAlign val="superscript"/>
        <sz val="10"/>
        <color rgb="FFFF0000"/>
        <rFont val="Arial"/>
      </rPr>
      <t>2</t>
    </r>
  </si>
  <si>
    <r>
      <rPr>
        <sz val="8"/>
        <color theme="1"/>
        <rFont val="Arial"/>
      </rPr>
      <t>Cost of Superintendent &amp; Sec &amp; Assistant Super</t>
    </r>
    <r>
      <rPr>
        <vertAlign val="superscript"/>
        <sz val="8"/>
        <color rgb="FFFF0000"/>
        <rFont val="Arial"/>
      </rPr>
      <t xml:space="preserve"> </t>
    </r>
    <r>
      <rPr>
        <vertAlign val="superscript"/>
        <sz val="10"/>
        <color rgb="FFFF0000"/>
        <rFont val="Arial"/>
      </rPr>
      <t>3</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</si>
  <si>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</si>
  <si>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</si>
  <si>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</si>
  <si>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</si>
  <si>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</si>
  <si>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</si>
  <si>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</si>
  <si>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</si>
  <si>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</si>
  <si>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</si>
  <si>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</si>
  <si>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</si>
  <si>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</si>
  <si>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</si>
  <si>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rPr>
        <sz val="8"/>
        <color theme="1"/>
        <rFont val="Arial"/>
      </rPr>
      <t xml:space="preserve">  </t>
    </r>
    <r>
      <rPr>
        <sz val="8"/>
        <color rgb="FFFF0000"/>
        <rFont val="Arial"/>
      </rPr>
      <t>minus</t>
    </r>
    <r>
      <rPr>
        <sz val="8"/>
        <color theme="1"/>
        <rFont val="Arial"/>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</si>
  <si>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</si>
  <si>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</si>
  <si>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</si>
  <si>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</si>
  <si>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</si>
  <si>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</si>
  <si>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</si>
  <si>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Includes Audit - Y/N</t>
  </si>
  <si>
    <t>Notes</t>
  </si>
  <si>
    <r>
      <rPr>
        <sz val="9"/>
        <color theme="1"/>
        <rFont val="Arial"/>
      </rPr>
      <t xml:space="preserve"> 1)</t>
    </r>
    <r>
      <rPr>
        <u/>
        <sz val="9"/>
        <color theme="1"/>
        <rFont val="Arial"/>
      </rPr>
      <t xml:space="preserve"> </t>
    </r>
    <r>
      <rPr>
        <b/>
        <u/>
        <sz val="9"/>
        <color theme="1"/>
        <rFont val="Arial"/>
      </rPr>
      <t>2310 School Board Costs</t>
    </r>
    <r>
      <rPr>
        <sz val="9"/>
        <color theme="1"/>
        <rFont val="Arial"/>
      </rPr>
      <t xml:space="preserve"> - Enter the total expenditures for the District School Board Operations.  This is an "unallowed" cost that is subtracted from the indirect</t>
    </r>
  </si>
  <si>
    <t xml:space="preserve">         pool of expenditures, and is added to the direct pool of expenditures.</t>
  </si>
  <si>
    <r>
      <rPr>
        <sz val="9"/>
        <color theme="1"/>
        <rFont val="Arial"/>
      </rPr>
      <t>2)</t>
    </r>
    <r>
      <rPr>
        <b/>
        <sz val="9"/>
        <color theme="1"/>
        <rFont val="Arial"/>
      </rPr>
      <t xml:space="preserve"> </t>
    </r>
    <r>
      <rPr>
        <b/>
        <u/>
        <sz val="9"/>
        <color theme="1"/>
        <rFont val="Arial"/>
      </rPr>
      <t>2317 Cost of Audit</t>
    </r>
    <r>
      <rPr>
        <sz val="9"/>
        <color theme="1"/>
        <rFont val="Arial"/>
      </rPr>
      <t xml:space="preserve"> - Enter the cost of the audit.  This is an "allowed" cost that is added back in to the indrect pool of expenditures. </t>
    </r>
  </si>
  <si>
    <r>
      <rPr>
        <sz val="9"/>
        <color theme="1"/>
        <rFont val="Arial"/>
      </rPr>
      <t xml:space="preserve">3) </t>
    </r>
    <r>
      <rPr>
        <b/>
        <u/>
        <sz val="9"/>
        <color theme="1"/>
        <rFont val="Arial"/>
      </rPr>
      <t>2321 Cost of Superintendent &amp; Secretary and Assistant Superintendent</t>
    </r>
    <r>
      <rPr>
        <b/>
        <sz val="9"/>
        <color theme="1"/>
        <rFont val="Arial"/>
      </rPr>
      <t xml:space="preserve"> </t>
    </r>
    <r>
      <rPr>
        <sz val="9"/>
        <color theme="1"/>
        <rFont val="Arial"/>
      </rPr>
      <t>- Enter the cost which reflects the salary, benefits, fixed charges, supplies and other</t>
    </r>
  </si>
  <si>
    <t xml:space="preserve">cost of the Superintendent, Superintendent's Secretary and Assistant Superintendent (where applicable) whose responsibilities is directing and managing all affairs </t>
  </si>
  <si>
    <t xml:space="preserve">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</si>
  <si>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</si>
  <si>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 xml:space="preserve">         to the direct pool of expenditures.</t>
  </si>
  <si>
    <r>
      <rPr>
        <sz val="9"/>
        <color theme="1"/>
        <rFont val="Arial"/>
      </rPr>
      <t xml:space="preserve">4)  </t>
    </r>
    <r>
      <rPr>
        <b/>
        <u/>
        <sz val="9"/>
        <color theme="1"/>
        <rFont val="Arial"/>
      </rPr>
      <t>Contract Amounts Above $25,000</t>
    </r>
    <r>
      <rPr>
        <b/>
        <sz val="9"/>
        <color theme="1"/>
        <rFont val="Arial"/>
      </rPr>
      <t xml:space="preserve"> </t>
    </r>
    <r>
      <rPr>
        <sz val="9"/>
        <color theme="1"/>
        <rFont val="Arial"/>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rPr>
      <t xml:space="preserve"> It does not include rentals, utilities or tuition.</t>
    </r>
  </si>
  <si>
    <t>District</t>
  </si>
  <si>
    <t>District #</t>
  </si>
  <si>
    <t>School Level Expenditures</t>
  </si>
  <si>
    <t xml:space="preserve">ELEMENTARY  </t>
  </si>
  <si>
    <t xml:space="preserve">State/Local </t>
  </si>
  <si>
    <t>Federal</t>
  </si>
  <si>
    <t>Grand Total</t>
  </si>
  <si>
    <t>DOE-25 Total Elem. School Pupil Cost Pg. 7&amp;11</t>
  </si>
  <si>
    <t>Variance</t>
  </si>
  <si>
    <t>Elementary School Name</t>
  </si>
  <si>
    <t>Elementary School #</t>
  </si>
  <si>
    <t>Mason Elementary School</t>
  </si>
  <si>
    <t>MIDDLE</t>
  </si>
  <si>
    <t>DOE-25 Total Middle School Pupil Cost Pg. 8&amp;12</t>
  </si>
  <si>
    <t>Middle School Name</t>
  </si>
  <si>
    <t>Middle School #</t>
  </si>
  <si>
    <t>Other District Expenditures</t>
  </si>
  <si>
    <t>DOE-25 Total High School Pupil Cost Pg. 9&amp;13</t>
  </si>
  <si>
    <t>High School Name</t>
  </si>
  <si>
    <t>High School #</t>
  </si>
  <si>
    <t>Milford</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</si>
  <si>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</si>
  <si>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</si>
  <si>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rPr>
        <sz val="9"/>
        <color theme="1"/>
        <rFont val="Arial"/>
      </rPr>
      <t>2)</t>
    </r>
    <r>
      <rPr>
        <b/>
        <sz val="9"/>
        <color theme="1"/>
        <rFont val="Arial"/>
      </rPr>
      <t xml:space="preserve"> </t>
    </r>
    <r>
      <rPr>
        <sz val="9"/>
        <color theme="1"/>
        <rFont val="Arial"/>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</si>
  <si>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</si>
  <si>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</si>
  <si>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</si>
  <si>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</si>
  <si>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</si>
  <si>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</si>
  <si>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</si>
  <si>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</si>
  <si>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</si>
  <si>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</si>
  <si>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</si>
  <si>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</si>
  <si>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</si>
  <si>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</si>
  <si>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</si>
  <si>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</si>
  <si>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</si>
  <si>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</si>
  <si>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</si>
  <si>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</si>
  <si>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</si>
  <si>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</si>
  <si>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</si>
  <si>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</si>
  <si>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</si>
  <si>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</si>
  <si>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</si>
  <si>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</si>
  <si>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</si>
  <si>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</si>
  <si>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</si>
  <si>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</si>
  <si>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</si>
  <si>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</si>
  <si>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</si>
  <si>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</si>
  <si>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</si>
  <si>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</si>
  <si>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</si>
  <si>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</si>
  <si>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</si>
  <si>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</si>
  <si>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</si>
  <si>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</si>
  <si>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</si>
  <si>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</si>
  <si>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</si>
  <si>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</si>
  <si>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</si>
  <si>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</si>
  <si>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</si>
  <si>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</si>
  <si>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</si>
  <si>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</si>
  <si>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</si>
  <si>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</si>
  <si>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</si>
  <si>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</si>
  <si>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</si>
  <si>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</si>
  <si>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</si>
  <si>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</si>
  <si>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</si>
  <si>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</si>
  <si>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</si>
  <si>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</si>
  <si>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</si>
  <si>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</si>
  <si>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</si>
  <si>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</si>
  <si>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</si>
  <si>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</si>
  <si>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</si>
  <si>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</si>
  <si>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</si>
  <si>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</si>
  <si>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</si>
  <si>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</si>
  <si>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</si>
  <si>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</si>
  <si>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</si>
  <si>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</si>
  <si>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</si>
  <si>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</si>
  <si>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</si>
  <si>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</si>
  <si>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</si>
  <si>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</si>
  <si>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</si>
  <si>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</si>
  <si>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</si>
  <si>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</si>
  <si>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</si>
  <si>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</si>
  <si>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</si>
  <si>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</si>
  <si>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</si>
  <si>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</si>
  <si>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</si>
  <si>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</si>
  <si>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</si>
  <si>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</si>
  <si>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</si>
  <si>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</si>
  <si>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</si>
  <si>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</si>
  <si>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</si>
  <si>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</si>
  <si>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</si>
  <si>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</si>
  <si>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</si>
  <si>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</si>
  <si>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</si>
  <si>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</si>
  <si>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</si>
  <si>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</si>
  <si>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</si>
  <si>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</si>
  <si>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</si>
  <si>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</si>
  <si>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</si>
  <si>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</si>
  <si>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</si>
  <si>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</si>
  <si>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</si>
  <si>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</si>
  <si>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</si>
  <si>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</si>
  <si>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</si>
  <si>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</si>
  <si>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</si>
  <si>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</si>
  <si>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</si>
  <si>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</si>
  <si>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</si>
  <si>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</si>
  <si>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</si>
  <si>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</si>
  <si>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</si>
  <si>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</si>
  <si>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</si>
  <si>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</si>
  <si>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</si>
  <si>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</si>
  <si>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</si>
  <si>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</si>
  <si>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</si>
  <si>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</si>
  <si>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</si>
  <si>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</si>
  <si>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</si>
  <si>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</si>
  <si>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</si>
  <si>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</si>
  <si>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</si>
  <si>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</si>
  <si>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</si>
  <si>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</si>
  <si>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</si>
  <si>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</si>
  <si>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</si>
  <si>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</si>
  <si>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</si>
  <si>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</si>
  <si>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</si>
  <si>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</si>
  <si>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</si>
  <si>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</si>
  <si>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</si>
  <si>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</si>
  <si>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</si>
  <si>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</si>
  <si>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</si>
  <si>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</si>
  <si>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</si>
  <si>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</si>
  <si>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2021-2022 Current Expenditure Per Pupil(in dollars)</t>
  </si>
  <si>
    <t>Middle/Junior</t>
  </si>
  <si>
    <t>District Total</t>
  </si>
  <si>
    <t>2021-22-Current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</si>
  <si>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</si>
  <si>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</si>
  <si>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</si>
  <si>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</si>
  <si>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</si>
  <si>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</si>
  <si>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</si>
  <si>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</si>
  <si>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</si>
  <si>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</si>
  <si>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</si>
  <si>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</si>
  <si>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</si>
  <si>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</si>
  <si>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</si>
  <si>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</si>
  <si>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</si>
  <si>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</si>
  <si>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</si>
  <si>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</si>
  <si>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2021-22-Total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</si>
  <si>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</si>
  <si>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</si>
  <si>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</si>
  <si>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</si>
  <si>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</si>
  <si>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</si>
  <si>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</si>
  <si>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</si>
  <si>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</si>
  <si>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</si>
  <si>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</si>
  <si>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</si>
  <si>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</si>
  <si>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</si>
  <si>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</si>
  <si>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</si>
  <si>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</si>
  <si>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</si>
  <si>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</si>
  <si>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</si>
  <si>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</si>
  <si>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</si>
  <si>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</si>
  <si>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</si>
  <si>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</si>
  <si>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</si>
  <si>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</si>
  <si>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</si>
  <si>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</si>
  <si>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</si>
  <si>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</si>
  <si>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</si>
  <si>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</si>
  <si>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</si>
  <si>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</si>
  <si>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</si>
  <si>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</si>
  <si>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</si>
  <si>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</si>
  <si>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</si>
  <si>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</si>
  <si>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</si>
  <si>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</si>
  <si>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</si>
  <si>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</si>
  <si>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</si>
  <si>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</si>
  <si>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</si>
  <si>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</si>
  <si>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</si>
  <si>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</si>
  <si>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</si>
  <si>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</si>
  <si>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</si>
  <si>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</si>
  <si>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</si>
  <si>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Bedford</t>
  </si>
  <si>
    <t>Bedford High School</t>
  </si>
  <si>
    <t>Bedford SAU Office</t>
  </si>
  <si>
    <t>Alton</t>
  </si>
  <si>
    <t>Alton SAU Office</t>
  </si>
  <si>
    <t>Allenstown Elementary School</t>
  </si>
  <si>
    <t>Barrington</t>
  </si>
  <si>
    <t>Barrington Middle School</t>
  </si>
  <si>
    <t>Barrington SAU Office</t>
  </si>
  <si>
    <t>Shaker Regional</t>
  </si>
  <si>
    <t>Belmont High School</t>
  </si>
  <si>
    <t>Shaker Regional SAU Office</t>
  </si>
  <si>
    <t>Alstead Primary School</t>
  </si>
  <si>
    <t>Belmont Middle School</t>
  </si>
  <si>
    <t>Berlin</t>
  </si>
  <si>
    <t>Berlin Senior High School</t>
  </si>
  <si>
    <t>Berlin SAU Office</t>
  </si>
  <si>
    <t>Andover</t>
  </si>
  <si>
    <t>Merrimack Valley SAU Office</t>
  </si>
  <si>
    <t>Alton Central School (Elem)</t>
  </si>
  <si>
    <t>Berlin Middle School</t>
  </si>
  <si>
    <t>Bow</t>
  </si>
  <si>
    <t>Bow High School</t>
  </si>
  <si>
    <t>Bow SAU Office</t>
  </si>
  <si>
    <t>Ashland</t>
  </si>
  <si>
    <t>Inter-Lakes Cooperative SAU Office</t>
  </si>
  <si>
    <t>Nashua</t>
  </si>
  <si>
    <t>Amherst Street School</t>
  </si>
  <si>
    <t>Nashua SAU Office</t>
  </si>
  <si>
    <t>Bow Memorial School</t>
  </si>
  <si>
    <t>Rochester</t>
  </si>
  <si>
    <t>Bud Carlson Academy</t>
  </si>
  <si>
    <t>Rochester SAU Office</t>
  </si>
  <si>
    <t>Auburn</t>
  </si>
  <si>
    <t>Hooksett SAU Office</t>
  </si>
  <si>
    <t>Andover Elementary School</t>
  </si>
  <si>
    <t>Mascenic Regional</t>
  </si>
  <si>
    <t>Boynton Middle School</t>
  </si>
  <si>
    <t>Mascenic Regional SAU Office</t>
  </si>
  <si>
    <t>Litchfield</t>
  </si>
  <si>
    <t>Campbell High School</t>
  </si>
  <si>
    <t>Litchfield SAU Office</t>
  </si>
  <si>
    <t>Barnstead</t>
  </si>
  <si>
    <t>Barnstead SAU Office</t>
  </si>
  <si>
    <t>Contoocook Valley</t>
  </si>
  <si>
    <t>Antrim Elementary School</t>
  </si>
  <si>
    <t>Contoocook Valley SAU Office</t>
  </si>
  <si>
    <t>Claremont</t>
  </si>
  <si>
    <t>Claremont Middle School</t>
  </si>
  <si>
    <t>Claremont SAU Office</t>
  </si>
  <si>
    <t>Cocheco Academy for the Arts</t>
  </si>
  <si>
    <t>Armand R. Dupont School</t>
  </si>
  <si>
    <t>Exeter Region Cooperative</t>
  </si>
  <si>
    <t>Cooperative Middle School</t>
  </si>
  <si>
    <t>Exeter SAU Office</t>
  </si>
  <si>
    <t>Coe-Brown Northwood Academy</t>
  </si>
  <si>
    <t>Bartlett</t>
  </si>
  <si>
    <t>Ashland Elementary School</t>
  </si>
  <si>
    <t>Littleton</t>
  </si>
  <si>
    <t>Daisy Bronson Junior High School</t>
  </si>
  <si>
    <t>Littleton SAU Office</t>
  </si>
  <si>
    <t>Colebrook</t>
  </si>
  <si>
    <t>Colebrook Academy and Elementary School (H)</t>
  </si>
  <si>
    <t>Colebrook SAU Office</t>
  </si>
  <si>
    <t>Bath</t>
  </si>
  <si>
    <t>Haverhill Cooperative SAU Office</t>
  </si>
  <si>
    <t>Timberlane Regional</t>
  </si>
  <si>
    <t>Atkinson Academy</t>
  </si>
  <si>
    <t>Timberlane Regional SAU Office</t>
  </si>
  <si>
    <t>Hooksett</t>
  </si>
  <si>
    <t>David R. Cawley Middle School</t>
  </si>
  <si>
    <t>Compass Classical Academy Charter School</t>
  </si>
  <si>
    <t>Compass Classical Academy Charter School (H)</t>
  </si>
  <si>
    <t>Auburn Village School</t>
  </si>
  <si>
    <t>Dover</t>
  </si>
  <si>
    <t>Dover Middle School</t>
  </si>
  <si>
    <t>Dover SAU Office</t>
  </si>
  <si>
    <t>Jaffrey-Rindge Cooperative</t>
  </si>
  <si>
    <t>Conant High School</t>
  </si>
  <si>
    <t>Jaffrey-Rindge SAU Office</t>
  </si>
  <si>
    <t>Benton</t>
  </si>
  <si>
    <t>Manchester</t>
  </si>
  <si>
    <t>Bakersville School</t>
  </si>
  <si>
    <t>Manchester SAU Office</t>
  </si>
  <si>
    <t>Elm Street Middle School</t>
  </si>
  <si>
    <t>Concord High School</t>
  </si>
  <si>
    <t>Barnstead Elementary School</t>
  </si>
  <si>
    <t>Fairgrounds Middle School</t>
  </si>
  <si>
    <t>Conval Regional High School</t>
  </si>
  <si>
    <t>Bethlehem</t>
  </si>
  <si>
    <t>SAU #35 Office</t>
  </si>
  <si>
    <t>Barrington Elementary School</t>
  </si>
  <si>
    <t>Derry Cooperative</t>
  </si>
  <si>
    <t>Gilbert H. Hood Middle School</t>
  </si>
  <si>
    <t>Derry Cooperative SAU Office</t>
  </si>
  <si>
    <t>CSI Charter School</t>
  </si>
  <si>
    <t>Goffstown</t>
  </si>
  <si>
    <t>Bartlett Elementary School</t>
  </si>
  <si>
    <t>Goffstown SAU Office</t>
  </si>
  <si>
    <t>Gilford</t>
  </si>
  <si>
    <t>Gilford Middle School</t>
  </si>
  <si>
    <t>Gilford SAU Office</t>
  </si>
  <si>
    <t>Dover Senior High School</t>
  </si>
  <si>
    <t>Brentwood</t>
  </si>
  <si>
    <t>Bath Village School</t>
  </si>
  <si>
    <t>Gorham Randolph Shelburne Cooperative</t>
  </si>
  <si>
    <t>Gorham Middle School</t>
  </si>
  <si>
    <t>Gorham SAU Office</t>
  </si>
  <si>
    <t>Exeter High School</t>
  </si>
  <si>
    <t>Brookline</t>
  </si>
  <si>
    <t>Hollis-Brookline SAU Office</t>
  </si>
  <si>
    <t>Beaver Meadow School</t>
  </si>
  <si>
    <t>Great Bay Charter School</t>
  </si>
  <si>
    <t>Great Bay Charter School (M)</t>
  </si>
  <si>
    <t>Fall Mountain Regional High School</t>
  </si>
  <si>
    <t>Campton</t>
  </si>
  <si>
    <t>Plymouth SAU Office</t>
  </si>
  <si>
    <t>Beech Street School</t>
  </si>
  <si>
    <t>Great Brook School</t>
  </si>
  <si>
    <t>Farmington</t>
  </si>
  <si>
    <t>Farmington Senior High School</t>
  </si>
  <si>
    <t>Farmington SAU Office</t>
  </si>
  <si>
    <t>Candia</t>
  </si>
  <si>
    <t>Belmont Elementary School</t>
  </si>
  <si>
    <t>Hampstead</t>
  </si>
  <si>
    <t>Hampstead Middle School</t>
  </si>
  <si>
    <t>Hampstead SAU Office</t>
  </si>
  <si>
    <t>Franklin</t>
  </si>
  <si>
    <t>Franklin High School</t>
  </si>
  <si>
    <t>Franklin SAU Office</t>
  </si>
  <si>
    <t>Chatham</t>
  </si>
  <si>
    <t>Berlin Elementary School</t>
  </si>
  <si>
    <t>Haverhill Cooperative</t>
  </si>
  <si>
    <t>Haverhill Cooperative Middle School</t>
  </si>
  <si>
    <t>Gathering Waters Charter School</t>
  </si>
  <si>
    <t>Gathering Waters Charter School (H)</t>
  </si>
  <si>
    <t>Gathering Waters Charter School SAU</t>
  </si>
  <si>
    <t>Chester</t>
  </si>
  <si>
    <t>Chester SAU Office</t>
  </si>
  <si>
    <t>Hanover</t>
  </si>
  <si>
    <t>Bernice A. Ray School</t>
  </si>
  <si>
    <t>Hanover SAU Office</t>
  </si>
  <si>
    <t>Henry J. McLaughlin Jr. Middle School</t>
  </si>
  <si>
    <t>Gilford High School</t>
  </si>
  <si>
    <t>Chesterfield</t>
  </si>
  <si>
    <t>Keene SAU Office</t>
  </si>
  <si>
    <t>Bethlehem Elementary School</t>
  </si>
  <si>
    <t>Hillsboro-Deering Cooperative</t>
  </si>
  <si>
    <t>Hillsboro-Deering Middle School</t>
  </si>
  <si>
    <t>Hillsboro-Deering SAU Office</t>
  </si>
  <si>
    <t>Goffstown High School</t>
  </si>
  <si>
    <t>Chichester</t>
  </si>
  <si>
    <t>Bicentennial Elementary School</t>
  </si>
  <si>
    <t>Hillside Middle School</t>
  </si>
  <si>
    <t>Gorham High School</t>
  </si>
  <si>
    <t>Birch Hill Elementary School</t>
  </si>
  <si>
    <t>Hinsdale</t>
  </si>
  <si>
    <t>Hinsdale Middle High School</t>
  </si>
  <si>
    <t>Hinsdale SAU Office</t>
  </si>
  <si>
    <t>Granite State Arts Academy Charter School</t>
  </si>
  <si>
    <t>Clarksville</t>
  </si>
  <si>
    <t>Bluff School</t>
  </si>
  <si>
    <t>Hollis-Brookline Cooperative</t>
  </si>
  <si>
    <t>Hollis-Brookline Middle School</t>
  </si>
  <si>
    <t>Great Bay Charter School (H)</t>
  </si>
  <si>
    <t>Merrimack Valley</t>
  </si>
  <si>
    <t>Boscawen Elementary School</t>
  </si>
  <si>
    <t>Hopkinton</t>
  </si>
  <si>
    <t>Hopkinton Middle School</t>
  </si>
  <si>
    <t>Hopkinton SAU Office</t>
  </si>
  <si>
    <t>Northumberland</t>
  </si>
  <si>
    <t>Groveton High School</t>
  </si>
  <si>
    <t>Northumberland SAU Office</t>
  </si>
  <si>
    <t>Bow Elementary School</t>
  </si>
  <si>
    <t>Hudson Memorial School</t>
  </si>
  <si>
    <t>Dresden</t>
  </si>
  <si>
    <t>Hanover High School</t>
  </si>
  <si>
    <t>Columbia</t>
  </si>
  <si>
    <t xml:space="preserve">Newfound Area </t>
  </si>
  <si>
    <t>Bridgewater-Hebron Village School</t>
  </si>
  <si>
    <t>Newfound Area SAU Office</t>
  </si>
  <si>
    <t>Raymond</t>
  </si>
  <si>
    <t>Iber Holmes Gove Middle School</t>
  </si>
  <si>
    <t>Raymond SAU Office</t>
  </si>
  <si>
    <t>Hillsboro-Deering High School</t>
  </si>
  <si>
    <t>Bristol Elementary School</t>
  </si>
  <si>
    <t>Jaffrey-Rindge Middle School</t>
  </si>
  <si>
    <t>Hinsdale High School</t>
  </si>
  <si>
    <t>Broad Street Elementary School</t>
  </si>
  <si>
    <t>Kearsarge Regional</t>
  </si>
  <si>
    <t>Kearsarge Regional Middle School</t>
  </si>
  <si>
    <t>Kearsarge Regional SAU Office</t>
  </si>
  <si>
    <t>Hollis-Brookline High School</t>
  </si>
  <si>
    <t>Broken Ground School</t>
  </si>
  <si>
    <t>Keene</t>
  </si>
  <si>
    <t>Keene Middle School</t>
  </si>
  <si>
    <t>Hopkinton High School</t>
  </si>
  <si>
    <t>Campton Elementary School</t>
  </si>
  <si>
    <t>Governor Wentworth Regional</t>
  </si>
  <si>
    <t>Kingswood Regional Middle School</t>
  </si>
  <si>
    <t>Governor Wentworth Regional SAU Office</t>
  </si>
  <si>
    <t>Inter-Lakes Cooperative</t>
  </si>
  <si>
    <t>Inter-Lakes High School</t>
  </si>
  <si>
    <t>Coos County School District</t>
  </si>
  <si>
    <t>Coos County</t>
  </si>
  <si>
    <t>Mascoma Valley Regional</t>
  </si>
  <si>
    <t>Canaan Elementary School</t>
  </si>
  <si>
    <t>Mascoma Valley SAU Office</t>
  </si>
  <si>
    <t>Kreiva Academy Public Charter School District</t>
  </si>
  <si>
    <t>Kreiva Academy Public Charter School (M)</t>
  </si>
  <si>
    <t>John Stark Regional</t>
  </si>
  <si>
    <t>John Stark Regional High School</t>
  </si>
  <si>
    <t>Henniker SAU Office</t>
  </si>
  <si>
    <t>Cornish</t>
  </si>
  <si>
    <t>Cornish SAU Office</t>
  </si>
  <si>
    <t>Canterbury Elementary School</t>
  </si>
  <si>
    <t>Laconia</t>
  </si>
  <si>
    <t>Laconia Middle School</t>
  </si>
  <si>
    <t>Laconia SAU Office</t>
  </si>
  <si>
    <t>Kearsarge Regional High School</t>
  </si>
  <si>
    <t>Croydon</t>
  </si>
  <si>
    <t>Croydon SAU Office</t>
  </si>
  <si>
    <t>Captain Samuel Douglass Academy</t>
  </si>
  <si>
    <t>Lebanon</t>
  </si>
  <si>
    <t>Lebanon Middle School</t>
  </si>
  <si>
    <t>Lebanon SAU Office</t>
  </si>
  <si>
    <t>Keene High School</t>
  </si>
  <si>
    <t>Carpenter Elementary School</t>
  </si>
  <si>
    <t>Lincoln-Woodstock Cooperative</t>
  </si>
  <si>
    <t>Lin-Wood Public School (Middle)</t>
  </si>
  <si>
    <t>Lincoln-Woodstock SAU Office</t>
  </si>
  <si>
    <t>Kennett High School</t>
  </si>
  <si>
    <t>Deerfield</t>
  </si>
  <si>
    <t>Weare</t>
  </si>
  <si>
    <t>Center Woods School</t>
  </si>
  <si>
    <t>Lisbon Regional</t>
  </si>
  <si>
    <t>Lisbon Regional School (Middle)</t>
  </si>
  <si>
    <t>Kingswood Regional High School</t>
  </si>
  <si>
    <t>Chamberlain Street School</t>
  </si>
  <si>
    <t>Litchfield Middle School</t>
  </si>
  <si>
    <t>Kreiva Academy Public Charter School (H)</t>
  </si>
  <si>
    <t>Charlestown Middle School</t>
  </si>
  <si>
    <t>Londonderry</t>
  </si>
  <si>
    <t>Londonderry Middle School</t>
  </si>
  <si>
    <t>Londonderry SAU Office</t>
  </si>
  <si>
    <t>Laconia High School</t>
  </si>
  <si>
    <t>Charlestown Primary School</t>
  </si>
  <si>
    <t>Merrimack</t>
  </si>
  <si>
    <t>Merrimack Middle School</t>
  </si>
  <si>
    <t>Merrimack SAU Office</t>
  </si>
  <si>
    <t>LEAF Charter School</t>
  </si>
  <si>
    <t>Dummer</t>
  </si>
  <si>
    <t>Charlotte Ave Elementary School</t>
  </si>
  <si>
    <t>Merrimack Valley Middle School</t>
  </si>
  <si>
    <t>Lebanon High School</t>
  </si>
  <si>
    <t>Dunbarton</t>
  </si>
  <si>
    <t>Chester Academy</t>
  </si>
  <si>
    <t>Middle School At Parkside</t>
  </si>
  <si>
    <t>Ledyard Charter School</t>
  </si>
  <si>
    <t>East Kingston</t>
  </si>
  <si>
    <t>Chesterfield Central School</t>
  </si>
  <si>
    <t>Milford Middle School</t>
  </si>
  <si>
    <t>Milford SAU Office</t>
  </si>
  <si>
    <t>Lin-Wood Public School (High)</t>
  </si>
  <si>
    <t>Eaton</t>
  </si>
  <si>
    <t>Chichester Central School</t>
  </si>
  <si>
    <t>Monadnock Regional</t>
  </si>
  <si>
    <t>Monadnock Regional Middle School</t>
  </si>
  <si>
    <t>Monadnock Regional SAU Office</t>
  </si>
  <si>
    <t>Lisbon Regional School (High)</t>
  </si>
  <si>
    <t>Ellsworth</t>
  </si>
  <si>
    <t>Christa McAuliffe School</t>
  </si>
  <si>
    <t>Moultonborough</t>
  </si>
  <si>
    <t>Moultonborough Middle Level</t>
  </si>
  <si>
    <t>Moultonborough SAU Office</t>
  </si>
  <si>
    <t>Littleton High School</t>
  </si>
  <si>
    <t>Epping</t>
  </si>
  <si>
    <t>Epping SAU Office</t>
  </si>
  <si>
    <t>Claremont Preschool Center</t>
  </si>
  <si>
    <t>Pre School</t>
  </si>
  <si>
    <t>Mountain View Middle School</t>
  </si>
  <si>
    <t>Londonderry Senior High School</t>
  </si>
  <si>
    <t>Epsom</t>
  </si>
  <si>
    <t>Clark-Wilkins School</t>
  </si>
  <si>
    <t>Newfound Memorial Middle School</t>
  </si>
  <si>
    <t>Making Community Connections Charter School</t>
  </si>
  <si>
    <t>Making Community Connections Charter School - Monadnock</t>
  </si>
  <si>
    <t>Errol</t>
  </si>
  <si>
    <t>Colebrook Academy and Elementary School (E)</t>
  </si>
  <si>
    <t>Newport</t>
  </si>
  <si>
    <t>Newport Middle School</t>
  </si>
  <si>
    <t>Newport SAU Office</t>
  </si>
  <si>
    <t>Manchester Central High School</t>
  </si>
  <si>
    <t>Exeter</t>
  </si>
  <si>
    <t>Compass Classical Academy Charter School (E)</t>
  </si>
  <si>
    <t>North Country Charter Academy</t>
  </si>
  <si>
    <t>North Country Charter Academy (M)</t>
  </si>
  <si>
    <t>Manchester Memorial High School</t>
  </si>
  <si>
    <t>Conway Elementary School</t>
  </si>
  <si>
    <t>Milton</t>
  </si>
  <si>
    <t>Nute Junior High School</t>
  </si>
  <si>
    <t>Milton SAU Office</t>
  </si>
  <si>
    <t>Manchester School of Technology (High School)</t>
  </si>
  <si>
    <t>Cornish Elementary School</t>
  </si>
  <si>
    <t>Oyster River Coop</t>
  </si>
  <si>
    <t>Oyster River Middle School</t>
  </si>
  <si>
    <t>Oyster River SAU Office</t>
  </si>
  <si>
    <t>Manchester West High School</t>
  </si>
  <si>
    <t>Crescent Lake School</t>
  </si>
  <si>
    <t>Pennichuck Middle School</t>
  </si>
  <si>
    <t>Mascenic Regional High School</t>
  </si>
  <si>
    <t>Croydon Village School</t>
  </si>
  <si>
    <t>Pittsfield</t>
  </si>
  <si>
    <t>Pittsfield Middle School</t>
  </si>
  <si>
    <t>Pittsfield SAU Office</t>
  </si>
  <si>
    <t>Mascoma Valley Regional High School</t>
  </si>
  <si>
    <t>Freedom</t>
  </si>
  <si>
    <t>Tamworth SAU Office</t>
  </si>
  <si>
    <t>Cutler Elementary School</t>
  </si>
  <si>
    <t>Portsmouth</t>
  </si>
  <si>
    <t>Portsmouth Middle School</t>
  </si>
  <si>
    <t>Portsmouth SAU Office</t>
  </si>
  <si>
    <t>Merrimack High School</t>
  </si>
  <si>
    <t>Fremont</t>
  </si>
  <si>
    <t>Fremont SAU Office</t>
  </si>
  <si>
    <t>Danbury Elementary School</t>
  </si>
  <si>
    <t>Profile</t>
  </si>
  <si>
    <t>Profile Junior High School</t>
  </si>
  <si>
    <t>Merrimack Valley High School</t>
  </si>
  <si>
    <t>Gate City Charter School For the Arts</t>
  </si>
  <si>
    <t>Sanborn Regional</t>
  </si>
  <si>
    <t>Daniel J. Bakie School</t>
  </si>
  <si>
    <t>Sanborn Regional SAU Office</t>
  </si>
  <si>
    <t>Rochester Middle School</t>
  </si>
  <si>
    <t>Milford High School</t>
  </si>
  <si>
    <t>Danville Elementary School</t>
  </si>
  <si>
    <t>Ross A. Lurgio Middle School</t>
  </si>
  <si>
    <t>Monadnock Regional High School</t>
  </si>
  <si>
    <t>Deerfield Community School</t>
  </si>
  <si>
    <t>Rundlett Middle School</t>
  </si>
  <si>
    <t>Moultonborough Academy</t>
  </si>
  <si>
    <t>Gilmanton</t>
  </si>
  <si>
    <t>Gilmanton SAU Office</t>
  </si>
  <si>
    <t>Derry Early Education Program</t>
  </si>
  <si>
    <t>Sanborn Regional Middle School</t>
  </si>
  <si>
    <t>Nashua High School North</t>
  </si>
  <si>
    <t>Derry Village School</t>
  </si>
  <si>
    <t>Somersworth</t>
  </si>
  <si>
    <t>Somersworth Middle School</t>
  </si>
  <si>
    <t>Somersworth SAU Office</t>
  </si>
  <si>
    <t>Nashua High School South</t>
  </si>
  <si>
    <t>Disnard Elementary School</t>
  </si>
  <si>
    <t>South Meadow School</t>
  </si>
  <si>
    <t>Newfound Regional High School</t>
  </si>
  <si>
    <t>Goshen</t>
  </si>
  <si>
    <t>Goshen SAU Office</t>
  </si>
  <si>
    <t>Dr. George S. Emerson Elementary School</t>
  </si>
  <si>
    <t>Southside Middle School</t>
  </si>
  <si>
    <t>Newmarket</t>
  </si>
  <si>
    <t>Newmarket Jr.-Sr. High School</t>
  </si>
  <si>
    <t>Newmarket SAU Office</t>
  </si>
  <si>
    <t>Dr. H. O. Smith Elementary School</t>
  </si>
  <si>
    <t>Sunapee</t>
  </si>
  <si>
    <t xml:space="preserve">Sunapee Middle High School </t>
  </si>
  <si>
    <t>Sunapee SAU Office</t>
  </si>
  <si>
    <t>Newport Middle High School (High)</t>
  </si>
  <si>
    <t>Salem</t>
  </si>
  <si>
    <t>Dr. L. F. Soule School</t>
  </si>
  <si>
    <t>Salem SAU Office</t>
  </si>
  <si>
    <t>Timberlane Regional Middle School</t>
  </si>
  <si>
    <t>Next Charter School</t>
  </si>
  <si>
    <t>Grantham</t>
  </si>
  <si>
    <t>Grantham SAU Office</t>
  </si>
  <si>
    <t>Dr. Norman W. Crisp School</t>
  </si>
  <si>
    <t>Weare Middle School</t>
  </si>
  <si>
    <t>North Country Charter Academy (H)</t>
  </si>
  <si>
    <t>Dublin Consolidated School</t>
  </si>
  <si>
    <t>West Running Brook Middle School</t>
  </si>
  <si>
    <t>Nute High School</t>
  </si>
  <si>
    <t>Greenland</t>
  </si>
  <si>
    <t>Greenland SAU Office</t>
  </si>
  <si>
    <t>Dunbarton Elementary School</t>
  </si>
  <si>
    <t>Wilton-Lyndeborough Cooperative</t>
  </si>
  <si>
    <t>Wilton-Lyndeboro Middle School</t>
  </si>
  <si>
    <t>Wilton SAU Office</t>
  </si>
  <si>
    <t>Oyster River High School</t>
  </si>
  <si>
    <t>Hale's Location (Carroll County)</t>
  </si>
  <si>
    <t>Hale's Location c/o Carroll Cty</t>
  </si>
  <si>
    <t>Early Childhood Learning Center</t>
  </si>
  <si>
    <t>Windham</t>
  </si>
  <si>
    <t>Windham Middle School</t>
  </si>
  <si>
    <t>Windham SAU Office</t>
  </si>
  <si>
    <t>Pelham</t>
  </si>
  <si>
    <t>Pelham High School</t>
  </si>
  <si>
    <t>Pelham SAU Office</t>
  </si>
  <si>
    <t>East Derry Memorial Elementary School</t>
  </si>
  <si>
    <t>Winnisquam Regional</t>
  </si>
  <si>
    <t>Winnisquam Regional Middle School</t>
  </si>
  <si>
    <t>Winnisquam Regional SAU Office</t>
  </si>
  <si>
    <t>Pembroke</t>
  </si>
  <si>
    <t>Pembroke Academy</t>
  </si>
  <si>
    <t>East Kingston Elementary School</t>
  </si>
  <si>
    <t>Woodbury School</t>
  </si>
  <si>
    <t>Pinkerton Academy</t>
  </si>
  <si>
    <t>Hampton Falls</t>
  </si>
  <si>
    <t>Winnacunnet SAU Office</t>
  </si>
  <si>
    <t>East Rochester School</t>
  </si>
  <si>
    <t>Pittsburg</t>
  </si>
  <si>
    <t>Pittsburg School (High)</t>
  </si>
  <si>
    <t>Edward Fenn School</t>
  </si>
  <si>
    <t>Pittsfield High School</t>
  </si>
  <si>
    <t>Harrisville</t>
  </si>
  <si>
    <t>Effingham Elementary School</t>
  </si>
  <si>
    <t>Pemi-Baker Regional</t>
  </si>
  <si>
    <t>Plymouth Regional High School</t>
  </si>
  <si>
    <t>Hart's Location</t>
  </si>
  <si>
    <t>Ellis School</t>
  </si>
  <si>
    <t>Portsmouth High School</t>
  </si>
  <si>
    <t>Elm Street School</t>
  </si>
  <si>
    <t>Profile Senior High School</t>
  </si>
  <si>
    <t>Henniker</t>
  </si>
  <si>
    <t>Enfield Village School</t>
  </si>
  <si>
    <t>Prospect Mountain JMA</t>
  </si>
  <si>
    <t>Prospect Mountain High School</t>
  </si>
  <si>
    <t>Hill</t>
  </si>
  <si>
    <t>Hill SAU Office</t>
  </si>
  <si>
    <t>Epping Elementary School</t>
  </si>
  <si>
    <t>Raymond High School</t>
  </si>
  <si>
    <t>Epsom Central School</t>
  </si>
  <si>
    <t>Rivendell</t>
  </si>
  <si>
    <t>Rivendell Academy (H)</t>
  </si>
  <si>
    <t>Rivendell Interstate SAU Office</t>
  </si>
  <si>
    <t>Ernest P. Barka Elementary School</t>
  </si>
  <si>
    <t>Salem High School</t>
  </si>
  <si>
    <t>Holderness</t>
  </si>
  <si>
    <t>Errol Consolidated Elementary School</t>
  </si>
  <si>
    <t>Sanborn Regional High School</t>
  </si>
  <si>
    <t>Hollis</t>
  </si>
  <si>
    <t>Fairgrounds Elementary School</t>
  </si>
  <si>
    <t>Somersworth High School</t>
  </si>
  <si>
    <t>Fall Mountain Regional -Pre School Program</t>
  </si>
  <si>
    <t>Souhegan Cooperative</t>
  </si>
  <si>
    <t>Souhegan Coop High School</t>
  </si>
  <si>
    <t>Florence Rideout Elementary School</t>
  </si>
  <si>
    <t>Spark Academy of Advanced Technologies</t>
  </si>
  <si>
    <t>Spark Academy of Advanced Technologies Charter School</t>
  </si>
  <si>
    <t>Frances C. Richmond School</t>
  </si>
  <si>
    <t>Spaulding High School</t>
  </si>
  <si>
    <t>Francestown Elementary School</t>
  </si>
  <si>
    <t>Stevens High School</t>
  </si>
  <si>
    <t>Franklin Elementary School</t>
  </si>
  <si>
    <t>Sunapee Sr. High School</t>
  </si>
  <si>
    <t>Jackson</t>
  </si>
  <si>
    <t>Franklin Middle School</t>
  </si>
  <si>
    <t>The Founders Academy Charter School</t>
  </si>
  <si>
    <t>The Founders Academy Charter School (H)</t>
  </si>
  <si>
    <t>Fred C. Underhill School</t>
  </si>
  <si>
    <t>Timberlane Regional High School</t>
  </si>
  <si>
    <t>Freedom Elementary School</t>
  </si>
  <si>
    <t>Virtual Learning Academy Charter School</t>
  </si>
  <si>
    <t>Virtual Learning Academy (H)</t>
  </si>
  <si>
    <t>Fuller Elementary School</t>
  </si>
  <si>
    <t>White Mountains Regional</t>
  </si>
  <si>
    <t>White Mountains Regional High School</t>
  </si>
  <si>
    <t>White Mountains Regional SAU Office</t>
  </si>
  <si>
    <t>Garrison School</t>
  </si>
  <si>
    <t>Wilton-Lyndeboro Senior High School</t>
  </si>
  <si>
    <t>Kensington</t>
  </si>
  <si>
    <t>Gate City Charter School for the Arts</t>
  </si>
  <si>
    <t>Windham High School</t>
  </si>
  <si>
    <t>Gathering Waters Charter School (E)</t>
  </si>
  <si>
    <t>Winnacunnet Cooperative</t>
  </si>
  <si>
    <t>Winnacunnet High School</t>
  </si>
  <si>
    <t>Gilford Elementary School</t>
  </si>
  <si>
    <t>Winnisquam Regional High School</t>
  </si>
  <si>
    <t>Lafayette Regional</t>
  </si>
  <si>
    <t>Gilmanton Elementary School</t>
  </si>
  <si>
    <t>Woodsville High School</t>
  </si>
  <si>
    <t>Landaff</t>
  </si>
  <si>
    <t>Gilsum STEAM Academy</t>
  </si>
  <si>
    <t>Glen Lake School</t>
  </si>
  <si>
    <t>Golden Brook Elementary School</t>
  </si>
  <si>
    <t>Gonic School</t>
  </si>
  <si>
    <t>Lempster</t>
  </si>
  <si>
    <t>Lempster SAU Office</t>
  </si>
  <si>
    <t>Gossler Park School</t>
  </si>
  <si>
    <t>Grantham Village School</t>
  </si>
  <si>
    <t>Green Acres School</t>
  </si>
  <si>
    <t>Greenfield Elementary School</t>
  </si>
  <si>
    <t>Greenland Central School</t>
  </si>
  <si>
    <t>Griffin Memorial School</t>
  </si>
  <si>
    <t>Lyme</t>
  </si>
  <si>
    <t>Lyme SAU Office</t>
  </si>
  <si>
    <t>Grinnell School</t>
  </si>
  <si>
    <t>Madison</t>
  </si>
  <si>
    <t>Groveton Elementary School</t>
  </si>
  <si>
    <t>Groveton High School (Middle)</t>
  </si>
  <si>
    <t>Hampstead Central School</t>
  </si>
  <si>
    <t>Marlborough</t>
  </si>
  <si>
    <t xml:space="preserve">Hampton Academy </t>
  </si>
  <si>
    <t>Marlow</t>
  </si>
  <si>
    <t>Hampton Centre School</t>
  </si>
  <si>
    <t>Hancock Elementary School</t>
  </si>
  <si>
    <t>Hanover Street School</t>
  </si>
  <si>
    <t>Mason</t>
  </si>
  <si>
    <t>Mason SAU Office</t>
  </si>
  <si>
    <t>Harold Martin School</t>
  </si>
  <si>
    <t>Henniker Community School</t>
  </si>
  <si>
    <t>Henry W. Moore School</t>
  </si>
  <si>
    <t>MicroSociety Academy Charter School Foundation</t>
  </si>
  <si>
    <t>Henry Wilson Elementary School</t>
  </si>
  <si>
    <t>Middleton</t>
  </si>
  <si>
    <t>Middleton SAU</t>
  </si>
  <si>
    <t>Henry Wilson Memorial School</t>
  </si>
  <si>
    <t>Milan</t>
  </si>
  <si>
    <t>Heron Pond Elementary School</t>
  </si>
  <si>
    <t>Highbridge Hill Elementary School</t>
  </si>
  <si>
    <t>Mill Falls Charter School</t>
  </si>
  <si>
    <t>Highland-Goffes Falls School</t>
  </si>
  <si>
    <t>Hills Garrison Elementary School</t>
  </si>
  <si>
    <t>Hillsboro-Deering Elementary School</t>
  </si>
  <si>
    <t>Monroe</t>
  </si>
  <si>
    <t>Monroe SAU Office</t>
  </si>
  <si>
    <t>Hinsdale Elementary School</t>
  </si>
  <si>
    <t>Mont Vernon</t>
  </si>
  <si>
    <t>Holderness Central School</t>
  </si>
  <si>
    <t>Hollis Primary School</t>
  </si>
  <si>
    <t>Mountain Village Charter School</t>
  </si>
  <si>
    <t>Hollis Upper Elementary School</t>
  </si>
  <si>
    <t>Hooksett Memorial School</t>
  </si>
  <si>
    <t>Nelson</t>
  </si>
  <si>
    <t>Horne Street School</t>
  </si>
  <si>
    <t>New Boston</t>
  </si>
  <si>
    <t>Idlehurst Elementary School</t>
  </si>
  <si>
    <t>New Castle</t>
  </si>
  <si>
    <t>Indian River School</t>
  </si>
  <si>
    <t>Newfields</t>
  </si>
  <si>
    <t>Inter-Lakes Elementary School</t>
  </si>
  <si>
    <t>Newfound Area</t>
  </si>
  <si>
    <t>Inter-Lakes Middle School</t>
  </si>
  <si>
    <t>Newington</t>
  </si>
  <si>
    <t>Jackson Grammar School</t>
  </si>
  <si>
    <t>Jacques Memorial Elementary School</t>
  </si>
  <si>
    <t>Jaffrey Grade School</t>
  </si>
  <si>
    <t>Stoddard</t>
  </si>
  <si>
    <t>James Faulkner Elementary School</t>
  </si>
  <si>
    <t>James House Preschool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</si>
  <si>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</si>
  <si>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</si>
  <si>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</si>
  <si>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</si>
  <si>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</si>
  <si>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</si>
  <si>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</si>
  <si>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</si>
  <si>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</si>
  <si>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</si>
  <si>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</si>
  <si>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</si>
  <si>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</si>
  <si>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</si>
  <si>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</si>
  <si>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</si>
  <si>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Tamworth</t>
  </si>
  <si>
    <t>Kenneth A. Brett School</t>
  </si>
  <si>
    <t>Kensington Elementary School</t>
  </si>
  <si>
    <t>Plainfield</t>
  </si>
  <si>
    <t>Plainfield SAU Office</t>
  </si>
  <si>
    <t>Lafayette Regional School</t>
  </si>
  <si>
    <t>Plymouth</t>
  </si>
  <si>
    <t>Lamprey River Elementary School</t>
  </si>
  <si>
    <t>Polaris Charter School</t>
  </si>
  <si>
    <t>Lancaster Elementary School</t>
  </si>
  <si>
    <t>Landaff Blue School</t>
  </si>
  <si>
    <t>Ledge Street School</t>
  </si>
  <si>
    <t>Lempster Community School</t>
  </si>
  <si>
    <t>Lincoln Akerman School</t>
  </si>
  <si>
    <t>Robert Frost Charter School</t>
  </si>
  <si>
    <t>Lincoln Street Elementary School</t>
  </si>
  <si>
    <t>Lin-Wood Public School (Elem)</t>
  </si>
  <si>
    <t>Rollinsford</t>
  </si>
  <si>
    <t>Rollinsford SAU Office</t>
  </si>
  <si>
    <t>Lisbon Regional School (Elem)</t>
  </si>
  <si>
    <t>Rumney</t>
  </si>
  <si>
    <t>Little Harbour School</t>
  </si>
  <si>
    <t>Rye</t>
  </si>
  <si>
    <t>Loudon Elementary School</t>
  </si>
  <si>
    <t>Lyme Elementary School</t>
  </si>
  <si>
    <t>Lyndeborough Central School</t>
  </si>
  <si>
    <t>Seabrook</t>
  </si>
  <si>
    <t>Madison Elementary School</t>
  </si>
  <si>
    <t>Seacoast Charter School</t>
  </si>
  <si>
    <t>Main Dunstable School</t>
  </si>
  <si>
    <t>Main Street School</t>
  </si>
  <si>
    <t>Maple Avenue School (Claremont)</t>
  </si>
  <si>
    <t>Maple Avenue School (Goffstown)</t>
  </si>
  <si>
    <t>South Hampton</t>
  </si>
  <si>
    <t>Maple Street Elementary School</t>
  </si>
  <si>
    <t>Maple Street Magnet School</t>
  </si>
  <si>
    <t>Stark</t>
  </si>
  <si>
    <t>Maple Wood Elementary School</t>
  </si>
  <si>
    <t>Stewartstown</t>
  </si>
  <si>
    <t>Marlborough Elementary School</t>
  </si>
  <si>
    <t>Mary A. Fisk Elementary School</t>
  </si>
  <si>
    <t>Strafford</t>
  </si>
  <si>
    <t>Strafford SAU Office</t>
  </si>
  <si>
    <t>Mary C. Dondero Elementary School</t>
  </si>
  <si>
    <t>Stratford</t>
  </si>
  <si>
    <t>Stratham</t>
  </si>
  <si>
    <t>Mast Way School</t>
  </si>
  <si>
    <t>Strong Foundations Charter School</t>
  </si>
  <si>
    <t>Matthew Thornton Elementary School</t>
  </si>
  <si>
    <t>Sullivan</t>
  </si>
  <si>
    <t>Sullivan SAU Office</t>
  </si>
  <si>
    <t>Maude H. Trefethen School</t>
  </si>
  <si>
    <t>McClelland School</t>
  </si>
  <si>
    <t>Surry</t>
  </si>
  <si>
    <t>Surry SAU Office</t>
  </si>
  <si>
    <t>McDonough School</t>
  </si>
  <si>
    <t>Surry Village Charter School</t>
  </si>
  <si>
    <t>McKelvie Intermediate School</t>
  </si>
  <si>
    <t>Memorial School (Sanborn)</t>
  </si>
  <si>
    <t>The Birches Academy of Academics &amp; Art A Public Charter Sch</t>
  </si>
  <si>
    <t>Memorial School (Bedford)</t>
  </si>
  <si>
    <t>Thornton</t>
  </si>
  <si>
    <t>Middleton Elementary School</t>
  </si>
  <si>
    <t>Milan Village Elementary School</t>
  </si>
  <si>
    <t>Unity</t>
  </si>
  <si>
    <t>Mildred C. Lakeway School</t>
  </si>
  <si>
    <t>Mill Brook School</t>
  </si>
  <si>
    <t>Wakefield</t>
  </si>
  <si>
    <t>Wakefield SAU Office</t>
  </si>
  <si>
    <t>Warren</t>
  </si>
  <si>
    <t>Milton Elementary School</t>
  </si>
  <si>
    <t>Washington</t>
  </si>
  <si>
    <t>Moharimet School</t>
  </si>
  <si>
    <t>Waterville Valley</t>
  </si>
  <si>
    <t>Monroe Consolidated School</t>
  </si>
  <si>
    <t>Mont Vernon Village School</t>
  </si>
  <si>
    <t>Wentworth</t>
  </si>
  <si>
    <t>Moose Hill School</t>
  </si>
  <si>
    <t>Westmoreland</t>
  </si>
  <si>
    <t>Moultonborough Central School</t>
  </si>
  <si>
    <t>Mt. Caesar Elementary School</t>
  </si>
  <si>
    <t>Winchester</t>
  </si>
  <si>
    <t>Winchester SAU Office</t>
  </si>
  <si>
    <t>Mt. Lebanon School</t>
  </si>
  <si>
    <t>Mt. Pleasant School</t>
  </si>
  <si>
    <t>Windham Academy Public Charter School</t>
  </si>
  <si>
    <t>N. Charlestown Community School</t>
  </si>
  <si>
    <t>Windsor</t>
  </si>
  <si>
    <t>Nancy Loud 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</si>
  <si>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</si>
  <si>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</si>
  <si>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</si>
  <si>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</si>
  <si>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</si>
  <si>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</si>
  <si>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</si>
  <si>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</si>
  <si>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</si>
  <si>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</si>
  <si>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</si>
  <si>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</si>
  <si>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</si>
  <si>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</si>
  <si>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</si>
  <si>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</si>
  <si>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</si>
  <si>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</si>
  <si>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</si>
  <si>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</si>
  <si>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</si>
  <si>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</si>
  <si>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</si>
  <si>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</si>
  <si>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</si>
  <si>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</si>
  <si>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Pelham Memorial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</si>
  <si>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</si>
  <si>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</si>
  <si>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</si>
  <si>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</si>
  <si>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</si>
  <si>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</si>
  <si>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</si>
  <si>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</si>
  <si>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</si>
  <si>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</si>
  <si>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</si>
  <si>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</si>
  <si>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</si>
  <si>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</si>
  <si>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Reeds Ferry School</t>
  </si>
  <si>
    <t>Richard Maghakian Memorial School</t>
  </si>
  <si>
    <t>Richards Elementary School</t>
  </si>
  <si>
    <t>Riddle Brook School</t>
  </si>
  <si>
    <t>Rindge Memorial School</t>
  </si>
  <si>
    <t>Rivendell Academy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</si>
  <si>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</si>
  <si>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</si>
  <si>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</si>
  <si>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</si>
  <si>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</si>
  <si>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</si>
  <si>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</si>
  <si>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</si>
  <si>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</si>
  <si>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</si>
  <si>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</si>
  <si>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</si>
  <si>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</si>
  <si>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</si>
  <si>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</si>
  <si>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</si>
  <si>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</si>
  <si>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</si>
  <si>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</si>
  <si>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</si>
  <si>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</si>
  <si>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</si>
  <si>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</si>
  <si>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</si>
  <si>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</si>
  <si>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</si>
  <si>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</si>
  <si>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</si>
  <si>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</si>
  <si>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</si>
  <si>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</si>
  <si>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</si>
  <si>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</si>
  <si>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</si>
  <si>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</si>
  <si>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</si>
  <si>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</si>
  <si>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</si>
  <si>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Union Sanborn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</si>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</sst>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50">
    <font>
      <sz val="8"/>
      <color rgb="FF000000"/>
      <name val="Arial"/>
      <scheme val="minor"/>
    </font>
    <font>
      <sz val="8"/>
      <color theme="1"/>
      <name val="Arial Rounded"/>
    </font>
    <font>
      <sz val="8"/>
      <color theme="1"/>
      <name val="Arial"/>
    </font>
    <font>
      <sz val="8"/>
      <color rgb="FF0000FF"/>
      <name val="Arial Rounded"/>
    </font>
    <font>
      <b/>
      <sz val="8"/>
      <color theme="1"/>
      <name val="Arial Rounded"/>
    </font>
    <font>
      <b/>
      <sz val="8"/>
      <color theme="1"/>
      <name val="Arial"/>
    </font>
    <font>
      <b/>
      <i/>
      <sz val="8"/>
      <color theme="1"/>
      <name val="Arial Rounded"/>
    </font>
    <font>
      <i/>
      <sz val="8"/>
      <color theme="1"/>
      <name val="Arial Rounded"/>
    </font>
    <font>
      <i/>
      <sz val="8"/>
      <color rgb="FF0000FF"/>
      <name val="Arial Rounded"/>
    </font>
    <font>
      <b/>
      <sz val="8"/>
      <color rgb="FFFF0000"/>
      <name val="Arial Rounded"/>
    </font>
    <font>
      <sz val="8"/>
      <color rgb="FFFF0000"/>
      <name val="Arial Rounded"/>
    </font>
    <font>
      <sz val="8"/>
      <color rgb="FF000000"/>
      <name val="Arial Rounded"/>
    </font>
    <font>
      <b/>
      <sz val="8"/>
      <color rgb="FF0000FF"/>
      <name val="Arial Rounded"/>
    </font>
    <font>
      <b/>
      <i/>
      <sz val="8"/>
      <color theme="1"/>
      <name val="Arial"/>
    </font>
    <font>
      <b/>
      <sz val="8"/>
      <color rgb="FF000000"/>
      <name val="Arial Rounded"/>
    </font>
    <font>
      <sz val="8"/>
      <color rgb="FF0000FF"/>
      <name val="Arial"/>
    </font>
    <font>
      <sz val="11"/>
      <color theme="1"/>
      <name val="Calibri"/>
    </font>
    <font>
      <sz val="11"/>
      <color rgb="FFFF0000"/>
      <name val="Calibri"/>
    </font>
    <font>
      <b/>
      <sz val="11"/>
      <color theme="1"/>
      <name val="Calibri"/>
    </font>
    <font>
      <b/>
      <sz val="11"/>
      <color rgb="FFFF0000"/>
      <name val="Calibri"/>
    </font>
    <font>
      <b/>
      <sz val="14"/>
      <color rgb="FFFF0000"/>
      <name val="Calibri"/>
    </font>
    <font>
      <sz val="12"/>
      <color theme="1"/>
      <name val="Arial"/>
    </font>
    <font>
      <b/>
      <sz val="12"/>
      <color rgb="FFFF0000"/>
      <name val="Arial"/>
    </font>
    <font>
      <sz val="8"/>
      <color theme="1"/>
      <name val="Arial"/>
      <scheme val="minor"/>
    </font>
    <font>
      <b/>
      <sz val="12"/>
      <color theme="1"/>
      <name val="Arial"/>
    </font>
    <font>
      <sz val="8"/>
      <name val="Arial"/>
    </font>
    <font>
      <sz val="14"/>
      <color theme="1"/>
      <name val="Arial"/>
    </font>
    <font>
      <sz val="12"/>
      <color rgb="FFFF0000"/>
      <name val="Arial"/>
    </font>
    <font>
      <b/>
      <sz val="8"/>
      <color rgb="FFFF0000"/>
      <name val="Arial"/>
    </font>
    <font>
      <b/>
      <sz val="8"/>
      <color rgb="FF0000FF"/>
      <name val="Arial"/>
    </font>
    <font>
      <sz val="8"/>
      <color rgb="FF000000"/>
      <name val="Arial"/>
    </font>
    <font>
      <sz val="8"/>
      <color rgb="FFFF0000"/>
      <name val="Arial"/>
    </font>
    <font>
      <sz val="9"/>
      <color theme="1"/>
      <name val="Arial"/>
    </font>
    <font>
      <b/>
      <sz val="9"/>
      <color rgb="FFFF0000"/>
      <name val="Arial"/>
    </font>
    <font>
      <sz val="8"/>
      <color rgb="FF3333CC"/>
      <name val="Arial"/>
    </font>
    <font>
      <sz val="14"/>
      <color rgb="FF0000FF"/>
      <name val="Arial"/>
    </font>
    <font>
      <b/>
      <sz val="10"/>
      <color rgb="FF0000FF"/>
      <name val="Arial"/>
    </font>
    <font>
      <sz val="10"/>
      <color theme="1"/>
      <name val="Arial"/>
    </font>
    <font>
      <b/>
      <sz val="10"/>
      <color rgb="FFFF0000"/>
      <name val="Arial"/>
    </font>
    <font>
      <b/>
      <sz val="11"/>
      <color rgb="FFFFFFFF"/>
      <name val="Tahoma"/>
    </font>
    <font>
      <sz val="10"/>
      <color rgb="FF000000"/>
      <name val="Tahoma"/>
    </font>
    <font>
      <b/>
      <sz val="8"/>
      <color rgb="FF0000FF"/>
      <name val="Arial Rounded MT Bold"/>
    </font>
    <font>
      <b/>
      <vertAlign val="superscript"/>
      <sz val="10"/>
      <color rgb="FFFF0000"/>
      <name val="Arial"/>
    </font>
    <font>
      <vertAlign val="superscript"/>
      <sz val="8"/>
      <color theme="1"/>
      <name val="Arial"/>
    </font>
    <font>
      <vertAlign val="superscript"/>
      <sz val="8"/>
      <color rgb="FFFF0000"/>
      <name val="Arial"/>
    </font>
    <font>
      <vertAlign val="superscript"/>
      <sz val="10"/>
      <color rgb="FFFF0000"/>
      <name val="Arial"/>
    </font>
    <font>
      <u/>
      <sz val="9"/>
      <color theme="1"/>
      <name val="Arial"/>
    </font>
    <font>
      <b/>
      <u/>
      <sz val="9"/>
      <color theme="1"/>
      <name val="Arial"/>
    </font>
    <font>
      <b/>
      <sz val="9"/>
      <color theme="1"/>
      <name val="Arial"/>
    </font>
    <font>
      <sz val="9"/>
      <color rgb="FFFF0000"/>
      <name val="Arial"/>
    </font>
  </fonts>
  <fills count="16">
    <fill>
      <patternFill patternType="none"/>
    </fill>
    <fill>
      <patternFill patternType="gray125"/>
    </fill>
    <fill>
      <patternFill patternType="solid">
        <fgColor rgb="FF35CB72"/>
        <bgColor rgb="FF35CB72"/>
      </patternFill>
    </fill>
    <fill>
      <patternFill patternType="solid">
        <fgColor rgb="FFC0C0C0"/>
        <bgColor rgb="FFC0C0C0"/>
      </patternFill>
    </fill>
    <fill>
      <patternFill patternType="solid">
        <fgColor rgb="FFFFFFFF"/>
        <bgColor rgb="FFFFFFFF"/>
      </patternFill>
    </fill>
    <fill>
      <patternFill patternType="solid">
        <fgColor rgb="FFB8CCE4"/>
        <bgColor rgb="FFB8CCE4"/>
      </patternFill>
    </fill>
    <fill>
      <patternFill patternType="solid">
        <fgColor rgb="FFFFFF00"/>
        <bgColor rgb="FFFFFF00"/>
      </patternFill>
    </fill>
    <fill>
      <patternFill patternType="solid">
        <fgColor theme="0"/>
        <bgColor theme="0"/>
      </patternFill>
    </fill>
    <fill>
      <patternFill patternType="solid">
        <fgColor rgb="FFD6E3BC"/>
        <bgColor rgb="FFD6E3BC"/>
      </patternFill>
    </fill>
    <fill>
      <patternFill patternType="solid">
        <fgColor rgb="FF969696"/>
        <bgColor rgb="FF969696"/>
      </patternFill>
    </fill>
    <fill>
      <patternFill patternType="solid">
        <fgColor rgb="FF00FFFF"/>
        <bgColor rgb="FF00FFFF"/>
      </patternFill>
    </fill>
    <fill>
      <patternFill patternType="solid">
        <fgColor rgb="FF92D050"/>
        <bgColor rgb="FF92D050"/>
      </patternFill>
    </fill>
    <fill>
      <patternFill patternType="solid">
        <fgColor rgb="FFD8D8D8"/>
        <bgColor rgb="FFD8D8D8"/>
      </patternFill>
    </fill>
    <fill>
      <patternFill patternType="solid">
        <fgColor rgb="FFFFC000"/>
        <bgColor rgb="FFFFC000"/>
      </patternFill>
    </fill>
    <fill>
      <patternFill patternType="solid">
        <fgColor rgb="FFFFCCCC"/>
        <bgColor rgb="FFFFCCCC"/>
      </patternFill>
    </fill>
    <fill>
      <patternFill patternType="solid">
        <fgColor rgb="FF4682B4"/>
        <bgColor rgb="FF4682B4"/>
      </patternFill>
    </fill>
  </fills>
  <borders count="42">
    <border>
      <left/>
      <right/>
      <top/>
      <bottom/>
      <diagonal/>
    </border>
    <border>
      <left/>
      <right/>
      <top/>
      <bottom/>
      <diagonal/>
    </border>
    <border>
      <left/>
      <right/>
      <top style="double">
        <color rgb="FF000000"/>
      </top>
      <bottom/>
      <diagonal/>
    </border>
    <border>
      <left/>
      <right/>
      <top style="double">
        <color rgb="FF000000"/>
      </top>
      <bottom/>
      <diagonal/>
    </border>
    <border>
      <left/>
      <right/>
      <top/>
      <bottom style="double">
        <color rgb="FF000000"/>
      </bottom>
      <diagonal/>
    </border>
    <border>
      <left/>
      <right/>
      <top style="double">
        <color rgb="FF000000"/>
      </top>
      <bottom style="double">
        <color rgb="FF000000"/>
      </bottom>
      <diagonal/>
    </border>
    <border>
      <left/>
      <right/>
      <top/>
      <bottom style="medium">
        <color rgb="FF000000"/>
      </bottom>
      <diagonal/>
    </border>
    <border>
      <left/>
      <right/>
      <top style="thin">
        <color rgb="FF000000"/>
      </top>
      <bottom/>
      <diagonal/>
    </border>
    <border>
      <left/>
      <right/>
      <top style="double">
        <color rgb="FF000000"/>
      </top>
      <bottom style="double">
        <color rgb="FF000000"/>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top/>
      <bottom style="thick">
        <color rgb="FF000000"/>
      </bottom>
      <diagonal/>
    </border>
    <border>
      <left/>
      <right style="thin">
        <color rgb="FF000000"/>
      </right>
      <top/>
      <bottom style="thick">
        <color rgb="FF000000"/>
      </bottom>
      <diagonal/>
    </border>
    <border>
      <left/>
      <right/>
      <top style="thick">
        <color rgb="FF000000"/>
      </top>
      <bottom/>
      <diagonal/>
    </border>
    <border>
      <left style="medium">
        <color rgb="FF000000"/>
      </left>
      <right style="medium">
        <color rgb="FF000000"/>
      </right>
      <top style="medium">
        <color rgb="FF000000"/>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style="thin">
        <color rgb="FF000000"/>
      </top>
      <bottom style="double">
        <color rgb="FF000000"/>
      </bottom>
      <diagonal/>
    </border>
    <border>
      <left/>
      <right/>
      <top style="medium">
        <color rgb="FF000000"/>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n">
        <color rgb="FFD3D3D3"/>
      </left>
      <right style="thin">
        <color rgb="FFD3D3D3"/>
      </right>
      <top style="thin">
        <color rgb="FFD3D3D3"/>
      </top>
      <bottom style="thin">
        <color rgb="FFD3D3D3"/>
      </bottom>
      <diagonal/>
    </border>
    <border>
      <left style="thin">
        <color rgb="FF000000"/>
      </left>
      <right style="thin">
        <color rgb="FF000000"/>
      </right>
      <top style="thin">
        <color rgb="FF000000"/>
      </top>
      <bottom style="thin">
        <color rgb="FF00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284">
    <xf numFmtId="0" fontId="0" fillId="0" borderId="0" xfId="0"/>
    <xf numFmtId="164" fontId="1" fillId="0" borderId="0" xfId="0" applyNumberFormat="1" applyFont="1" applyAlignment="1">
      <alignment horizontal="left"/>
    </xf>
    <xf numFmtId="165" fontId="1" fillId="0" borderId="0" xfId="0" applyNumberFormat="1" applyFont="1" applyAlignment="1">
      <alignment horizontal="left"/>
    </xf>
    <xf numFmtId="40" fontId="1" fillId="0" borderId="0" xfId="0" applyNumberFormat="1" applyFont="1"/>
    <xf numFmtId="40" fontId="1" fillId="0" borderId="0" xfId="0" quotePrefix="1" applyNumberFormat="1" applyFont="1" applyAlignment="1">
      <alignment horizontal="center"/>
    </xf>
    <xf numFmtId="0" fontId="1" fillId="0" borderId="0" xfId="0" applyFont="1"/>
    <xf numFmtId="49" fontId="1" fillId="2" borderId="1" xfId="0" applyNumberFormat="1" applyFont="1" applyFill="1" applyBorder="1"/>
    <xf numFmtId="0" fontId="2" fillId="0" borderId="0" xfId="0" applyFont="1"/>
    <xf numFmtId="165" fontId="1" fillId="0" borderId="0" xfId="0" applyNumberFormat="1" applyFont="1" applyAlignment="1">
      <alignment horizontal="center"/>
    </xf>
    <xf numFmtId="164" fontId="1" fillId="0" borderId="0" xfId="0" applyNumberFormat="1" applyFont="1" applyAlignment="1">
      <alignment horizontal="center"/>
    </xf>
    <xf numFmtId="0" fontId="1" fillId="0" borderId="0" xfId="0" applyFont="1" applyAlignment="1">
      <alignment horizontal="center"/>
    </xf>
    <xf numFmtId="165" fontId="1" fillId="0" borderId="0" xfId="0" applyNumberFormat="1" applyFont="1"/>
    <xf numFmtId="40" fontId="1" fillId="0" borderId="0" xfId="0" applyNumberFormat="1" applyFont="1" applyAlignment="1">
      <alignment horizontal="center"/>
    </xf>
    <xf numFmtId="165" fontId="3" fillId="0" borderId="0" xfId="0" applyNumberFormat="1" applyFont="1"/>
    <xf numFmtId="164" fontId="4" fillId="0" borderId="0" xfId="0" applyNumberFormat="1" applyFont="1" applyAlignment="1">
      <alignment horizontal="left"/>
    </xf>
    <xf numFmtId="40" fontId="1" fillId="3" borderId="1" xfId="0" applyNumberFormat="1" applyFont="1" applyFill="1" applyBorder="1" applyAlignment="1">
      <alignment horizontal="left"/>
    </xf>
    <xf numFmtId="40" fontId="3" fillId="0" borderId="0" xfId="0" applyNumberFormat="1" applyFont="1"/>
    <xf numFmtId="0" fontId="4" fillId="0" borderId="0" xfId="0" applyFont="1" applyAlignment="1">
      <alignment horizontal="center"/>
    </xf>
    <xf numFmtId="0" fontId="3" fillId="0" borderId="0" xfId="0" applyFont="1"/>
    <xf numFmtId="164" fontId="4" fillId="0" borderId="2" xfId="0" applyNumberFormat="1" applyFont="1" applyBorder="1" applyAlignment="1">
      <alignment horizontal="left"/>
    </xf>
    <xf numFmtId="165" fontId="1" fillId="0" borderId="2" xfId="0" applyNumberFormat="1" applyFont="1" applyBorder="1" applyAlignment="1">
      <alignment horizontal="left"/>
    </xf>
    <xf numFmtId="165" fontId="1" fillId="0" borderId="2" xfId="0" applyNumberFormat="1" applyFont="1" applyBorder="1" applyAlignment="1">
      <alignment horizontal="center"/>
    </xf>
    <xf numFmtId="40" fontId="1" fillId="0" borderId="2" xfId="0" applyNumberFormat="1" applyFont="1" applyBorder="1"/>
    <xf numFmtId="40" fontId="1" fillId="3" borderId="3" xfId="0" applyNumberFormat="1" applyFont="1" applyFill="1" applyBorder="1" applyAlignment="1">
      <alignment horizontal="left"/>
    </xf>
    <xf numFmtId="0" fontId="1" fillId="0" borderId="0" xfId="0" applyFont="1" applyAlignment="1">
      <alignment horizontal="left"/>
    </xf>
    <xf numFmtId="165" fontId="1" fillId="0" borderId="4" xfId="0" applyNumberFormat="1" applyFont="1" applyBorder="1" applyAlignment="1">
      <alignment horizontal="center"/>
    </xf>
    <xf numFmtId="165" fontId="1" fillId="0" borderId="5" xfId="0" applyNumberFormat="1" applyFont="1" applyBorder="1" applyAlignment="1">
      <alignment horizontal="center"/>
    </xf>
    <xf numFmtId="0" fontId="5" fillId="0" borderId="0" xfId="0" applyFont="1" applyAlignment="1">
      <alignment horizontal="center"/>
    </xf>
    <xf numFmtId="40" fontId="2" fillId="0" borderId="0" xfId="0" applyNumberFormat="1" applyFont="1"/>
    <xf numFmtId="0" fontId="6" fillId="0" borderId="0" xfId="0" applyFont="1"/>
    <xf numFmtId="0" fontId="7" fillId="0" borderId="0" xfId="0" applyFont="1"/>
    <xf numFmtId="165" fontId="8" fillId="0" borderId="0" xfId="0" applyNumberFormat="1" applyFont="1"/>
    <xf numFmtId="0" fontId="6" fillId="0" borderId="0" xfId="0" applyFont="1" applyAlignment="1">
      <alignment horizontal="center"/>
    </xf>
    <xf numFmtId="164" fontId="7" fillId="0" borderId="0" xfId="0" applyNumberFormat="1" applyFont="1" applyAlignment="1">
      <alignment horizontal="left"/>
    </xf>
    <xf numFmtId="0" fontId="2" fillId="0" borderId="0" xfId="0" applyFont="1" applyAlignment="1">
      <alignment horizontal="center"/>
    </xf>
    <xf numFmtId="40" fontId="1" fillId="0" borderId="0" xfId="0" applyNumberFormat="1" applyFont="1" applyAlignment="1">
      <alignment horizontal="left"/>
    </xf>
    <xf numFmtId="40" fontId="1" fillId="4" borderId="1" xfId="0" applyNumberFormat="1" applyFont="1" applyFill="1" applyBorder="1" applyAlignment="1">
      <alignment horizontal="center"/>
    </xf>
    <xf numFmtId="164" fontId="9" fillId="0" borderId="0" xfId="0" applyNumberFormat="1" applyFont="1" applyAlignment="1">
      <alignment horizontal="left"/>
    </xf>
    <xf numFmtId="165" fontId="10" fillId="0" borderId="0" xfId="0" applyNumberFormat="1" applyFont="1" applyAlignment="1">
      <alignment horizontal="center"/>
    </xf>
    <xf numFmtId="165" fontId="10" fillId="0" borderId="0" xfId="0" applyNumberFormat="1" applyFont="1" applyAlignment="1">
      <alignment horizontal="left"/>
    </xf>
    <xf numFmtId="0" fontId="1" fillId="0" borderId="2" xfId="0" applyFont="1" applyBorder="1" applyAlignment="1">
      <alignment horizontal="center"/>
    </xf>
    <xf numFmtId="0" fontId="2" fillId="0" borderId="5" xfId="0" applyFont="1" applyBorder="1" applyAlignment="1">
      <alignment horizontal="left"/>
    </xf>
    <xf numFmtId="0" fontId="4" fillId="0" borderId="2" xfId="0" applyFont="1" applyBorder="1"/>
    <xf numFmtId="0" fontId="2" fillId="0" borderId="2" xfId="0" applyFont="1" applyBorder="1" applyAlignment="1">
      <alignment horizontal="left"/>
    </xf>
    <xf numFmtId="0" fontId="4" fillId="0" borderId="0" xfId="0" applyFont="1"/>
    <xf numFmtId="40" fontId="11" fillId="0" borderId="0" xfId="0" applyNumberFormat="1" applyFont="1" applyAlignment="1">
      <alignment horizontal="center" vertical="center"/>
    </xf>
    <xf numFmtId="0" fontId="5" fillId="0" borderId="2" xfId="0" applyFont="1" applyBorder="1"/>
    <xf numFmtId="40" fontId="2" fillId="0" borderId="2" xfId="0" applyNumberFormat="1" applyFont="1" applyBorder="1"/>
    <xf numFmtId="165" fontId="12" fillId="0" borderId="0" xfId="0" applyNumberFormat="1" applyFont="1"/>
    <xf numFmtId="0" fontId="5" fillId="0" borderId="0" xfId="0" applyFont="1"/>
    <xf numFmtId="40" fontId="3" fillId="0" borderId="0" xfId="0" applyNumberFormat="1" applyFont="1" applyAlignment="1">
      <alignment horizontal="left"/>
    </xf>
    <xf numFmtId="164" fontId="4" fillId="0" borderId="5" xfId="0" applyNumberFormat="1" applyFont="1" applyBorder="1" applyAlignment="1">
      <alignment horizontal="left"/>
    </xf>
    <xf numFmtId="165" fontId="1" fillId="0" borderId="5" xfId="0" applyNumberFormat="1" applyFont="1" applyBorder="1" applyAlignment="1">
      <alignment horizontal="left"/>
    </xf>
    <xf numFmtId="0" fontId="2" fillId="0" borderId="6" xfId="0" applyFont="1" applyBorder="1"/>
    <xf numFmtId="49" fontId="1" fillId="0" borderId="0" xfId="0" applyNumberFormat="1" applyFont="1" applyAlignment="1">
      <alignment horizontal="center"/>
    </xf>
    <xf numFmtId="0" fontId="1" fillId="0" borderId="7" xfId="0" applyFont="1" applyBorder="1"/>
    <xf numFmtId="49" fontId="1" fillId="0" borderId="7" xfId="0" applyNumberFormat="1" applyFont="1" applyBorder="1" applyAlignment="1">
      <alignment horizontal="center"/>
    </xf>
    <xf numFmtId="0" fontId="1" fillId="0" borderId="4" xfId="0" applyFont="1" applyBorder="1"/>
    <xf numFmtId="165" fontId="1" fillId="0" borderId="4" xfId="0" applyNumberFormat="1" applyFont="1" applyBorder="1" applyAlignment="1">
      <alignment horizontal="left"/>
    </xf>
    <xf numFmtId="40" fontId="3" fillId="0" borderId="4" xfId="0" applyNumberFormat="1" applyFont="1" applyBorder="1"/>
    <xf numFmtId="40" fontId="11" fillId="0" borderId="2" xfId="0" applyNumberFormat="1" applyFont="1" applyBorder="1"/>
    <xf numFmtId="40" fontId="11" fillId="0" borderId="0" xfId="0" applyNumberFormat="1" applyFont="1"/>
    <xf numFmtId="40" fontId="4" fillId="0" borderId="0" xfId="0" applyNumberFormat="1" applyFont="1" applyAlignment="1">
      <alignment horizontal="left"/>
    </xf>
    <xf numFmtId="165" fontId="4" fillId="0" borderId="0" xfId="0" applyNumberFormat="1" applyFont="1" applyAlignment="1">
      <alignment horizontal="left"/>
    </xf>
    <xf numFmtId="49" fontId="1" fillId="0" borderId="0" xfId="0" applyNumberFormat="1" applyFont="1" applyAlignment="1">
      <alignment horizontal="left"/>
    </xf>
    <xf numFmtId="49" fontId="4" fillId="0" borderId="0" xfId="0" applyNumberFormat="1" applyFont="1" applyAlignment="1">
      <alignment horizontal="left"/>
    </xf>
    <xf numFmtId="40" fontId="1" fillId="3" borderId="8" xfId="0" applyNumberFormat="1" applyFont="1" applyFill="1" applyBorder="1" applyAlignment="1">
      <alignment horizontal="left"/>
    </xf>
    <xf numFmtId="0" fontId="1" fillId="0" borderId="9" xfId="0" applyFont="1" applyBorder="1"/>
    <xf numFmtId="164" fontId="4" fillId="0" borderId="4" xfId="0" applyNumberFormat="1" applyFont="1" applyBorder="1" applyAlignment="1">
      <alignment horizontal="left"/>
    </xf>
    <xf numFmtId="0" fontId="1" fillId="0" borderId="4" xfId="0" applyFont="1" applyBorder="1" applyAlignment="1">
      <alignment horizontal="center"/>
    </xf>
    <xf numFmtId="40" fontId="1" fillId="0" borderId="4" xfId="0" applyNumberFormat="1" applyFont="1" applyBorder="1"/>
    <xf numFmtId="0" fontId="1" fillId="0" borderId="5" xfId="0" applyFont="1" applyBorder="1" applyAlignment="1">
      <alignment horizontal="center"/>
    </xf>
    <xf numFmtId="40" fontId="1" fillId="0" borderId="5" xfId="0" applyNumberFormat="1" applyFont="1" applyBorder="1"/>
    <xf numFmtId="0" fontId="2" fillId="0" borderId="2" xfId="0" applyFont="1" applyBorder="1" applyAlignment="1">
      <alignment horizontal="center"/>
    </xf>
    <xf numFmtId="40" fontId="2" fillId="0" borderId="0" xfId="0" applyNumberFormat="1" applyFont="1" applyAlignment="1">
      <alignment horizontal="center"/>
    </xf>
    <xf numFmtId="0" fontId="2" fillId="0" borderId="0" xfId="0" quotePrefix="1" applyFont="1" applyAlignment="1">
      <alignment horizontal="left"/>
    </xf>
    <xf numFmtId="0" fontId="13" fillId="0" borderId="0" xfId="0" applyFont="1"/>
    <xf numFmtId="40" fontId="11" fillId="0" borderId="0" xfId="0" quotePrefix="1" applyNumberFormat="1" applyFont="1" applyAlignment="1">
      <alignment horizontal="left"/>
    </xf>
    <xf numFmtId="40" fontId="14" fillId="0" borderId="0" xfId="0" applyNumberFormat="1" applyFont="1"/>
    <xf numFmtId="40" fontId="9" fillId="0" borderId="0" xfId="0" quotePrefix="1" applyNumberFormat="1" applyFont="1" applyAlignment="1">
      <alignment horizontal="left"/>
    </xf>
    <xf numFmtId="40" fontId="5" fillId="0" borderId="0" xfId="0" applyNumberFormat="1" applyFont="1" applyAlignment="1">
      <alignment horizontal="center"/>
    </xf>
    <xf numFmtId="38" fontId="3" fillId="0" borderId="0" xfId="0" applyNumberFormat="1" applyFont="1" applyAlignment="1">
      <alignment horizontal="center"/>
    </xf>
    <xf numFmtId="49" fontId="3" fillId="0" borderId="0" xfId="0" applyNumberFormat="1" applyFont="1" applyAlignment="1">
      <alignment horizontal="center"/>
    </xf>
    <xf numFmtId="40" fontId="3" fillId="0" borderId="0" xfId="0" quotePrefix="1" applyNumberFormat="1" applyFont="1"/>
    <xf numFmtId="40" fontId="11" fillId="0" borderId="7" xfId="0" applyNumberFormat="1" applyFont="1" applyBorder="1"/>
    <xf numFmtId="0" fontId="1" fillId="0" borderId="7" xfId="0" applyFont="1" applyBorder="1" applyAlignment="1">
      <alignment horizontal="center"/>
    </xf>
    <xf numFmtId="165" fontId="1" fillId="0" borderId="7" xfId="0" applyNumberFormat="1" applyFont="1" applyBorder="1" applyAlignment="1">
      <alignment horizontal="left"/>
    </xf>
    <xf numFmtId="40" fontId="3" fillId="0" borderId="7" xfId="0" applyNumberFormat="1" applyFont="1" applyBorder="1"/>
    <xf numFmtId="40" fontId="2" fillId="0" borderId="7" xfId="0" applyNumberFormat="1" applyFont="1" applyBorder="1"/>
    <xf numFmtId="40" fontId="1" fillId="3" borderId="10" xfId="0" applyNumberFormat="1" applyFont="1" applyFill="1" applyBorder="1" applyAlignment="1">
      <alignment horizontal="left"/>
    </xf>
    <xf numFmtId="40" fontId="11" fillId="0" borderId="0" xfId="0" applyNumberFormat="1" applyFont="1" applyAlignment="1">
      <alignment horizontal="center"/>
    </xf>
    <xf numFmtId="40" fontId="14" fillId="0" borderId="0" xfId="0" applyNumberFormat="1" applyFont="1" applyAlignment="1">
      <alignment horizontal="center" vertical="center"/>
    </xf>
    <xf numFmtId="40" fontId="14" fillId="0" borderId="0" xfId="0" applyNumberFormat="1" applyFont="1" applyAlignment="1">
      <alignment horizontal="center"/>
    </xf>
    <xf numFmtId="40" fontId="14" fillId="0" borderId="0" xfId="0" quotePrefix="1" applyNumberFormat="1" applyFont="1"/>
    <xf numFmtId="40" fontId="11" fillId="0" borderId="0" xfId="0" applyNumberFormat="1" applyFont="1" applyAlignment="1">
      <alignment horizontal="right"/>
    </xf>
    <xf numFmtId="0" fontId="1" fillId="0" borderId="2" xfId="0" applyFont="1" applyBorder="1" applyAlignment="1">
      <alignment horizontal="left"/>
    </xf>
    <xf numFmtId="40" fontId="11" fillId="0" borderId="2" xfId="0" applyNumberFormat="1" applyFont="1" applyBorder="1" applyAlignment="1">
      <alignment horizontal="right" vertical="center"/>
    </xf>
    <xf numFmtId="40" fontId="11" fillId="0" borderId="2" xfId="0" applyNumberFormat="1" applyFont="1" applyBorder="1" applyAlignment="1">
      <alignment horizontal="right"/>
    </xf>
    <xf numFmtId="40" fontId="11" fillId="0" borderId="5" xfId="0" applyNumberFormat="1" applyFont="1" applyBorder="1"/>
    <xf numFmtId="0" fontId="1" fillId="0" borderId="5" xfId="0" applyFont="1" applyBorder="1" applyAlignment="1">
      <alignment horizontal="left"/>
    </xf>
    <xf numFmtId="40" fontId="11" fillId="0" borderId="5" xfId="0" applyNumberFormat="1" applyFont="1" applyBorder="1" applyAlignment="1">
      <alignment horizontal="right"/>
    </xf>
    <xf numFmtId="40" fontId="14" fillId="0" borderId="2" xfId="0" applyNumberFormat="1" applyFont="1" applyBorder="1"/>
    <xf numFmtId="40" fontId="11" fillId="0" borderId="0" xfId="0" applyNumberFormat="1" applyFont="1" applyAlignment="1">
      <alignment horizontal="left"/>
    </xf>
    <xf numFmtId="40" fontId="14" fillId="0" borderId="0" xfId="0" quotePrefix="1" applyNumberFormat="1" applyFont="1" applyAlignment="1">
      <alignment horizontal="left"/>
    </xf>
    <xf numFmtId="0" fontId="11" fillId="0" borderId="0" xfId="0" applyFont="1" applyAlignment="1">
      <alignment horizontal="center" vertical="center"/>
    </xf>
    <xf numFmtId="40" fontId="11" fillId="0" borderId="0" xfId="0" applyNumberFormat="1" applyFont="1" applyAlignment="1">
      <alignment horizontal="right" vertical="center"/>
    </xf>
    <xf numFmtId="0" fontId="11" fillId="0" borderId="2" xfId="0" applyFont="1" applyBorder="1" applyAlignment="1">
      <alignment horizontal="center" vertical="center"/>
    </xf>
    <xf numFmtId="40" fontId="11" fillId="0" borderId="2" xfId="0" applyNumberFormat="1" applyFont="1" applyBorder="1" applyAlignment="1">
      <alignment horizontal="center" vertical="center"/>
    </xf>
    <xf numFmtId="40" fontId="11" fillId="0" borderId="0" xfId="0" quotePrefix="1" applyNumberFormat="1" applyFont="1" applyAlignment="1">
      <alignment horizontal="center" vertical="center"/>
    </xf>
    <xf numFmtId="40" fontId="11" fillId="0" borderId="0" xfId="0" quotePrefix="1" applyNumberFormat="1" applyFont="1" applyAlignment="1">
      <alignment horizontal="left" vertical="center"/>
    </xf>
    <xf numFmtId="0" fontId="1" fillId="0" borderId="0" xfId="0" quotePrefix="1" applyFont="1" applyAlignment="1">
      <alignment horizontal="left"/>
    </xf>
    <xf numFmtId="14" fontId="1" fillId="0" borderId="0" xfId="0" quotePrefix="1" applyNumberFormat="1" applyFont="1" applyAlignment="1">
      <alignment horizontal="left"/>
    </xf>
    <xf numFmtId="14" fontId="1" fillId="0" borderId="0" xfId="0" applyNumberFormat="1" applyFont="1" applyAlignment="1">
      <alignment horizontal="left"/>
    </xf>
    <xf numFmtId="40" fontId="11" fillId="0" borderId="0" xfId="0" applyNumberFormat="1" applyFont="1" applyAlignment="1">
      <alignment horizontal="left" vertical="center"/>
    </xf>
    <xf numFmtId="164" fontId="3" fillId="0" borderId="0" xfId="0" applyNumberFormat="1" applyFont="1"/>
    <xf numFmtId="40" fontId="4" fillId="0" borderId="0" xfId="0" applyNumberFormat="1" applyFont="1" applyAlignment="1">
      <alignment horizontal="center"/>
    </xf>
    <xf numFmtId="49" fontId="9" fillId="0" borderId="0" xfId="0" applyNumberFormat="1" applyFont="1"/>
    <xf numFmtId="2" fontId="15" fillId="0" borderId="0" xfId="0" applyNumberFormat="1" applyFont="1"/>
    <xf numFmtId="2" fontId="3" fillId="0" borderId="0" xfId="0" applyNumberFormat="1" applyFont="1"/>
    <xf numFmtId="4" fontId="3" fillId="0" borderId="0" xfId="0" applyNumberFormat="1" applyFont="1"/>
    <xf numFmtId="0" fontId="16" fillId="0" borderId="0" xfId="0" applyFont="1"/>
    <xf numFmtId="49" fontId="5" fillId="0" borderId="0" xfId="0" applyNumberFormat="1" applyFont="1" applyAlignment="1">
      <alignment horizontal="center"/>
    </xf>
    <xf numFmtId="0" fontId="17" fillId="0" borderId="0" xfId="0" applyFont="1" applyAlignment="1">
      <alignment horizontal="center" vertical="center"/>
    </xf>
    <xf numFmtId="0" fontId="18" fillId="2" borderId="1" xfId="0" applyFont="1" applyFill="1" applyBorder="1"/>
    <xf numFmtId="0" fontId="18" fillId="2" borderId="1" xfId="0" applyFont="1" applyFill="1" applyBorder="1" applyAlignment="1">
      <alignment horizontal="center"/>
    </xf>
    <xf numFmtId="0" fontId="16" fillId="2" borderId="1" xfId="0" applyFont="1" applyFill="1" applyBorder="1"/>
    <xf numFmtId="40" fontId="16" fillId="5" borderId="1" xfId="0" applyNumberFormat="1" applyFont="1" applyFill="1" applyBorder="1"/>
    <xf numFmtId="0" fontId="19" fillId="0" borderId="0" xfId="0" applyFont="1"/>
    <xf numFmtId="0" fontId="16" fillId="6" borderId="1" xfId="0" applyFont="1" applyFill="1" applyBorder="1"/>
    <xf numFmtId="0" fontId="16" fillId="2" borderId="1" xfId="0" applyFont="1" applyFill="1" applyBorder="1" applyAlignment="1">
      <alignment wrapText="1"/>
    </xf>
    <xf numFmtId="0" fontId="20" fillId="0" borderId="0" xfId="0" applyFont="1" applyAlignment="1">
      <alignment horizontal="center" vertical="center"/>
    </xf>
    <xf numFmtId="0" fontId="17" fillId="0" borderId="0" xfId="0" applyFont="1" applyAlignment="1">
      <alignment horizontal="left" vertical="center"/>
    </xf>
    <xf numFmtId="0" fontId="21" fillId="0" borderId="0" xfId="0" applyFont="1" applyAlignment="1">
      <alignment horizontal="center"/>
    </xf>
    <xf numFmtId="0" fontId="22" fillId="0" borderId="0" xfId="0" applyFont="1" applyAlignment="1">
      <alignment horizontal="right"/>
    </xf>
    <xf numFmtId="0" fontId="21" fillId="6" borderId="1" xfId="0" applyFont="1" applyFill="1" applyBorder="1" applyAlignment="1">
      <alignment horizontal="center"/>
    </xf>
    <xf numFmtId="0" fontId="23" fillId="0" borderId="0" xfId="0" applyFont="1"/>
    <xf numFmtId="0" fontId="24" fillId="0" borderId="0" xfId="0" applyFont="1"/>
    <xf numFmtId="0" fontId="26" fillId="0" borderId="0" xfId="0" applyFont="1"/>
    <xf numFmtId="0" fontId="27" fillId="0" borderId="0" xfId="0" applyFont="1"/>
    <xf numFmtId="0" fontId="21" fillId="0" borderId="0" xfId="0" applyFont="1"/>
    <xf numFmtId="4" fontId="21" fillId="0" borderId="0" xfId="0" applyNumberFormat="1" applyFont="1"/>
    <xf numFmtId="4" fontId="21" fillId="0" borderId="7" xfId="0" applyNumberFormat="1" applyFont="1" applyBorder="1"/>
    <xf numFmtId="4" fontId="2" fillId="6" borderId="1" xfId="0" applyNumberFormat="1" applyFont="1" applyFill="1" applyBorder="1"/>
    <xf numFmtId="40" fontId="21" fillId="0" borderId="2" xfId="0" applyNumberFormat="1" applyFont="1" applyBorder="1"/>
    <xf numFmtId="0" fontId="2" fillId="6" borderId="1" xfId="0" applyFont="1" applyFill="1" applyBorder="1"/>
    <xf numFmtId="0" fontId="5" fillId="0" borderId="0" xfId="0" applyFont="1" applyAlignment="1">
      <alignment horizontal="right"/>
    </xf>
    <xf numFmtId="49" fontId="15" fillId="0" borderId="0" xfId="0" applyNumberFormat="1" applyFont="1"/>
    <xf numFmtId="0" fontId="28" fillId="0" borderId="0" xfId="0" applyFont="1" applyAlignment="1">
      <alignment horizontal="center"/>
    </xf>
    <xf numFmtId="164" fontId="12" fillId="0" borderId="0" xfId="0" applyNumberFormat="1" applyFont="1" applyAlignment="1">
      <alignment horizontal="left"/>
    </xf>
    <xf numFmtId="0" fontId="5" fillId="0" borderId="9" xfId="0" applyFont="1" applyBorder="1" applyAlignment="1">
      <alignment horizontal="center"/>
    </xf>
    <xf numFmtId="40" fontId="5" fillId="0" borderId="14" xfId="0" applyNumberFormat="1" applyFont="1" applyBorder="1"/>
    <xf numFmtId="4" fontId="15" fillId="0" borderId="0" xfId="0" applyNumberFormat="1" applyFont="1"/>
    <xf numFmtId="4" fontId="5" fillId="0" borderId="7" xfId="0" applyNumberFormat="1" applyFont="1" applyBorder="1"/>
    <xf numFmtId="4" fontId="5" fillId="0" borderId="0" xfId="0" applyNumberFormat="1" applyFont="1"/>
    <xf numFmtId="4" fontId="5" fillId="0" borderId="14" xfId="0" applyNumberFormat="1" applyFont="1" applyBorder="1"/>
    <xf numFmtId="40" fontId="5" fillId="0" borderId="14" xfId="0" applyNumberFormat="1" applyFont="1" applyBorder="1" applyAlignment="1">
      <alignment horizontal="right"/>
    </xf>
    <xf numFmtId="0" fontId="28" fillId="0" borderId="0" xfId="0" applyFont="1"/>
    <xf numFmtId="0" fontId="30" fillId="0" borderId="0" xfId="0" applyFont="1"/>
    <xf numFmtId="0" fontId="31" fillId="0" borderId="0" xfId="0" applyFont="1"/>
    <xf numFmtId="49" fontId="29" fillId="0" borderId="0" xfId="0" applyNumberFormat="1" applyFont="1" applyAlignment="1">
      <alignment horizontal="left"/>
    </xf>
    <xf numFmtId="0" fontId="5" fillId="0" borderId="16" xfId="0" applyFont="1" applyBorder="1" applyAlignment="1">
      <alignment horizontal="center"/>
    </xf>
    <xf numFmtId="0" fontId="5" fillId="8" borderId="1" xfId="0" applyFont="1" applyFill="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7" xfId="0" applyFont="1" applyBorder="1" applyAlignment="1">
      <alignment horizontal="center"/>
    </xf>
    <xf numFmtId="0" fontId="5" fillId="8" borderId="10" xfId="0" applyFont="1" applyFill="1" applyBorder="1" applyAlignment="1">
      <alignment horizontal="center"/>
    </xf>
    <xf numFmtId="0" fontId="5" fillId="0" borderId="19" xfId="0" applyFont="1" applyBorder="1" applyAlignment="1">
      <alignment horizontal="center"/>
    </xf>
    <xf numFmtId="0" fontId="5" fillId="0" borderId="20" xfId="0" applyFont="1" applyBorder="1" applyAlignment="1">
      <alignment horizontal="center"/>
    </xf>
    <xf numFmtId="40" fontId="5" fillId="8" borderId="1" xfId="0" applyNumberFormat="1" applyFont="1" applyFill="1" applyBorder="1"/>
    <xf numFmtId="0" fontId="2" fillId="9" borderId="1" xfId="0" applyFont="1" applyFill="1" applyBorder="1"/>
    <xf numFmtId="40" fontId="2" fillId="10" borderId="1" xfId="0" applyNumberFormat="1" applyFont="1" applyFill="1" applyBorder="1"/>
    <xf numFmtId="0" fontId="2" fillId="9" borderId="21" xfId="0" applyFont="1" applyFill="1" applyBorder="1"/>
    <xf numFmtId="0" fontId="2" fillId="8" borderId="1" xfId="0" applyFont="1" applyFill="1" applyBorder="1"/>
    <xf numFmtId="0" fontId="2" fillId="0" borderId="19" xfId="0" applyFont="1" applyBorder="1"/>
    <xf numFmtId="0" fontId="2" fillId="0" borderId="18" xfId="0" applyFont="1" applyBorder="1"/>
    <xf numFmtId="40" fontId="28" fillId="8" borderId="1" xfId="0" applyNumberFormat="1" applyFont="1" applyFill="1" applyBorder="1"/>
    <xf numFmtId="0" fontId="2" fillId="9" borderId="22" xfId="0" applyFont="1" applyFill="1" applyBorder="1"/>
    <xf numFmtId="40" fontId="2" fillId="0" borderId="18" xfId="0" applyNumberFormat="1" applyFont="1" applyBorder="1"/>
    <xf numFmtId="0" fontId="2" fillId="0" borderId="23" xfId="0" applyFont="1" applyBorder="1"/>
    <xf numFmtId="0" fontId="2" fillId="0" borderId="24" xfId="0" applyFont="1" applyBorder="1"/>
    <xf numFmtId="40" fontId="5" fillId="0" borderId="25" xfId="0" applyNumberFormat="1" applyFont="1" applyBorder="1"/>
    <xf numFmtId="40" fontId="2" fillId="0" borderId="23" xfId="0" applyNumberFormat="1" applyFont="1" applyBorder="1"/>
    <xf numFmtId="166" fontId="5" fillId="0" borderId="0" xfId="0" applyNumberFormat="1" applyFont="1"/>
    <xf numFmtId="0" fontId="5" fillId="6" borderId="1" xfId="0" applyFont="1" applyFill="1" applyBorder="1"/>
    <xf numFmtId="0" fontId="2" fillId="11" borderId="1" xfId="0" applyFont="1" applyFill="1" applyBorder="1"/>
    <xf numFmtId="0" fontId="29" fillId="0" borderId="0" xfId="0" applyFont="1"/>
    <xf numFmtId="0" fontId="15" fillId="0" borderId="0" xfId="0" applyFont="1"/>
    <xf numFmtId="10" fontId="2" fillId="7" borderId="1" xfId="0" applyNumberFormat="1" applyFont="1" applyFill="1" applyBorder="1"/>
    <xf numFmtId="0" fontId="5" fillId="7" borderId="1" xfId="0" applyFont="1" applyFill="1" applyBorder="1" applyAlignment="1">
      <alignment horizontal="center"/>
    </xf>
    <xf numFmtId="0" fontId="32" fillId="0" borderId="0" xfId="0" applyFont="1"/>
    <xf numFmtId="0" fontId="33" fillId="0" borderId="0" xfId="0" applyFont="1"/>
    <xf numFmtId="49" fontId="2" fillId="0" borderId="0" xfId="0" applyNumberFormat="1" applyFont="1"/>
    <xf numFmtId="0" fontId="24" fillId="12" borderId="1" xfId="0" applyFont="1" applyFill="1" applyBorder="1"/>
    <xf numFmtId="0" fontId="2" fillId="12" borderId="1" xfId="0" applyFont="1" applyFill="1" applyBorder="1"/>
    <xf numFmtId="0" fontId="5" fillId="12" borderId="1" xfId="0" applyFont="1" applyFill="1" applyBorder="1"/>
    <xf numFmtId="0" fontId="5" fillId="12" borderId="26" xfId="0" applyFont="1" applyFill="1" applyBorder="1" applyAlignment="1">
      <alignment horizontal="center"/>
    </xf>
    <xf numFmtId="0" fontId="5" fillId="12" borderId="26" xfId="0" applyFont="1" applyFill="1" applyBorder="1" applyAlignment="1">
      <alignment horizontal="center" wrapText="1"/>
    </xf>
    <xf numFmtId="0" fontId="5" fillId="12" borderId="26" xfId="0" applyFont="1" applyFill="1" applyBorder="1"/>
    <xf numFmtId="0" fontId="5" fillId="7" borderId="27" xfId="0" applyFont="1" applyFill="1" applyBorder="1" applyAlignment="1">
      <alignment horizontal="center" vertical="center" wrapText="1"/>
    </xf>
    <xf numFmtId="0" fontId="5" fillId="7" borderId="28" xfId="0" applyFont="1" applyFill="1" applyBorder="1" applyAlignment="1">
      <alignment horizontal="center" vertical="center" wrapText="1"/>
    </xf>
    <xf numFmtId="2" fontId="5" fillId="12" borderId="29" xfId="0" applyNumberFormat="1" applyFont="1" applyFill="1" applyBorder="1"/>
    <xf numFmtId="40" fontId="2" fillId="12" borderId="29" xfId="0" applyNumberFormat="1" applyFont="1" applyFill="1" applyBorder="1" applyAlignment="1">
      <alignment horizontal="center"/>
    </xf>
    <xf numFmtId="4" fontId="5" fillId="0" borderId="30" xfId="0" applyNumberFormat="1" applyFont="1" applyBorder="1"/>
    <xf numFmtId="0" fontId="2" fillId="12" borderId="1" xfId="0" applyFont="1" applyFill="1" applyBorder="1" applyAlignment="1">
      <alignment horizontal="center"/>
    </xf>
    <xf numFmtId="4" fontId="2" fillId="0" borderId="0" xfId="0" applyNumberFormat="1" applyFont="1"/>
    <xf numFmtId="43" fontId="2" fillId="12" borderId="1" xfId="0" applyNumberFormat="1" applyFont="1" applyFill="1" applyBorder="1"/>
    <xf numFmtId="0" fontId="2" fillId="0" borderId="0" xfId="0" applyFont="1" applyAlignment="1">
      <alignment wrapText="1"/>
    </xf>
    <xf numFmtId="0" fontId="2" fillId="7" borderId="1" xfId="0" applyFont="1" applyFill="1" applyBorder="1" applyAlignment="1">
      <alignment horizontal="center"/>
    </xf>
    <xf numFmtId="0" fontId="2" fillId="7" borderId="1" xfId="0" applyFont="1" applyFill="1" applyBorder="1"/>
    <xf numFmtId="4" fontId="2" fillId="0" borderId="31" xfId="0" applyNumberFormat="1" applyFont="1" applyBorder="1"/>
    <xf numFmtId="2" fontId="2" fillId="12" borderId="29" xfId="0" applyNumberFormat="1" applyFont="1" applyFill="1" applyBorder="1"/>
    <xf numFmtId="49" fontId="1" fillId="0" borderId="0" xfId="0" applyNumberFormat="1" applyFont="1"/>
    <xf numFmtId="40" fontId="3" fillId="7" borderId="1" xfId="0" applyNumberFormat="1" applyFont="1" applyFill="1" applyBorder="1"/>
    <xf numFmtId="40" fontId="30" fillId="0" borderId="5" xfId="0" applyNumberFormat="1" applyFont="1" applyBorder="1"/>
    <xf numFmtId="40" fontId="2" fillId="0" borderId="5" xfId="0" applyNumberFormat="1" applyFont="1" applyBorder="1"/>
    <xf numFmtId="40" fontId="34" fillId="0" borderId="0" xfId="0" applyNumberFormat="1" applyFont="1"/>
    <xf numFmtId="40" fontId="2" fillId="0" borderId="32" xfId="0" applyNumberFormat="1" applyFont="1" applyBorder="1"/>
    <xf numFmtId="38" fontId="2" fillId="0" borderId="0" xfId="0" applyNumberFormat="1" applyFont="1" applyAlignment="1">
      <alignment horizontal="center"/>
    </xf>
    <xf numFmtId="49" fontId="2" fillId="0" borderId="0" xfId="0" applyNumberFormat="1" applyFont="1" applyAlignment="1">
      <alignment horizontal="center"/>
    </xf>
    <xf numFmtId="2" fontId="2" fillId="0" borderId="0" xfId="0" applyNumberFormat="1" applyFont="1"/>
    <xf numFmtId="49" fontId="31" fillId="0" borderId="0" xfId="0" applyNumberFormat="1" applyFont="1"/>
    <xf numFmtId="0" fontId="29" fillId="0" borderId="0" xfId="0" quotePrefix="1" applyFont="1" applyAlignment="1">
      <alignment horizontal="left"/>
    </xf>
    <xf numFmtId="38" fontId="2" fillId="0" borderId="0" xfId="0" applyNumberFormat="1" applyFont="1"/>
    <xf numFmtId="167" fontId="2" fillId="0" borderId="0" xfId="0" applyNumberFormat="1" applyFont="1"/>
    <xf numFmtId="0" fontId="2" fillId="0" borderId="0" xfId="0" applyFont="1" applyAlignment="1">
      <alignment horizontal="right"/>
    </xf>
    <xf numFmtId="38" fontId="5" fillId="0" borderId="0" xfId="0" applyNumberFormat="1" applyFont="1"/>
    <xf numFmtId="167" fontId="5" fillId="0" borderId="0" xfId="0" applyNumberFormat="1" applyFont="1"/>
    <xf numFmtId="0" fontId="2" fillId="0" borderId="25" xfId="0" applyFont="1" applyBorder="1"/>
    <xf numFmtId="0" fontId="2" fillId="0" borderId="34" xfId="0" applyFont="1" applyBorder="1"/>
    <xf numFmtId="0" fontId="2" fillId="0" borderId="36" xfId="0" applyFont="1" applyBorder="1"/>
    <xf numFmtId="0" fontId="5" fillId="0" borderId="35" xfId="0" applyFont="1" applyBorder="1" applyAlignment="1">
      <alignment horizontal="center"/>
    </xf>
    <xf numFmtId="1" fontId="2" fillId="0" borderId="35" xfId="0" applyNumberFormat="1" applyFont="1" applyBorder="1" applyAlignment="1">
      <alignment horizontal="right"/>
    </xf>
    <xf numFmtId="1" fontId="2" fillId="0" borderId="0" xfId="0" applyNumberFormat="1" applyFont="1" applyAlignment="1">
      <alignment horizontal="right"/>
    </xf>
    <xf numFmtId="49" fontId="2" fillId="0" borderId="0" xfId="0" applyNumberFormat="1" applyFont="1" applyAlignment="1">
      <alignment horizontal="left"/>
    </xf>
    <xf numFmtId="1" fontId="2" fillId="0" borderId="37" xfId="0" applyNumberFormat="1" applyFont="1" applyBorder="1" applyAlignment="1">
      <alignment horizontal="right"/>
    </xf>
    <xf numFmtId="1" fontId="2" fillId="0" borderId="23" xfId="0" applyNumberFormat="1" applyFont="1" applyBorder="1" applyAlignment="1">
      <alignment horizontal="right"/>
    </xf>
    <xf numFmtId="1" fontId="2" fillId="9" borderId="1" xfId="0" applyNumberFormat="1" applyFont="1" applyFill="1" applyBorder="1" applyAlignment="1">
      <alignment horizontal="right"/>
    </xf>
    <xf numFmtId="49" fontId="5" fillId="9" borderId="1" xfId="0" applyNumberFormat="1" applyFont="1" applyFill="1" applyBorder="1" applyAlignment="1">
      <alignment horizontal="center"/>
    </xf>
    <xf numFmtId="0" fontId="38" fillId="2" borderId="1" xfId="0" applyFont="1" applyFill="1" applyBorder="1"/>
    <xf numFmtId="0" fontId="37" fillId="2" borderId="1" xfId="0" applyFont="1" applyFill="1" applyBorder="1"/>
    <xf numFmtId="0" fontId="2" fillId="2" borderId="1" xfId="0" applyFont="1" applyFill="1" applyBorder="1"/>
    <xf numFmtId="0" fontId="38" fillId="13" borderId="1" xfId="0" applyFont="1" applyFill="1" applyBorder="1"/>
    <xf numFmtId="0" fontId="37" fillId="13" borderId="1" xfId="0" applyFont="1" applyFill="1" applyBorder="1"/>
    <xf numFmtId="0" fontId="2" fillId="13" borderId="1" xfId="0" applyFont="1" applyFill="1" applyBorder="1"/>
    <xf numFmtId="0" fontId="38" fillId="14" borderId="1" xfId="0" applyFont="1" applyFill="1" applyBorder="1"/>
    <xf numFmtId="0" fontId="37" fillId="14" borderId="1" xfId="0" applyFont="1" applyFill="1" applyBorder="1"/>
    <xf numFmtId="0" fontId="2" fillId="14" borderId="1" xfId="0" applyFont="1" applyFill="1" applyBorder="1"/>
    <xf numFmtId="0" fontId="39" fillId="15" borderId="39" xfId="0" applyFont="1" applyFill="1" applyBorder="1" applyAlignment="1">
      <alignment horizontal="right" vertical="top" wrapText="1" readingOrder="1"/>
    </xf>
    <xf numFmtId="0" fontId="39" fillId="15" borderId="39" xfId="0" applyFont="1" applyFill="1" applyBorder="1" applyAlignment="1">
      <alignment horizontal="left" vertical="top" wrapText="1" readingOrder="1"/>
    </xf>
    <xf numFmtId="0" fontId="39" fillId="15" borderId="1" xfId="0" applyFont="1" applyFill="1" applyBorder="1" applyAlignment="1">
      <alignment horizontal="left" vertical="top" wrapText="1" readingOrder="1"/>
    </xf>
    <xf numFmtId="0" fontId="40" fillId="0" borderId="39" xfId="0" applyFont="1" applyBorder="1" applyAlignment="1">
      <alignment horizontal="left" vertical="top" wrapText="1" readingOrder="1"/>
    </xf>
    <xf numFmtId="0" fontId="16" fillId="0" borderId="16" xfId="0" applyFont="1" applyBorder="1" applyAlignment="1">
      <alignment horizontal="left"/>
    </xf>
    <xf numFmtId="0" fontId="16" fillId="0" borderId="40" xfId="0" applyFont="1" applyBorder="1" applyAlignment="1">
      <alignment horizontal="left"/>
    </xf>
    <xf numFmtId="0" fontId="40" fillId="0" borderId="0" xfId="0" applyFont="1" applyAlignment="1">
      <alignment horizontal="left" vertical="top" wrapText="1" readingOrder="1"/>
    </xf>
    <xf numFmtId="0" fontId="2" fillId="0" borderId="40" xfId="0" applyFont="1" applyBorder="1" applyAlignment="1">
      <alignment horizontal="left"/>
    </xf>
    <xf numFmtId="0" fontId="2" fillId="12" borderId="40" xfId="0" applyFont="1" applyFill="1" applyBorder="1" applyAlignment="1">
      <alignment horizontal="left"/>
    </xf>
    <xf numFmtId="0" fontId="2" fillId="0" borderId="0" xfId="0" applyFont="1" applyAlignment="1">
      <alignment horizontal="left"/>
    </xf>
    <xf numFmtId="0" fontId="2" fillId="0" borderId="41" xfId="0" applyFont="1" applyBorder="1"/>
    <xf numFmtId="0" fontId="40" fillId="0" borderId="41" xfId="0" applyFont="1" applyBorder="1" applyAlignment="1">
      <alignment horizontal="left" vertical="top" wrapText="1" readingOrder="1"/>
    </xf>
    <xf numFmtId="40" fontId="14" fillId="0" borderId="0" xfId="0" applyNumberFormat="1" applyFont="1" applyAlignment="1">
      <alignment horizontal="center" vertical="center"/>
    </xf>
    <xf numFmtId="0" fontId="0" fillId="0" borderId="0" xfId="0"/>
    <xf numFmtId="40" fontId="14" fillId="0" borderId="0" xfId="0" applyNumberFormat="1" applyFont="1" applyAlignment="1">
      <alignment horizontal="center"/>
    </xf>
    <xf numFmtId="49" fontId="5" fillId="0" borderId="0" xfId="0" applyNumberFormat="1" applyFont="1" applyAlignment="1">
      <alignment horizontal="center"/>
    </xf>
    <xf numFmtId="0" fontId="21" fillId="0" borderId="0" xfId="0" applyFont="1" applyAlignment="1">
      <alignment horizontal="center"/>
    </xf>
    <xf numFmtId="49" fontId="21" fillId="7" borderId="11" xfId="0" applyNumberFormat="1" applyFont="1" applyFill="1" applyBorder="1"/>
    <xf numFmtId="0" fontId="25" fillId="0" borderId="12" xfId="0" applyFont="1" applyBorder="1"/>
    <xf numFmtId="0" fontId="25" fillId="0" borderId="13" xfId="0" applyFont="1" applyBorder="1"/>
    <xf numFmtId="0" fontId="5" fillId="0" borderId="0" xfId="0" applyFont="1" applyAlignment="1">
      <alignment horizontal="center"/>
    </xf>
    <xf numFmtId="0" fontId="29" fillId="0" borderId="0" xfId="0" applyFont="1" applyAlignment="1">
      <alignment horizontal="center"/>
    </xf>
    <xf numFmtId="0" fontId="5" fillId="0" borderId="15" xfId="0" applyFont="1" applyBorder="1" applyAlignment="1">
      <alignment horizontal="center"/>
    </xf>
    <xf numFmtId="0" fontId="25" fillId="0" borderId="14" xfId="0" applyFont="1" applyBorder="1"/>
    <xf numFmtId="0" fontId="32" fillId="0" borderId="0" xfId="0" applyFont="1" applyAlignment="1">
      <alignment horizontal="left" vertical="top" wrapText="1"/>
    </xf>
    <xf numFmtId="4" fontId="28" fillId="0" borderId="0" xfId="0" applyNumberFormat="1" applyFont="1" applyAlignment="1">
      <alignment wrapText="1"/>
    </xf>
    <xf numFmtId="0" fontId="35" fillId="0" borderId="0" xfId="0" applyFont="1" applyAlignment="1">
      <alignment horizontal="center"/>
    </xf>
    <xf numFmtId="49" fontId="2" fillId="0" borderId="0" xfId="0" applyNumberFormat="1" applyFont="1" applyAlignment="1">
      <alignment horizontal="left"/>
    </xf>
    <xf numFmtId="0" fontId="25" fillId="0" borderId="36" xfId="0" applyFont="1" applyBorder="1"/>
    <xf numFmtId="0" fontId="24" fillId="0" borderId="33" xfId="0" applyFont="1" applyBorder="1" applyAlignment="1">
      <alignment horizontal="center"/>
    </xf>
    <xf numFmtId="0" fontId="25" fillId="0" borderId="25" xfId="0" applyFont="1" applyBorder="1"/>
    <xf numFmtId="0" fontId="36" fillId="0" borderId="35" xfId="0" applyFont="1" applyBorder="1" applyAlignment="1">
      <alignment horizontal="center"/>
    </xf>
    <xf numFmtId="49" fontId="37" fillId="0" borderId="0" xfId="0" applyNumberFormat="1" applyFont="1"/>
    <xf numFmtId="49" fontId="2" fillId="0" borderId="23" xfId="0" applyNumberFormat="1" applyFont="1" applyBorder="1" applyAlignment="1">
      <alignment horizontal="left"/>
    </xf>
    <xf numFmtId="0" fontId="25" fillId="0" borderId="23" xfId="0" applyFont="1" applyBorder="1"/>
    <xf numFmtId="0" fontId="25" fillId="0" borderId="38" xfId="0" applyFont="1" applyBorder="1"/>
    <xf numFmtId="0" fontId="38" fillId="0" borderId="0" xfId="0" applyFont="1" applyAlignment="1">
      <alignment horizontal="center"/>
    </xf>
  </cellXfs>
  <cellStyles count="1">
    <cellStyle name="Normal" xfId="0" builtinId="0"/>
  </cellStyles>
  <dxfs count="16">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ont>
        <b/>
        <color rgb="FFFF0000"/>
      </font>
      <fill>
        <patternFill patternType="none"/>
      </fill>
    </dxf>
    <dxf>
      <font>
        <color rgb="FF9C0006"/>
      </font>
      <fill>
        <patternFill patternType="solid">
          <fgColor rgb="FFFFC7CE"/>
          <bgColor rgb="FFFFC7CE"/>
        </patternFill>
      </fill>
    </dxf>
    <dxf>
      <font>
        <color rgb="FF9C0006"/>
      </font>
      <fill>
        <patternFill patternType="solid">
          <fgColor rgb="FFFFC7CE"/>
          <bgColor rgb="FFFFC7CE"/>
        </patternFill>
      </fill>
    </dxf>
    <dxf>
      <font>
        <b/>
        <color rgb="FF800000"/>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333CC"/>
  </sheetPr>
  <dimension ref="A1:AF1000"/>
  <sheetViews>
    <sheetView tabSelected="1" topLeftCell="A652" workbookViewId="0">
      <selection activeCell="A4" sqref="A4"/>
    </sheetView>
  </sheetViews>
  <sheetFormatPr defaultColWidth="16.83203125" defaultRowHeight="15" customHeight="1"/>
  <cols>
    <col min="1" max="1" width="45.1640625" customWidth="1"/>
    <col min="2" max="2" width="5.33203125" customWidth="1"/>
    <col min="3" max="3" width="5" customWidth="1"/>
    <col min="4" max="4" width="3.83203125" hidden="1" customWidth="1"/>
    <col min="5" max="5" width="6.83203125" customWidth="1"/>
    <col min="6" max="6" width="17" customWidth="1"/>
    <col min="7" max="8" width="17.1640625" customWidth="1"/>
    <col min="9" max="9" width="18.83203125" customWidth="1"/>
    <col min="10" max="12" width="17.1640625" customWidth="1"/>
    <col min="13" max="13" width="8" customWidth="1"/>
    <col min="14" max="32" width="8.83203125" customWidth="1"/>
  </cols>
  <sheetData>
    <row r="1" spans="1:32" ht="12" customHeight="1">
      <c r="A1" s="1" t="s">
        <v>0</v>
      </c>
      <c r="B1" s="2" t="s">
        <v>1</v>
      </c>
      <c r="C1" s="2" t="s">
        <v>2</v>
      </c>
      <c r="D1" s="2"/>
      <c r="E1" s="2"/>
      <c r="F1" s="3"/>
      <c r="G1" s="3"/>
      <c r="H1" s="4" t="s">
        <v>3</v>
      </c>
      <c r="I1" s="3"/>
      <c r="J1" s="3"/>
      <c r="K1" s="3"/>
      <c r="L1" s="3"/>
      <c r="M1" s="5"/>
      <c r="N1" s="5"/>
      <c r="O1" s="5"/>
      <c r="P1" s="5"/>
      <c r="Q1" s="5"/>
      <c r="R1" s="5"/>
      <c r="S1" s="5"/>
      <c r="T1" s="5"/>
      <c r="U1" s="5"/>
      <c r="V1" s="5"/>
      <c r="W1" s="5"/>
      <c r="X1" s="5"/>
      <c r="Y1" s="5"/>
      <c r="Z1" s="5"/>
      <c r="AA1" s="5"/>
      <c r="AB1" s="5"/>
      <c r="AC1" s="5"/>
      <c r="AD1" s="5"/>
      <c r="AE1" s="5"/>
      <c r="AF1" s="5"/>
    </row>
    <row r="2" spans="1:32" ht="12" customHeight="1">
      <c r="A2" s="6" t="s">
        <v>1546</v>
      </c>
      <c r="B2" s="7">
        <f t="array" ref="B2">INDEX('School Tables'!$AH$3:$AH$208,MATCH('DOE25'!A2,'School Tables'!$AJ$3:$AJ$208,0))</f>
        <v>345</v>
      </c>
      <c r="C2" s="7">
        <f t="array" ref="C2">INDEX('School Tables'!$AI$3:$AI$208,MATCH('DOE25'!A2,'School Tables'!$AJ$3:$AJ$208,0))</f>
        <v>345</v>
      </c>
      <c r="D2" s="7"/>
      <c r="E2" s="8" t="s">
        <v>4</v>
      </c>
      <c r="F2" s="4" t="s">
        <v>5</v>
      </c>
      <c r="G2" s="4" t="s">
        <v>6</v>
      </c>
      <c r="H2" s="4" t="s">
        <v>7</v>
      </c>
      <c r="I2" s="4" t="s">
        <v>8</v>
      </c>
      <c r="J2" s="4" t="s">
        <v>9</v>
      </c>
      <c r="K2" s="4" t="s">
        <v>10</v>
      </c>
      <c r="L2" s="4" t="s">
        <v>11</v>
      </c>
      <c r="M2" s="5"/>
      <c r="N2" s="5"/>
      <c r="O2" s="5"/>
      <c r="P2" s="5"/>
      <c r="Q2" s="5"/>
      <c r="R2" s="5"/>
      <c r="S2" s="5"/>
      <c r="T2" s="5"/>
      <c r="U2" s="5"/>
      <c r="V2" s="5"/>
      <c r="W2" s="5"/>
      <c r="X2" s="5"/>
      <c r="Y2" s="5"/>
      <c r="Z2" s="5"/>
      <c r="AA2" s="5"/>
      <c r="AB2" s="5"/>
      <c r="AC2" s="5"/>
      <c r="AD2" s="5"/>
      <c r="AE2" s="5"/>
      <c r="AF2" s="5"/>
    </row>
    <row r="3" spans="1:32" ht="12" customHeight="1">
      <c r="A3" s="9" t="s">
        <v>12</v>
      </c>
      <c r="B3" s="8" t="s">
        <v>13</v>
      </c>
      <c r="C3" s="8" t="s">
        <v>14</v>
      </c>
      <c r="D3" s="8"/>
      <c r="E3" s="10" t="s">
        <v>15</v>
      </c>
      <c r="F3" s="5"/>
      <c r="G3" s="5"/>
      <c r="H3" s="5"/>
      <c r="I3" s="5"/>
      <c r="J3" s="5"/>
      <c r="K3" s="5"/>
      <c r="L3" s="5"/>
      <c r="M3" s="5"/>
      <c r="N3" s="5"/>
      <c r="O3" s="5"/>
      <c r="P3" s="5"/>
      <c r="Q3" s="5"/>
      <c r="R3" s="5"/>
      <c r="S3" s="5"/>
      <c r="T3" s="5"/>
      <c r="U3" s="5"/>
      <c r="V3" s="5"/>
      <c r="W3" s="5"/>
      <c r="X3" s="5"/>
      <c r="Y3" s="5"/>
      <c r="Z3" s="5"/>
      <c r="AA3" s="5"/>
      <c r="AB3" s="5"/>
      <c r="AC3" s="5"/>
      <c r="AD3" s="5"/>
      <c r="AE3" s="5"/>
      <c r="AF3" s="5"/>
    </row>
    <row r="4" spans="1:32" ht="12" customHeight="1">
      <c r="A4" s="1" t="s">
        <v>16</v>
      </c>
      <c r="B4" s="5"/>
      <c r="C4" s="5"/>
      <c r="D4" s="5"/>
      <c r="E4" s="5"/>
      <c r="F4" s="5"/>
      <c r="G4" s="5"/>
      <c r="H4" s="5"/>
      <c r="I4" s="5"/>
      <c r="J4" s="5"/>
      <c r="K4" s="3"/>
      <c r="L4" s="3"/>
      <c r="M4" s="5"/>
      <c r="N4" s="5"/>
      <c r="O4" s="5"/>
      <c r="P4" s="5"/>
      <c r="Q4" s="5"/>
      <c r="R4" s="5"/>
      <c r="S4" s="5"/>
      <c r="T4" s="5"/>
      <c r="U4" s="5"/>
      <c r="V4" s="5"/>
      <c r="W4" s="5"/>
      <c r="X4" s="5"/>
      <c r="Y4" s="5"/>
      <c r="Z4" s="5"/>
      <c r="AA4" s="5"/>
      <c r="AB4" s="5"/>
      <c r="AC4" s="5"/>
      <c r="AD4" s="5"/>
      <c r="AE4" s="5"/>
      <c r="AF4" s="5"/>
    </row>
    <row r="5" spans="1:32" ht="12" customHeight="1">
      <c r="A5" s="1" t="s">
        <v>17</v>
      </c>
      <c r="B5" s="5"/>
      <c r="C5" s="5"/>
      <c r="D5" s="5"/>
      <c r="E5" s="5"/>
      <c r="F5" s="10" t="s">
        <v>18</v>
      </c>
      <c r="G5" s="10" t="s">
        <v>19</v>
      </c>
      <c r="H5" s="10" t="s">
        <v>20</v>
      </c>
      <c r="I5" s="10" t="s">
        <v>21</v>
      </c>
      <c r="J5" s="10" t="s">
        <v>22</v>
      </c>
      <c r="K5" s="3"/>
      <c r="L5" s="3"/>
      <c r="M5" s="5"/>
      <c r="N5" s="5"/>
      <c r="O5" s="5"/>
      <c r="P5" s="5"/>
      <c r="Q5" s="5"/>
      <c r="R5" s="5"/>
      <c r="S5" s="5"/>
      <c r="T5" s="5"/>
      <c r="U5" s="5"/>
      <c r="V5" s="5"/>
      <c r="W5" s="5"/>
      <c r="X5" s="5"/>
      <c r="Y5" s="5"/>
      <c r="Z5" s="5"/>
      <c r="AA5" s="5"/>
      <c r="AB5" s="5"/>
      <c r="AC5" s="5"/>
      <c r="AD5" s="5"/>
      <c r="AE5" s="5"/>
      <c r="AF5" s="5"/>
    </row>
    <row r="6" spans="1:32" ht="12" customHeight="1">
      <c r="A6" s="5"/>
      <c r="B6" s="11"/>
      <c r="C6" s="11"/>
      <c r="D6" s="11"/>
      <c r="E6" s="5"/>
      <c r="F6" s="12" t="s">
        <v>23</v>
      </c>
      <c r="G6" s="12" t="s">
        <v>24</v>
      </c>
      <c r="H6" s="12" t="s">
        <v>25</v>
      </c>
      <c r="I6" s="12" t="s">
        <v>26</v>
      </c>
      <c r="J6" s="12" t="s">
        <v>27</v>
      </c>
      <c r="K6" s="3"/>
      <c r="L6" s="3"/>
      <c r="M6" s="13"/>
      <c r="N6" s="5"/>
      <c r="O6" s="5"/>
      <c r="P6" s="5"/>
      <c r="Q6" s="5"/>
      <c r="R6" s="5"/>
      <c r="S6" s="5"/>
      <c r="T6" s="5"/>
      <c r="U6" s="5"/>
      <c r="V6" s="5"/>
      <c r="W6" s="5"/>
      <c r="X6" s="5"/>
      <c r="Y6" s="5"/>
      <c r="Z6" s="5"/>
      <c r="AA6" s="5"/>
      <c r="AB6" s="5"/>
      <c r="AC6" s="5"/>
      <c r="AD6" s="5"/>
      <c r="AE6" s="5"/>
      <c r="AF6" s="5"/>
    </row>
    <row r="7" spans="1:32" ht="12" customHeight="1">
      <c r="A7" s="1" t="s">
        <v>28</v>
      </c>
      <c r="B7" s="11"/>
      <c r="C7" s="11"/>
      <c r="D7" s="11"/>
      <c r="E7" s="11"/>
      <c r="F7" s="12"/>
      <c r="G7" s="3"/>
      <c r="H7" s="12" t="s">
        <v>29</v>
      </c>
      <c r="I7" s="3"/>
      <c r="J7" s="3"/>
      <c r="K7" s="3"/>
      <c r="L7" s="3"/>
      <c r="M7" s="13"/>
      <c r="N7" s="5"/>
      <c r="O7" s="5"/>
      <c r="P7" s="5"/>
      <c r="Q7" s="5"/>
      <c r="R7" s="5"/>
      <c r="S7" s="5"/>
      <c r="T7" s="5"/>
      <c r="U7" s="5"/>
      <c r="V7" s="5"/>
      <c r="W7" s="5"/>
      <c r="X7" s="5"/>
      <c r="Y7" s="5"/>
      <c r="Z7" s="5"/>
      <c r="AA7" s="5"/>
      <c r="AB7" s="5"/>
      <c r="AC7" s="5"/>
      <c r="AD7" s="5"/>
      <c r="AE7" s="5"/>
      <c r="AF7" s="5"/>
    </row>
    <row r="8" spans="1:32" ht="12" customHeight="1">
      <c r="A8" s="14" t="s">
        <v>30</v>
      </c>
      <c r="B8" s="11"/>
      <c r="C8" s="11"/>
      <c r="D8" s="11"/>
      <c r="E8" s="11"/>
      <c r="F8" s="15" t="s">
        <v>31</v>
      </c>
      <c r="G8" s="15" t="s">
        <v>31</v>
      </c>
      <c r="H8" s="15" t="s">
        <v>31</v>
      </c>
      <c r="I8" s="15" t="s">
        <v>31</v>
      </c>
      <c r="J8" s="15" t="s">
        <v>31</v>
      </c>
      <c r="K8" s="15" t="s">
        <v>31</v>
      </c>
      <c r="L8" s="15" t="s">
        <v>31</v>
      </c>
      <c r="M8" s="13"/>
      <c r="N8" s="5"/>
      <c r="O8" s="5"/>
      <c r="P8" s="5"/>
      <c r="Q8" s="5"/>
      <c r="R8" s="5"/>
      <c r="S8" s="5"/>
      <c r="T8" s="5"/>
      <c r="U8" s="5"/>
      <c r="V8" s="5"/>
      <c r="W8" s="5"/>
      <c r="X8" s="5"/>
      <c r="Y8" s="5"/>
      <c r="Z8" s="5"/>
      <c r="AA8" s="5"/>
      <c r="AB8" s="5"/>
      <c r="AC8" s="5"/>
      <c r="AD8" s="5"/>
      <c r="AE8" s="5"/>
      <c r="AF8" s="5"/>
    </row>
    <row r="9" spans="1:32" ht="12" customHeight="1">
      <c r="A9" s="1" t="s">
        <v>32</v>
      </c>
      <c r="B9" s="2" t="s">
        <v>33</v>
      </c>
      <c r="C9" s="8">
        <v>1</v>
      </c>
      <c r="D9" s="2" t="s">
        <v>34</v>
      </c>
      <c r="E9" s="8">
        <v>100</v>
      </c>
      <c r="F9" s="16">
        <v>297225.24</v>
      </c>
      <c r="G9" s="16"/>
      <c r="H9" s="16"/>
      <c r="I9" s="16"/>
      <c r="J9" s="3">
        <f t="shared" ref="J9:J10" si="0">SUM(I440)</f>
        <v>200532.50999999998</v>
      </c>
      <c r="K9" s="15" t="s">
        <v>31</v>
      </c>
      <c r="L9" s="15" t="s">
        <v>31</v>
      </c>
      <c r="M9" s="13"/>
      <c r="N9" s="17"/>
      <c r="O9" s="5"/>
      <c r="P9" s="5"/>
      <c r="Q9" s="5"/>
      <c r="R9" s="5"/>
      <c r="S9" s="5"/>
      <c r="T9" s="5"/>
      <c r="U9" s="5"/>
      <c r="V9" s="5"/>
      <c r="W9" s="5"/>
      <c r="X9" s="5"/>
      <c r="Y9" s="5"/>
      <c r="Z9" s="5"/>
      <c r="AA9" s="5"/>
      <c r="AB9" s="5"/>
      <c r="AC9" s="5"/>
      <c r="AD9" s="5"/>
      <c r="AE9" s="5"/>
      <c r="AF9" s="5"/>
    </row>
    <row r="10" spans="1:32" ht="12" customHeight="1">
      <c r="A10" s="1" t="s">
        <v>35</v>
      </c>
      <c r="B10" s="2" t="s">
        <v>33</v>
      </c>
      <c r="C10" s="8">
        <v>2</v>
      </c>
      <c r="D10" s="2" t="s">
        <v>34</v>
      </c>
      <c r="E10" s="8">
        <v>110</v>
      </c>
      <c r="F10" s="16"/>
      <c r="G10" s="16"/>
      <c r="H10" s="16"/>
      <c r="I10" s="16"/>
      <c r="J10" s="3">
        <f t="shared" si="0"/>
        <v>0</v>
      </c>
      <c r="K10" s="15" t="s">
        <v>31</v>
      </c>
      <c r="L10" s="15" t="s">
        <v>31</v>
      </c>
      <c r="M10" s="13"/>
      <c r="N10" s="17"/>
      <c r="O10" s="5"/>
      <c r="P10" s="5"/>
      <c r="Q10" s="5"/>
      <c r="R10" s="5"/>
      <c r="S10" s="5"/>
      <c r="T10" s="5"/>
      <c r="U10" s="5"/>
      <c r="V10" s="5"/>
      <c r="W10" s="5"/>
      <c r="X10" s="5"/>
      <c r="Y10" s="5"/>
      <c r="Z10" s="5"/>
      <c r="AA10" s="5"/>
      <c r="AB10" s="5"/>
      <c r="AC10" s="5"/>
      <c r="AD10" s="5"/>
      <c r="AE10" s="5"/>
      <c r="AF10" s="5"/>
    </row>
    <row r="11" spans="1:32" ht="12" customHeight="1">
      <c r="A11" s="1" t="s">
        <v>36</v>
      </c>
      <c r="B11" s="2" t="s">
        <v>33</v>
      </c>
      <c r="C11" s="8">
        <v>3</v>
      </c>
      <c r="D11" s="2" t="s">
        <v>34</v>
      </c>
      <c r="E11" s="8">
        <v>120</v>
      </c>
      <c r="F11" s="16"/>
      <c r="G11" s="15" t="s">
        <v>31</v>
      </c>
      <c r="H11" s="15" t="s">
        <v>31</v>
      </c>
      <c r="I11" s="15" t="s">
        <v>31</v>
      </c>
      <c r="J11" s="15" t="s">
        <v>31</v>
      </c>
      <c r="K11" s="15" t="s">
        <v>31</v>
      </c>
      <c r="L11" s="15" t="s">
        <v>31</v>
      </c>
      <c r="M11" s="13"/>
      <c r="N11" s="17"/>
      <c r="O11" s="5"/>
      <c r="P11" s="5"/>
      <c r="Q11" s="5"/>
      <c r="R11" s="5"/>
      <c r="S11" s="5"/>
      <c r="T11" s="5"/>
      <c r="U11" s="5"/>
      <c r="V11" s="5"/>
      <c r="W11" s="5"/>
      <c r="X11" s="5"/>
      <c r="Y11" s="5"/>
      <c r="Z11" s="5"/>
      <c r="AA11" s="5"/>
      <c r="AB11" s="5"/>
      <c r="AC11" s="5"/>
      <c r="AD11" s="5"/>
      <c r="AE11" s="5"/>
      <c r="AF11" s="5"/>
    </row>
    <row r="12" spans="1:32" ht="12" customHeight="1">
      <c r="A12" s="1" t="s">
        <v>37</v>
      </c>
      <c r="B12" s="2" t="s">
        <v>33</v>
      </c>
      <c r="C12" s="8">
        <v>4</v>
      </c>
      <c r="D12" s="2" t="s">
        <v>34</v>
      </c>
      <c r="E12" s="8">
        <v>130</v>
      </c>
      <c r="F12" s="16">
        <f>27361.87+627.26+1575+804.29+844.44</f>
        <v>31212.859999999997</v>
      </c>
      <c r="G12" s="16">
        <v>11311.42</v>
      </c>
      <c r="H12" s="16">
        <f>1575+964+547.55</f>
        <v>3086.55</v>
      </c>
      <c r="I12" s="16">
        <v>4485.38</v>
      </c>
      <c r="J12" s="3">
        <f t="shared" ref="J12:J14" si="1">SUM(I442)</f>
        <v>50000</v>
      </c>
      <c r="K12" s="15" t="s">
        <v>31</v>
      </c>
      <c r="L12" s="15" t="s">
        <v>31</v>
      </c>
      <c r="M12" s="13"/>
      <c r="N12" s="17"/>
      <c r="O12" s="5"/>
      <c r="P12" s="5"/>
      <c r="Q12" s="5"/>
      <c r="R12" s="5"/>
      <c r="S12" s="5"/>
      <c r="T12" s="5"/>
      <c r="U12" s="5"/>
      <c r="V12" s="5"/>
      <c r="W12" s="5"/>
      <c r="X12" s="5"/>
      <c r="Y12" s="5"/>
      <c r="Z12" s="5"/>
      <c r="AA12" s="5"/>
      <c r="AB12" s="5"/>
      <c r="AC12" s="5"/>
      <c r="AD12" s="5"/>
      <c r="AE12" s="5"/>
      <c r="AF12" s="5"/>
    </row>
    <row r="13" spans="1:32" ht="12" customHeight="1">
      <c r="A13" s="1" t="s">
        <v>38</v>
      </c>
      <c r="B13" s="2" t="s">
        <v>33</v>
      </c>
      <c r="C13" s="8">
        <v>5</v>
      </c>
      <c r="D13" s="2" t="s">
        <v>34</v>
      </c>
      <c r="E13" s="8">
        <v>140</v>
      </c>
      <c r="F13" s="16">
        <v>96442</v>
      </c>
      <c r="G13" s="16">
        <v>17921.150000000001</v>
      </c>
      <c r="H13" s="5"/>
      <c r="I13" s="16"/>
      <c r="J13" s="3">
        <f t="shared" si="1"/>
        <v>0</v>
      </c>
      <c r="K13" s="15" t="s">
        <v>31</v>
      </c>
      <c r="L13" s="15" t="s">
        <v>31</v>
      </c>
      <c r="M13" s="13"/>
      <c r="N13" s="17"/>
      <c r="O13" s="5"/>
      <c r="P13" s="5"/>
      <c r="Q13" s="5"/>
      <c r="R13" s="5"/>
      <c r="S13" s="5"/>
      <c r="T13" s="5"/>
      <c r="U13" s="5"/>
      <c r="V13" s="5"/>
      <c r="W13" s="5"/>
      <c r="X13" s="5"/>
      <c r="Y13" s="5"/>
      <c r="Z13" s="5"/>
      <c r="AA13" s="5"/>
      <c r="AB13" s="5"/>
      <c r="AC13" s="5"/>
      <c r="AD13" s="5"/>
      <c r="AE13" s="5"/>
      <c r="AF13" s="5"/>
    </row>
    <row r="14" spans="1:32" ht="12" customHeight="1">
      <c r="A14" s="1" t="s">
        <v>39</v>
      </c>
      <c r="B14" s="2" t="s">
        <v>33</v>
      </c>
      <c r="C14" s="8">
        <v>6</v>
      </c>
      <c r="D14" s="2" t="s">
        <v>34</v>
      </c>
      <c r="E14" s="8">
        <v>150</v>
      </c>
      <c r="F14" s="16">
        <v>259.95</v>
      </c>
      <c r="G14" s="16"/>
      <c r="H14" s="16"/>
      <c r="I14" s="16"/>
      <c r="J14" s="3">
        <f t="shared" si="1"/>
        <v>0</v>
      </c>
      <c r="K14" s="15" t="s">
        <v>31</v>
      </c>
      <c r="L14" s="15" t="s">
        <v>31</v>
      </c>
      <c r="M14" s="13"/>
      <c r="N14" s="17"/>
      <c r="O14" s="5"/>
      <c r="P14" s="5"/>
      <c r="Q14" s="5"/>
      <c r="R14" s="5"/>
      <c r="S14" s="5"/>
      <c r="T14" s="5"/>
      <c r="U14" s="5"/>
      <c r="V14" s="5"/>
      <c r="W14" s="5"/>
      <c r="X14" s="5"/>
      <c r="Y14" s="5"/>
      <c r="Z14" s="5"/>
      <c r="AA14" s="5"/>
      <c r="AB14" s="5"/>
      <c r="AC14" s="5"/>
      <c r="AD14" s="5"/>
      <c r="AE14" s="5"/>
      <c r="AF14" s="5"/>
    </row>
    <row r="15" spans="1:32" ht="12" customHeight="1">
      <c r="A15" s="1" t="s">
        <v>40</v>
      </c>
      <c r="B15" s="2" t="s">
        <v>33</v>
      </c>
      <c r="C15" s="8">
        <v>7</v>
      </c>
      <c r="D15" s="2" t="s">
        <v>34</v>
      </c>
      <c r="E15" s="8">
        <v>160</v>
      </c>
      <c r="F15" s="15" t="s">
        <v>31</v>
      </c>
      <c r="G15" s="15" t="s">
        <v>31</v>
      </c>
      <c r="H15" s="15" t="s">
        <v>31</v>
      </c>
      <c r="I15" s="16"/>
      <c r="J15" s="15" t="s">
        <v>31</v>
      </c>
      <c r="K15" s="15" t="s">
        <v>31</v>
      </c>
      <c r="L15" s="15" t="s">
        <v>31</v>
      </c>
      <c r="M15" s="13"/>
      <c r="N15" s="17"/>
      <c r="O15" s="5"/>
      <c r="P15" s="5"/>
      <c r="Q15" s="5"/>
      <c r="R15" s="5"/>
      <c r="S15" s="5"/>
      <c r="T15" s="5"/>
      <c r="U15" s="5"/>
      <c r="V15" s="5"/>
      <c r="W15" s="5"/>
      <c r="X15" s="5"/>
      <c r="Y15" s="5"/>
      <c r="Z15" s="5"/>
      <c r="AA15" s="5"/>
      <c r="AB15" s="5"/>
      <c r="AC15" s="5"/>
      <c r="AD15" s="5"/>
      <c r="AE15" s="5"/>
      <c r="AF15" s="5"/>
    </row>
    <row r="16" spans="1:32" ht="12" customHeight="1">
      <c r="A16" s="1" t="s">
        <v>41</v>
      </c>
      <c r="B16" s="2" t="s">
        <v>33</v>
      </c>
      <c r="C16" s="8">
        <v>8</v>
      </c>
      <c r="D16" s="2" t="s">
        <v>34</v>
      </c>
      <c r="E16" s="8">
        <v>170</v>
      </c>
      <c r="F16" s="16"/>
      <c r="G16" s="16"/>
      <c r="H16" s="16"/>
      <c r="I16" s="16"/>
      <c r="J16" s="15" t="s">
        <v>31</v>
      </c>
      <c r="K16" s="15" t="s">
        <v>31</v>
      </c>
      <c r="L16" s="15" t="s">
        <v>31</v>
      </c>
      <c r="M16" s="13"/>
      <c r="N16" s="17"/>
      <c r="O16" s="5"/>
      <c r="P16" s="5"/>
      <c r="Q16" s="5"/>
      <c r="R16" s="5"/>
      <c r="S16" s="5"/>
      <c r="T16" s="5"/>
      <c r="U16" s="5"/>
      <c r="V16" s="5"/>
      <c r="W16" s="5"/>
      <c r="X16" s="5"/>
      <c r="Y16" s="5"/>
      <c r="Z16" s="5"/>
      <c r="AA16" s="5"/>
      <c r="AB16" s="5"/>
      <c r="AC16" s="5"/>
      <c r="AD16" s="5"/>
      <c r="AE16" s="5"/>
      <c r="AF16" s="5"/>
    </row>
    <row r="17" spans="1:32" ht="12" customHeight="1">
      <c r="A17" s="1" t="s">
        <v>42</v>
      </c>
      <c r="B17" s="2" t="s">
        <v>33</v>
      </c>
      <c r="C17" s="8">
        <v>9</v>
      </c>
      <c r="D17" s="2" t="s">
        <v>34</v>
      </c>
      <c r="E17" s="8">
        <v>180</v>
      </c>
      <c r="F17" s="16"/>
      <c r="G17" s="16"/>
      <c r="H17" s="16"/>
      <c r="I17" s="16"/>
      <c r="J17" s="3">
        <f t="shared" ref="J17:J18" si="2">SUM(I445)</f>
        <v>0</v>
      </c>
      <c r="K17" s="15" t="s">
        <v>31</v>
      </c>
      <c r="L17" s="15" t="s">
        <v>31</v>
      </c>
      <c r="M17" s="13"/>
      <c r="N17" s="17"/>
      <c r="O17" s="5"/>
      <c r="P17" s="5"/>
      <c r="Q17" s="5"/>
      <c r="R17" s="5"/>
      <c r="S17" s="5"/>
      <c r="T17" s="5"/>
      <c r="U17" s="5"/>
      <c r="V17" s="5"/>
      <c r="W17" s="5"/>
      <c r="X17" s="5"/>
      <c r="Y17" s="5"/>
      <c r="Z17" s="5"/>
      <c r="AA17" s="5"/>
      <c r="AB17" s="5"/>
      <c r="AC17" s="5"/>
      <c r="AD17" s="5"/>
      <c r="AE17" s="5"/>
      <c r="AF17" s="5"/>
    </row>
    <row r="18" spans="1:32" ht="12" customHeight="1">
      <c r="A18" s="1" t="s">
        <v>43</v>
      </c>
      <c r="B18" s="2" t="s">
        <v>33</v>
      </c>
      <c r="C18" s="8">
        <v>10</v>
      </c>
      <c r="D18" s="2" t="s">
        <v>34</v>
      </c>
      <c r="E18" s="8">
        <v>190</v>
      </c>
      <c r="F18" s="16"/>
      <c r="G18" s="16"/>
      <c r="H18" s="18"/>
      <c r="I18" s="16"/>
      <c r="J18" s="3">
        <f t="shared" si="2"/>
        <v>0</v>
      </c>
      <c r="K18" s="15" t="s">
        <v>31</v>
      </c>
      <c r="L18" s="15" t="s">
        <v>31</v>
      </c>
      <c r="M18" s="13"/>
      <c r="N18" s="17"/>
      <c r="O18" s="5"/>
      <c r="P18" s="5"/>
      <c r="Q18" s="5"/>
      <c r="R18" s="5"/>
      <c r="S18" s="5"/>
      <c r="T18" s="5"/>
      <c r="U18" s="5"/>
      <c r="V18" s="5"/>
      <c r="W18" s="5"/>
      <c r="X18" s="5"/>
      <c r="Y18" s="5"/>
      <c r="Z18" s="5"/>
      <c r="AA18" s="5"/>
      <c r="AB18" s="5"/>
      <c r="AC18" s="5"/>
      <c r="AD18" s="5"/>
      <c r="AE18" s="5"/>
      <c r="AF18" s="5"/>
    </row>
    <row r="19" spans="1:32" ht="12" customHeight="1">
      <c r="A19" s="19" t="s">
        <v>44</v>
      </c>
      <c r="B19" s="20" t="s">
        <v>33</v>
      </c>
      <c r="C19" s="21">
        <v>11</v>
      </c>
      <c r="D19" s="20" t="s">
        <v>34</v>
      </c>
      <c r="E19" s="20"/>
      <c r="F19" s="22">
        <f t="shared" ref="F19:J19" si="3">SUM(F9:F18)</f>
        <v>425140.05</v>
      </c>
      <c r="G19" s="22">
        <f t="shared" si="3"/>
        <v>29232.57</v>
      </c>
      <c r="H19" s="22">
        <f t="shared" si="3"/>
        <v>3086.55</v>
      </c>
      <c r="I19" s="22">
        <f t="shared" si="3"/>
        <v>4485.38</v>
      </c>
      <c r="J19" s="22">
        <f t="shared" si="3"/>
        <v>250532.50999999998</v>
      </c>
      <c r="K19" s="23" t="s">
        <v>31</v>
      </c>
      <c r="L19" s="23" t="s">
        <v>31</v>
      </c>
      <c r="M19" s="13"/>
      <c r="N19" s="17"/>
      <c r="O19" s="5"/>
      <c r="P19" s="5"/>
      <c r="Q19" s="5"/>
      <c r="R19" s="5"/>
      <c r="S19" s="5"/>
      <c r="T19" s="5"/>
      <c r="U19" s="5"/>
      <c r="V19" s="5"/>
      <c r="W19" s="5"/>
      <c r="X19" s="5"/>
      <c r="Y19" s="5"/>
      <c r="Z19" s="5"/>
      <c r="AA19" s="5"/>
      <c r="AB19" s="5"/>
      <c r="AC19" s="5"/>
      <c r="AD19" s="5"/>
      <c r="AE19" s="5"/>
      <c r="AF19" s="5"/>
    </row>
    <row r="20" spans="1:32" ht="12" customHeight="1">
      <c r="A20" s="1" t="s">
        <v>45</v>
      </c>
      <c r="B20" s="5"/>
      <c r="C20" s="24"/>
      <c r="D20" s="5"/>
      <c r="E20" s="5"/>
      <c r="F20" s="3"/>
      <c r="G20" s="3"/>
      <c r="H20" s="3"/>
      <c r="I20" s="3"/>
      <c r="J20" s="3"/>
      <c r="K20" s="3"/>
      <c r="L20" s="3"/>
      <c r="M20" s="13"/>
      <c r="N20" s="17"/>
      <c r="O20" s="5"/>
      <c r="P20" s="5"/>
      <c r="Q20" s="5"/>
      <c r="R20" s="5"/>
      <c r="S20" s="5"/>
      <c r="T20" s="5"/>
      <c r="U20" s="5"/>
      <c r="V20" s="5"/>
      <c r="W20" s="5"/>
      <c r="X20" s="5"/>
      <c r="Y20" s="5"/>
      <c r="Z20" s="5"/>
      <c r="AA20" s="5"/>
      <c r="AB20" s="5"/>
      <c r="AC20" s="5"/>
      <c r="AD20" s="5"/>
      <c r="AE20" s="5"/>
      <c r="AF20" s="5"/>
    </row>
    <row r="21" spans="1:32" ht="12" customHeight="1">
      <c r="A21" s="14" t="s">
        <v>46</v>
      </c>
      <c r="B21" s="11"/>
      <c r="C21" s="2"/>
      <c r="D21" s="11"/>
      <c r="E21" s="11"/>
      <c r="F21" s="15" t="s">
        <v>31</v>
      </c>
      <c r="G21" s="15" t="s">
        <v>31</v>
      </c>
      <c r="H21" s="15" t="s">
        <v>31</v>
      </c>
      <c r="I21" s="15" t="s">
        <v>31</v>
      </c>
      <c r="J21" s="15" t="s">
        <v>31</v>
      </c>
      <c r="K21" s="15" t="s">
        <v>31</v>
      </c>
      <c r="L21" s="15" t="s">
        <v>31</v>
      </c>
      <c r="M21" s="13"/>
      <c r="N21" s="17"/>
      <c r="O21" s="5"/>
      <c r="P21" s="5"/>
      <c r="Q21" s="5"/>
      <c r="R21" s="5"/>
      <c r="S21" s="5"/>
      <c r="T21" s="5"/>
      <c r="U21" s="5"/>
      <c r="V21" s="5"/>
      <c r="W21" s="5"/>
      <c r="X21" s="5"/>
      <c r="Y21" s="5"/>
      <c r="Z21" s="5"/>
      <c r="AA21" s="5"/>
      <c r="AB21" s="5"/>
      <c r="AC21" s="5"/>
      <c r="AD21" s="5"/>
      <c r="AE21" s="5"/>
      <c r="AF21" s="5"/>
    </row>
    <row r="22" spans="1:32" ht="12" customHeight="1">
      <c r="A22" s="1" t="s">
        <v>47</v>
      </c>
      <c r="B22" s="2" t="s">
        <v>33</v>
      </c>
      <c r="C22" s="8">
        <v>12</v>
      </c>
      <c r="D22" s="2" t="s">
        <v>48</v>
      </c>
      <c r="E22" s="8">
        <v>400</v>
      </c>
      <c r="F22" s="16">
        <v>11311.42</v>
      </c>
      <c r="G22" s="16">
        <v>27361.87</v>
      </c>
      <c r="H22" s="16">
        <f>627.26+1575+804.29+80</f>
        <v>3086.55</v>
      </c>
      <c r="I22" s="16"/>
      <c r="J22" s="3">
        <f t="shared" ref="J22:J24" si="4">SUM(I449)</f>
        <v>0</v>
      </c>
      <c r="K22" s="15" t="s">
        <v>31</v>
      </c>
      <c r="L22" s="15" t="s">
        <v>31</v>
      </c>
      <c r="M22" s="13"/>
      <c r="N22" s="17"/>
      <c r="O22" s="5"/>
      <c r="P22" s="5"/>
      <c r="Q22" s="5"/>
      <c r="R22" s="5"/>
      <c r="S22" s="5"/>
      <c r="T22" s="5"/>
      <c r="U22" s="5"/>
      <c r="V22" s="5"/>
      <c r="W22" s="5"/>
      <c r="X22" s="5"/>
      <c r="Y22" s="5"/>
      <c r="Z22" s="5"/>
      <c r="AA22" s="5"/>
      <c r="AB22" s="5"/>
      <c r="AC22" s="5"/>
      <c r="AD22" s="5"/>
      <c r="AE22" s="5"/>
      <c r="AF22" s="5"/>
    </row>
    <row r="23" spans="1:32" ht="12" customHeight="1">
      <c r="A23" s="1" t="s">
        <v>49</v>
      </c>
      <c r="B23" s="2" t="s">
        <v>33</v>
      </c>
      <c r="C23" s="8">
        <v>13</v>
      </c>
      <c r="D23" s="2" t="s">
        <v>48</v>
      </c>
      <c r="E23" s="8">
        <v>410</v>
      </c>
      <c r="F23" s="16"/>
      <c r="G23" s="16"/>
      <c r="H23" s="16"/>
      <c r="I23" s="16"/>
      <c r="J23" s="3">
        <f t="shared" si="4"/>
        <v>0</v>
      </c>
      <c r="K23" s="15" t="s">
        <v>31</v>
      </c>
      <c r="L23" s="15" t="s">
        <v>31</v>
      </c>
      <c r="M23" s="13"/>
      <c r="N23" s="17"/>
      <c r="O23" s="5"/>
      <c r="P23" s="5"/>
      <c r="Q23" s="5"/>
      <c r="R23" s="5"/>
      <c r="S23" s="5"/>
      <c r="T23" s="5"/>
      <c r="U23" s="5"/>
      <c r="V23" s="5"/>
      <c r="W23" s="5"/>
      <c r="X23" s="5"/>
      <c r="Y23" s="5"/>
      <c r="Z23" s="5"/>
      <c r="AA23" s="5"/>
      <c r="AB23" s="5"/>
      <c r="AC23" s="5"/>
      <c r="AD23" s="5"/>
      <c r="AE23" s="5"/>
      <c r="AF23" s="5"/>
    </row>
    <row r="24" spans="1:32" ht="12" customHeight="1">
      <c r="A24" s="1" t="s">
        <v>50</v>
      </c>
      <c r="B24" s="2" t="s">
        <v>33</v>
      </c>
      <c r="C24" s="8">
        <v>14</v>
      </c>
      <c r="D24" s="2" t="s">
        <v>48</v>
      </c>
      <c r="E24" s="8">
        <v>420</v>
      </c>
      <c r="F24" s="16">
        <f>65133.29</f>
        <v>65133.29</v>
      </c>
      <c r="G24" s="16"/>
      <c r="H24" s="16"/>
      <c r="I24" s="16"/>
      <c r="J24" s="3">
        <f t="shared" si="4"/>
        <v>0</v>
      </c>
      <c r="K24" s="15" t="s">
        <v>31</v>
      </c>
      <c r="L24" s="15" t="s">
        <v>31</v>
      </c>
      <c r="M24" s="13"/>
      <c r="N24" s="17"/>
      <c r="O24" s="5"/>
      <c r="P24" s="5"/>
      <c r="Q24" s="5"/>
      <c r="R24" s="5"/>
      <c r="S24" s="5"/>
      <c r="T24" s="5"/>
      <c r="U24" s="5"/>
      <c r="V24" s="5"/>
      <c r="W24" s="5"/>
      <c r="X24" s="5"/>
      <c r="Y24" s="5"/>
      <c r="Z24" s="5"/>
      <c r="AA24" s="5"/>
      <c r="AB24" s="5"/>
      <c r="AC24" s="5"/>
      <c r="AD24" s="5"/>
      <c r="AE24" s="5"/>
      <c r="AF24" s="5"/>
    </row>
    <row r="25" spans="1:32" ht="12" customHeight="1">
      <c r="A25" s="1" t="s">
        <v>51</v>
      </c>
      <c r="B25" s="2" t="s">
        <v>33</v>
      </c>
      <c r="C25" s="8">
        <v>15</v>
      </c>
      <c r="D25" s="2" t="s">
        <v>48</v>
      </c>
      <c r="E25" s="8">
        <v>430</v>
      </c>
      <c r="F25" s="16"/>
      <c r="G25" s="18"/>
      <c r="H25" s="16"/>
      <c r="I25" s="16"/>
      <c r="J25" s="15" t="s">
        <v>31</v>
      </c>
      <c r="K25" s="15" t="s">
        <v>31</v>
      </c>
      <c r="L25" s="15" t="s">
        <v>31</v>
      </c>
      <c r="M25" s="13"/>
      <c r="N25" s="17"/>
      <c r="O25" s="5"/>
      <c r="P25" s="5"/>
      <c r="Q25" s="5"/>
      <c r="R25" s="5"/>
      <c r="S25" s="5"/>
      <c r="T25" s="5"/>
      <c r="U25" s="5"/>
      <c r="V25" s="5"/>
      <c r="W25" s="5"/>
      <c r="X25" s="5"/>
      <c r="Y25" s="5"/>
      <c r="Z25" s="5"/>
      <c r="AA25" s="5"/>
      <c r="AB25" s="5"/>
      <c r="AC25" s="5"/>
      <c r="AD25" s="5"/>
      <c r="AE25" s="5"/>
      <c r="AF25" s="5"/>
    </row>
    <row r="26" spans="1:32" ht="12" customHeight="1">
      <c r="A26" s="1" t="s">
        <v>52</v>
      </c>
      <c r="B26" s="2" t="s">
        <v>33</v>
      </c>
      <c r="C26" s="8">
        <v>16</v>
      </c>
      <c r="D26" s="2" t="s">
        <v>48</v>
      </c>
      <c r="E26" s="8">
        <v>440</v>
      </c>
      <c r="F26" s="16"/>
      <c r="G26" s="15" t="s">
        <v>31</v>
      </c>
      <c r="H26" s="15" t="s">
        <v>31</v>
      </c>
      <c r="I26" s="16"/>
      <c r="J26" s="15" t="s">
        <v>31</v>
      </c>
      <c r="K26" s="15" t="s">
        <v>31</v>
      </c>
      <c r="L26" s="15" t="s">
        <v>31</v>
      </c>
      <c r="M26" s="13"/>
      <c r="N26" s="17"/>
      <c r="O26" s="5"/>
      <c r="P26" s="5"/>
      <c r="Q26" s="5"/>
      <c r="R26" s="5"/>
      <c r="S26" s="5"/>
      <c r="T26" s="5"/>
      <c r="U26" s="5"/>
      <c r="V26" s="5"/>
      <c r="W26" s="5"/>
      <c r="X26" s="5"/>
      <c r="Y26" s="5"/>
      <c r="Z26" s="5"/>
      <c r="AA26" s="5"/>
      <c r="AB26" s="5"/>
      <c r="AC26" s="5"/>
      <c r="AD26" s="5"/>
      <c r="AE26" s="5"/>
      <c r="AF26" s="5"/>
    </row>
    <row r="27" spans="1:32" ht="12" customHeight="1">
      <c r="A27" s="1" t="s">
        <v>53</v>
      </c>
      <c r="B27" s="2" t="s">
        <v>33</v>
      </c>
      <c r="C27" s="8">
        <v>17</v>
      </c>
      <c r="D27" s="2" t="s">
        <v>48</v>
      </c>
      <c r="E27" s="8">
        <v>450</v>
      </c>
      <c r="F27" s="16"/>
      <c r="G27" s="15" t="s">
        <v>31</v>
      </c>
      <c r="H27" s="15" t="s">
        <v>31</v>
      </c>
      <c r="I27" s="16"/>
      <c r="J27" s="15" t="s">
        <v>31</v>
      </c>
      <c r="K27" s="15" t="s">
        <v>31</v>
      </c>
      <c r="L27" s="15" t="s">
        <v>31</v>
      </c>
      <c r="M27" s="13"/>
      <c r="N27" s="17"/>
      <c r="O27" s="5"/>
      <c r="P27" s="5"/>
      <c r="Q27" s="5"/>
      <c r="R27" s="5"/>
      <c r="S27" s="5"/>
      <c r="T27" s="5"/>
      <c r="U27" s="5"/>
      <c r="V27" s="5"/>
      <c r="W27" s="5"/>
      <c r="X27" s="5"/>
      <c r="Y27" s="5"/>
      <c r="Z27" s="5"/>
      <c r="AA27" s="5"/>
      <c r="AB27" s="5"/>
      <c r="AC27" s="5"/>
      <c r="AD27" s="5"/>
      <c r="AE27" s="5"/>
      <c r="AF27" s="5"/>
    </row>
    <row r="28" spans="1:32" ht="12" customHeight="1">
      <c r="A28" s="1" t="s">
        <v>54</v>
      </c>
      <c r="B28" s="2" t="s">
        <v>33</v>
      </c>
      <c r="C28" s="8">
        <v>18</v>
      </c>
      <c r="D28" s="2" t="s">
        <v>48</v>
      </c>
      <c r="E28" s="8">
        <v>460</v>
      </c>
      <c r="F28" s="16"/>
      <c r="G28" s="16"/>
      <c r="H28" s="16"/>
      <c r="I28" s="16"/>
      <c r="J28" s="15" t="s">
        <v>31</v>
      </c>
      <c r="K28" s="15" t="s">
        <v>31</v>
      </c>
      <c r="L28" s="15" t="s">
        <v>31</v>
      </c>
      <c r="M28" s="13"/>
      <c r="N28" s="17"/>
      <c r="O28" s="5"/>
      <c r="P28" s="5"/>
      <c r="Q28" s="5"/>
      <c r="R28" s="5"/>
      <c r="S28" s="5"/>
      <c r="T28" s="5"/>
      <c r="U28" s="5"/>
      <c r="V28" s="5"/>
      <c r="W28" s="5"/>
      <c r="X28" s="5"/>
      <c r="Y28" s="5"/>
      <c r="Z28" s="5"/>
      <c r="AA28" s="5"/>
      <c r="AB28" s="5"/>
      <c r="AC28" s="5"/>
      <c r="AD28" s="5"/>
      <c r="AE28" s="5"/>
      <c r="AF28" s="5"/>
    </row>
    <row r="29" spans="1:32" ht="12" customHeight="1">
      <c r="A29" s="1" t="s">
        <v>55</v>
      </c>
      <c r="B29" s="2" t="s">
        <v>33</v>
      </c>
      <c r="C29" s="8">
        <v>19</v>
      </c>
      <c r="D29" s="2" t="s">
        <v>48</v>
      </c>
      <c r="E29" s="8">
        <v>470</v>
      </c>
      <c r="F29" s="16">
        <f>3342.76-675.96</f>
        <v>2666.8</v>
      </c>
      <c r="G29" s="16"/>
      <c r="H29" s="16"/>
      <c r="I29" s="16"/>
      <c r="J29" s="15" t="s">
        <v>31</v>
      </c>
      <c r="K29" s="15" t="s">
        <v>31</v>
      </c>
      <c r="L29" s="15" t="s">
        <v>31</v>
      </c>
      <c r="M29" s="13"/>
      <c r="N29" s="17"/>
      <c r="O29" s="5"/>
      <c r="P29" s="5"/>
      <c r="Q29" s="5"/>
      <c r="R29" s="5"/>
      <c r="S29" s="5"/>
      <c r="T29" s="5"/>
      <c r="U29" s="5"/>
      <c r="V29" s="5"/>
      <c r="W29" s="5"/>
      <c r="X29" s="5"/>
      <c r="Y29" s="5"/>
      <c r="Z29" s="5"/>
      <c r="AA29" s="5"/>
      <c r="AB29" s="5"/>
      <c r="AC29" s="5"/>
      <c r="AD29" s="5"/>
      <c r="AE29" s="5"/>
      <c r="AF29" s="5"/>
    </row>
    <row r="30" spans="1:32" ht="12" customHeight="1">
      <c r="A30" s="1" t="s">
        <v>56</v>
      </c>
      <c r="B30" s="2" t="s">
        <v>33</v>
      </c>
      <c r="C30" s="8">
        <v>20</v>
      </c>
      <c r="D30" s="2" t="s">
        <v>48</v>
      </c>
      <c r="E30" s="8">
        <v>480</v>
      </c>
      <c r="F30" s="16"/>
      <c r="G30" s="16">
        <v>1193.7</v>
      </c>
      <c r="H30" s="16"/>
      <c r="I30" s="16"/>
      <c r="J30" s="15" t="s">
        <v>31</v>
      </c>
      <c r="K30" s="15" t="s">
        <v>31</v>
      </c>
      <c r="L30" s="15" t="s">
        <v>31</v>
      </c>
      <c r="M30" s="13"/>
      <c r="N30" s="17"/>
      <c r="O30" s="5"/>
      <c r="P30" s="5"/>
      <c r="Q30" s="5"/>
      <c r="R30" s="5"/>
      <c r="S30" s="5"/>
      <c r="T30" s="5"/>
      <c r="U30" s="5"/>
      <c r="V30" s="5"/>
      <c r="W30" s="5"/>
      <c r="X30" s="5"/>
      <c r="Y30" s="5"/>
      <c r="Z30" s="5"/>
      <c r="AA30" s="5"/>
      <c r="AB30" s="5"/>
      <c r="AC30" s="5"/>
      <c r="AD30" s="5"/>
      <c r="AE30" s="5"/>
      <c r="AF30" s="5"/>
    </row>
    <row r="31" spans="1:32" ht="12" customHeight="1">
      <c r="A31" s="1" t="s">
        <v>57</v>
      </c>
      <c r="B31" s="2" t="s">
        <v>33</v>
      </c>
      <c r="C31" s="8">
        <v>21</v>
      </c>
      <c r="D31" s="2" t="s">
        <v>48</v>
      </c>
      <c r="E31" s="8">
        <v>490</v>
      </c>
      <c r="F31" s="16"/>
      <c r="G31" s="16"/>
      <c r="H31" s="16"/>
      <c r="I31" s="16"/>
      <c r="J31" s="3">
        <f>SUM(I452)</f>
        <v>0</v>
      </c>
      <c r="K31" s="15" t="s">
        <v>31</v>
      </c>
      <c r="L31" s="15" t="s">
        <v>31</v>
      </c>
      <c r="M31" s="13"/>
      <c r="N31" s="17"/>
      <c r="O31" s="5"/>
      <c r="P31" s="5"/>
      <c r="Q31" s="5"/>
      <c r="R31" s="5"/>
      <c r="S31" s="5"/>
      <c r="T31" s="5"/>
      <c r="U31" s="5"/>
      <c r="V31" s="5"/>
      <c r="W31" s="5"/>
      <c r="X31" s="5"/>
      <c r="Y31" s="5"/>
      <c r="Z31" s="5"/>
      <c r="AA31" s="5"/>
      <c r="AB31" s="5"/>
      <c r="AC31" s="5"/>
      <c r="AD31" s="5"/>
      <c r="AE31" s="5"/>
      <c r="AF31" s="5"/>
    </row>
    <row r="32" spans="1:32" ht="12" customHeight="1">
      <c r="A32" s="19" t="s">
        <v>58</v>
      </c>
      <c r="B32" s="20" t="s">
        <v>33</v>
      </c>
      <c r="C32" s="21">
        <v>22</v>
      </c>
      <c r="D32" s="20" t="s">
        <v>48</v>
      </c>
      <c r="E32" s="20"/>
      <c r="F32" s="22">
        <f t="shared" ref="F32:J32" si="5">SUM(F22:F31)</f>
        <v>79111.510000000009</v>
      </c>
      <c r="G32" s="22">
        <f t="shared" si="5"/>
        <v>28555.57</v>
      </c>
      <c r="H32" s="22">
        <f t="shared" si="5"/>
        <v>3086.55</v>
      </c>
      <c r="I32" s="22">
        <f t="shared" si="5"/>
        <v>0</v>
      </c>
      <c r="J32" s="22">
        <f t="shared" si="5"/>
        <v>0</v>
      </c>
      <c r="K32" s="23" t="s">
        <v>31</v>
      </c>
      <c r="L32" s="23" t="s">
        <v>31</v>
      </c>
      <c r="M32" s="13"/>
      <c r="N32" s="17"/>
      <c r="O32" s="5"/>
      <c r="P32" s="5"/>
      <c r="Q32" s="5"/>
      <c r="R32" s="5"/>
      <c r="S32" s="5"/>
      <c r="T32" s="5"/>
      <c r="U32" s="5"/>
      <c r="V32" s="5"/>
      <c r="W32" s="5"/>
      <c r="X32" s="5"/>
      <c r="Y32" s="5"/>
      <c r="Z32" s="5"/>
      <c r="AA32" s="5"/>
      <c r="AB32" s="5"/>
      <c r="AC32" s="5"/>
      <c r="AD32" s="5"/>
      <c r="AE32" s="5"/>
      <c r="AF32" s="5"/>
    </row>
    <row r="33" spans="1:32" ht="12" customHeight="1">
      <c r="A33" s="14" t="s">
        <v>59</v>
      </c>
      <c r="B33" s="1" t="s">
        <v>60</v>
      </c>
      <c r="C33" s="2" t="s">
        <v>61</v>
      </c>
      <c r="D33" s="2"/>
      <c r="E33" s="2"/>
      <c r="F33" s="15" t="s">
        <v>31</v>
      </c>
      <c r="G33" s="15" t="s">
        <v>31</v>
      </c>
      <c r="H33" s="15" t="s">
        <v>31</v>
      </c>
      <c r="I33" s="15" t="s">
        <v>31</v>
      </c>
      <c r="J33" s="15" t="s">
        <v>31</v>
      </c>
      <c r="K33" s="15" t="s">
        <v>31</v>
      </c>
      <c r="L33" s="15" t="s">
        <v>31</v>
      </c>
      <c r="M33" s="13"/>
      <c r="N33" s="17"/>
      <c r="O33" s="5"/>
      <c r="P33" s="5"/>
      <c r="Q33" s="5"/>
      <c r="R33" s="5"/>
      <c r="S33" s="5"/>
      <c r="T33" s="5"/>
      <c r="U33" s="5"/>
      <c r="V33" s="5"/>
      <c r="W33" s="5"/>
      <c r="X33" s="5"/>
      <c r="Y33" s="5"/>
      <c r="Z33" s="5"/>
      <c r="AA33" s="5"/>
      <c r="AB33" s="5"/>
      <c r="AC33" s="5"/>
      <c r="AD33" s="5"/>
      <c r="AE33" s="5"/>
      <c r="AF33" s="5"/>
    </row>
    <row r="34" spans="1:32" ht="12" customHeight="1">
      <c r="A34" s="14" t="s">
        <v>62</v>
      </c>
      <c r="B34" s="1"/>
      <c r="C34" s="2"/>
      <c r="D34" s="2"/>
      <c r="E34" s="2"/>
      <c r="F34" s="15" t="s">
        <v>31</v>
      </c>
      <c r="G34" s="15" t="s">
        <v>31</v>
      </c>
      <c r="H34" s="15" t="s">
        <v>31</v>
      </c>
      <c r="I34" s="15" t="s">
        <v>31</v>
      </c>
      <c r="J34" s="15" t="s">
        <v>31</v>
      </c>
      <c r="K34" s="15" t="s">
        <v>31</v>
      </c>
      <c r="L34" s="15" t="s">
        <v>31</v>
      </c>
      <c r="M34" s="13"/>
      <c r="N34" s="17"/>
      <c r="O34" s="5"/>
      <c r="P34" s="5"/>
      <c r="Q34" s="5"/>
      <c r="R34" s="5"/>
      <c r="S34" s="5"/>
      <c r="T34" s="5"/>
      <c r="U34" s="5"/>
      <c r="V34" s="5"/>
      <c r="W34" s="5"/>
      <c r="X34" s="5"/>
      <c r="Y34" s="5"/>
      <c r="Z34" s="5"/>
      <c r="AA34" s="5"/>
      <c r="AB34" s="5"/>
      <c r="AC34" s="5"/>
      <c r="AD34" s="5"/>
      <c r="AE34" s="5"/>
      <c r="AF34" s="5"/>
    </row>
    <row r="35" spans="1:32" ht="12" customHeight="1">
      <c r="A35" s="1" t="s">
        <v>63</v>
      </c>
      <c r="B35" s="8">
        <v>1</v>
      </c>
      <c r="C35" s="8">
        <v>23</v>
      </c>
      <c r="D35" s="2" t="s">
        <v>64</v>
      </c>
      <c r="E35" s="8">
        <v>751</v>
      </c>
      <c r="F35" s="16"/>
      <c r="G35" s="16"/>
      <c r="H35" s="16"/>
      <c r="I35" s="16"/>
      <c r="J35" s="15" t="s">
        <v>31</v>
      </c>
      <c r="K35" s="15" t="s">
        <v>31</v>
      </c>
      <c r="L35" s="15" t="s">
        <v>31</v>
      </c>
      <c r="M35" s="13"/>
      <c r="N35" s="17"/>
      <c r="O35" s="5"/>
      <c r="P35" s="5"/>
      <c r="Q35" s="5"/>
      <c r="R35" s="5"/>
      <c r="S35" s="5"/>
      <c r="T35" s="5"/>
      <c r="U35" s="5"/>
      <c r="V35" s="5"/>
      <c r="W35" s="5"/>
      <c r="X35" s="5"/>
      <c r="Y35" s="5"/>
      <c r="Z35" s="5"/>
      <c r="AA35" s="5"/>
      <c r="AB35" s="5"/>
      <c r="AC35" s="5"/>
      <c r="AD35" s="5"/>
      <c r="AE35" s="5"/>
      <c r="AF35" s="5"/>
    </row>
    <row r="36" spans="1:32" ht="12" customHeight="1">
      <c r="A36" s="1" t="s">
        <v>65</v>
      </c>
      <c r="B36" s="8">
        <v>1</v>
      </c>
      <c r="C36" s="8">
        <v>24</v>
      </c>
      <c r="D36" s="2" t="s">
        <v>64</v>
      </c>
      <c r="E36" s="8">
        <v>752</v>
      </c>
      <c r="F36" s="16"/>
      <c r="G36" s="16"/>
      <c r="H36" s="16"/>
      <c r="I36" s="16"/>
      <c r="J36" s="15" t="s">
        <v>31</v>
      </c>
      <c r="K36" s="15" t="s">
        <v>31</v>
      </c>
      <c r="L36" s="15" t="s">
        <v>31</v>
      </c>
      <c r="M36" s="13"/>
      <c r="N36" s="17"/>
      <c r="O36" s="5"/>
      <c r="P36" s="5"/>
      <c r="Q36" s="5"/>
      <c r="R36" s="5"/>
      <c r="S36" s="5"/>
      <c r="T36" s="5"/>
      <c r="U36" s="5"/>
      <c r="V36" s="5"/>
      <c r="W36" s="5"/>
      <c r="X36" s="5"/>
      <c r="Y36" s="5"/>
      <c r="Z36" s="5"/>
      <c r="AA36" s="5"/>
      <c r="AB36" s="5"/>
      <c r="AC36" s="5"/>
      <c r="AD36" s="5"/>
      <c r="AE36" s="5"/>
      <c r="AF36" s="5"/>
    </row>
    <row r="37" spans="1:32" ht="12" customHeight="1">
      <c r="A37" s="1" t="s">
        <v>66</v>
      </c>
      <c r="B37" s="8">
        <v>1</v>
      </c>
      <c r="C37" s="8">
        <v>25</v>
      </c>
      <c r="D37" s="2" t="s">
        <v>64</v>
      </c>
      <c r="E37" s="8">
        <v>756</v>
      </c>
      <c r="F37" s="16"/>
      <c r="G37" s="16"/>
      <c r="H37" s="16"/>
      <c r="I37" s="16"/>
      <c r="J37" s="3">
        <f>I458</f>
        <v>0</v>
      </c>
      <c r="K37" s="15" t="s">
        <v>31</v>
      </c>
      <c r="L37" s="15" t="s">
        <v>31</v>
      </c>
      <c r="M37" s="13"/>
      <c r="N37" s="17"/>
      <c r="O37" s="5"/>
      <c r="P37" s="5"/>
      <c r="Q37" s="5"/>
      <c r="R37" s="5"/>
      <c r="S37" s="5"/>
      <c r="T37" s="5"/>
      <c r="U37" s="5"/>
      <c r="V37" s="5"/>
      <c r="W37" s="5"/>
      <c r="X37" s="5"/>
      <c r="Y37" s="5"/>
      <c r="Z37" s="5"/>
      <c r="AA37" s="5"/>
      <c r="AB37" s="5"/>
      <c r="AC37" s="5"/>
      <c r="AD37" s="5"/>
      <c r="AE37" s="5"/>
      <c r="AF37" s="5"/>
    </row>
    <row r="38" spans="1:32" ht="12" customHeight="1">
      <c r="A38" s="14" t="s">
        <v>67</v>
      </c>
      <c r="B38" s="8"/>
      <c r="C38" s="8"/>
      <c r="D38" s="2"/>
      <c r="E38" s="8"/>
      <c r="F38" s="15" t="s">
        <v>31</v>
      </c>
      <c r="G38" s="15" t="s">
        <v>31</v>
      </c>
      <c r="H38" s="15" t="s">
        <v>31</v>
      </c>
      <c r="I38" s="15" t="s">
        <v>31</v>
      </c>
      <c r="J38" s="15" t="s">
        <v>31</v>
      </c>
      <c r="K38" s="15" t="s">
        <v>31</v>
      </c>
      <c r="L38" s="15" t="s">
        <v>31</v>
      </c>
      <c r="M38" s="13"/>
      <c r="N38" s="17"/>
      <c r="O38" s="5"/>
      <c r="P38" s="5"/>
      <c r="Q38" s="5"/>
      <c r="R38" s="5"/>
      <c r="S38" s="5"/>
      <c r="T38" s="5"/>
      <c r="U38" s="5"/>
      <c r="V38" s="5"/>
      <c r="W38" s="5"/>
      <c r="X38" s="5"/>
      <c r="Y38" s="5"/>
      <c r="Z38" s="5"/>
      <c r="AA38" s="5"/>
      <c r="AB38" s="5"/>
      <c r="AC38" s="5"/>
      <c r="AD38" s="5"/>
      <c r="AE38" s="5"/>
      <c r="AF38" s="5"/>
    </row>
    <row r="39" spans="1:32" ht="12" customHeight="1">
      <c r="A39" s="1" t="s">
        <v>68</v>
      </c>
      <c r="B39" s="8">
        <v>1</v>
      </c>
      <c r="C39" s="8">
        <v>26</v>
      </c>
      <c r="D39" s="2"/>
      <c r="E39" s="8">
        <v>756</v>
      </c>
      <c r="F39" s="16"/>
      <c r="G39" s="16"/>
      <c r="H39" s="16"/>
      <c r="I39" s="16"/>
      <c r="J39" s="3">
        <f>I459</f>
        <v>0</v>
      </c>
      <c r="K39" s="15" t="s">
        <v>31</v>
      </c>
      <c r="L39" s="15" t="s">
        <v>31</v>
      </c>
      <c r="M39" s="13"/>
      <c r="N39" s="17"/>
      <c r="O39" s="5"/>
      <c r="P39" s="5"/>
      <c r="Q39" s="5"/>
      <c r="R39" s="5"/>
      <c r="S39" s="5"/>
      <c r="T39" s="5"/>
      <c r="U39" s="5"/>
      <c r="V39" s="5"/>
      <c r="W39" s="5"/>
      <c r="X39" s="5"/>
      <c r="Y39" s="5"/>
      <c r="Z39" s="5"/>
      <c r="AA39" s="5"/>
      <c r="AB39" s="5"/>
      <c r="AC39" s="5"/>
      <c r="AD39" s="5"/>
      <c r="AE39" s="5"/>
      <c r="AF39" s="5"/>
    </row>
    <row r="40" spans="1:32" ht="12" customHeight="1">
      <c r="A40" s="1" t="s">
        <v>69</v>
      </c>
      <c r="B40" s="8">
        <v>1</v>
      </c>
      <c r="C40" s="8">
        <v>27</v>
      </c>
      <c r="D40" s="2"/>
      <c r="E40" s="8"/>
      <c r="F40" s="15" t="s">
        <v>31</v>
      </c>
      <c r="G40" s="16"/>
      <c r="H40" s="15" t="s">
        <v>31</v>
      </c>
      <c r="I40" s="15" t="s">
        <v>31</v>
      </c>
      <c r="J40" s="15" t="s">
        <v>31</v>
      </c>
      <c r="K40" s="15" t="s">
        <v>31</v>
      </c>
      <c r="L40" s="15" t="s">
        <v>31</v>
      </c>
      <c r="M40" s="13"/>
      <c r="N40" s="17"/>
      <c r="O40" s="5"/>
      <c r="P40" s="5"/>
      <c r="Q40" s="5"/>
      <c r="R40" s="5"/>
      <c r="S40" s="5"/>
      <c r="T40" s="5"/>
      <c r="U40" s="5"/>
      <c r="V40" s="5"/>
      <c r="W40" s="5"/>
      <c r="X40" s="5"/>
      <c r="Y40" s="5"/>
      <c r="Z40" s="5"/>
      <c r="AA40" s="5"/>
      <c r="AB40" s="5"/>
      <c r="AC40" s="5"/>
      <c r="AD40" s="5"/>
      <c r="AE40" s="5"/>
      <c r="AF40" s="5"/>
    </row>
    <row r="41" spans="1:32" ht="12" customHeight="1">
      <c r="A41" s="1" t="s">
        <v>70</v>
      </c>
      <c r="B41" s="8">
        <v>1</v>
      </c>
      <c r="C41" s="8">
        <v>28</v>
      </c>
      <c r="D41" s="2"/>
      <c r="E41" s="8"/>
      <c r="F41" s="15" t="s">
        <v>31</v>
      </c>
      <c r="G41" s="15" t="s">
        <v>31</v>
      </c>
      <c r="H41" s="15" t="s">
        <v>31</v>
      </c>
      <c r="I41" s="16"/>
      <c r="J41" s="15" t="s">
        <v>31</v>
      </c>
      <c r="K41" s="15" t="s">
        <v>31</v>
      </c>
      <c r="L41" s="15" t="s">
        <v>31</v>
      </c>
      <c r="M41" s="13"/>
      <c r="N41" s="17"/>
      <c r="O41" s="5"/>
      <c r="P41" s="5"/>
      <c r="Q41" s="5"/>
      <c r="R41" s="5"/>
      <c r="S41" s="5"/>
      <c r="T41" s="5"/>
      <c r="U41" s="5"/>
      <c r="V41" s="5"/>
      <c r="W41" s="5"/>
      <c r="X41" s="5"/>
      <c r="Y41" s="5"/>
      <c r="Z41" s="5"/>
      <c r="AA41" s="5"/>
      <c r="AB41" s="5"/>
      <c r="AC41" s="5"/>
      <c r="AD41" s="5"/>
      <c r="AE41" s="5"/>
      <c r="AF41" s="5"/>
    </row>
    <row r="42" spans="1:32" ht="12" customHeight="1">
      <c r="A42" s="14" t="s">
        <v>71</v>
      </c>
      <c r="B42" s="8"/>
      <c r="C42" s="8"/>
      <c r="D42" s="2"/>
      <c r="E42" s="8"/>
      <c r="F42" s="15" t="s">
        <v>31</v>
      </c>
      <c r="G42" s="15" t="s">
        <v>31</v>
      </c>
      <c r="H42" s="15" t="s">
        <v>31</v>
      </c>
      <c r="I42" s="15" t="s">
        <v>31</v>
      </c>
      <c r="J42" s="15" t="s">
        <v>31</v>
      </c>
      <c r="K42" s="15" t="s">
        <v>31</v>
      </c>
      <c r="L42" s="15" t="s">
        <v>31</v>
      </c>
      <c r="M42" s="13"/>
      <c r="N42" s="17"/>
      <c r="O42" s="5"/>
      <c r="P42" s="5"/>
      <c r="Q42" s="5"/>
      <c r="R42" s="5"/>
      <c r="S42" s="5"/>
      <c r="T42" s="5"/>
      <c r="U42" s="5"/>
      <c r="V42" s="5"/>
      <c r="W42" s="5"/>
      <c r="X42" s="5"/>
      <c r="Y42" s="5"/>
      <c r="Z42" s="5"/>
      <c r="AA42" s="5"/>
      <c r="AB42" s="5"/>
      <c r="AC42" s="5"/>
      <c r="AD42" s="5"/>
      <c r="AE42" s="5"/>
      <c r="AF42" s="5"/>
    </row>
    <row r="43" spans="1:32" ht="12" customHeight="1">
      <c r="A43" s="1" t="s">
        <v>72</v>
      </c>
      <c r="B43" s="8">
        <v>1</v>
      </c>
      <c r="C43" s="8">
        <v>29</v>
      </c>
      <c r="D43" s="2" t="s">
        <v>64</v>
      </c>
      <c r="E43" s="8">
        <v>754</v>
      </c>
      <c r="F43" s="16"/>
      <c r="G43" s="16"/>
      <c r="H43" s="16"/>
      <c r="I43" s="16"/>
      <c r="J43" s="3">
        <f>SUM(I457)</f>
        <v>0</v>
      </c>
      <c r="K43" s="15" t="s">
        <v>31</v>
      </c>
      <c r="L43" s="15" t="s">
        <v>31</v>
      </c>
      <c r="M43" s="13"/>
      <c r="N43" s="17"/>
      <c r="O43" s="5"/>
      <c r="P43" s="5"/>
      <c r="Q43" s="5"/>
      <c r="R43" s="5"/>
      <c r="S43" s="5"/>
      <c r="T43" s="5"/>
      <c r="U43" s="5"/>
      <c r="V43" s="5"/>
      <c r="W43" s="5"/>
      <c r="X43" s="5"/>
      <c r="Y43" s="5"/>
      <c r="Z43" s="5"/>
      <c r="AA43" s="5"/>
      <c r="AB43" s="5"/>
      <c r="AC43" s="5"/>
      <c r="AD43" s="5"/>
      <c r="AE43" s="5"/>
      <c r="AF43" s="5"/>
    </row>
    <row r="44" spans="1:32" ht="12" customHeight="1">
      <c r="A44" s="1" t="s">
        <v>73</v>
      </c>
      <c r="B44" s="8">
        <v>1</v>
      </c>
      <c r="C44" s="8">
        <v>30</v>
      </c>
      <c r="D44" s="2" t="s">
        <v>64</v>
      </c>
      <c r="E44" s="8">
        <v>755</v>
      </c>
      <c r="F44" s="16">
        <v>85000</v>
      </c>
      <c r="G44" s="16"/>
      <c r="H44" s="16"/>
      <c r="I44" s="16"/>
      <c r="J44" s="15" t="s">
        <v>31</v>
      </c>
      <c r="K44" s="15" t="s">
        <v>31</v>
      </c>
      <c r="L44" s="15" t="s">
        <v>31</v>
      </c>
      <c r="M44" s="13"/>
      <c r="N44" s="17"/>
      <c r="O44" s="5"/>
      <c r="P44" s="5"/>
      <c r="Q44" s="5"/>
      <c r="R44" s="5"/>
      <c r="S44" s="5"/>
      <c r="T44" s="5"/>
      <c r="U44" s="5"/>
      <c r="V44" s="5"/>
      <c r="W44" s="5"/>
      <c r="X44" s="5"/>
      <c r="Y44" s="5"/>
      <c r="Z44" s="5"/>
      <c r="AA44" s="5"/>
      <c r="AB44" s="5"/>
      <c r="AC44" s="5"/>
      <c r="AD44" s="5"/>
      <c r="AE44" s="5"/>
      <c r="AF44" s="5"/>
    </row>
    <row r="45" spans="1:32" ht="12" customHeight="1">
      <c r="A45" s="1" t="s">
        <v>74</v>
      </c>
      <c r="B45" s="8">
        <v>1</v>
      </c>
      <c r="C45" s="8">
        <v>31</v>
      </c>
      <c r="D45" s="2"/>
      <c r="E45" s="8">
        <v>753</v>
      </c>
      <c r="F45" s="16"/>
      <c r="G45" s="16"/>
      <c r="H45" s="16"/>
      <c r="I45" s="16"/>
      <c r="J45" s="3">
        <f>I456</f>
        <v>0</v>
      </c>
      <c r="K45" s="15" t="s">
        <v>31</v>
      </c>
      <c r="L45" s="15" t="s">
        <v>31</v>
      </c>
      <c r="M45" s="13"/>
      <c r="N45" s="17"/>
      <c r="O45" s="5"/>
      <c r="P45" s="5"/>
      <c r="Q45" s="5"/>
      <c r="R45" s="5"/>
      <c r="S45" s="5"/>
      <c r="T45" s="5"/>
      <c r="U45" s="5"/>
      <c r="V45" s="5"/>
      <c r="W45" s="5"/>
      <c r="X45" s="5"/>
      <c r="Y45" s="5"/>
      <c r="Z45" s="5"/>
      <c r="AA45" s="5"/>
      <c r="AB45" s="5"/>
      <c r="AC45" s="5"/>
      <c r="AD45" s="5"/>
      <c r="AE45" s="5"/>
      <c r="AF45" s="5"/>
    </row>
    <row r="46" spans="1:32" ht="12" customHeight="1">
      <c r="A46" s="1" t="s">
        <v>75</v>
      </c>
      <c r="B46" s="8">
        <v>1</v>
      </c>
      <c r="C46" s="8">
        <v>32</v>
      </c>
      <c r="D46" s="2"/>
      <c r="E46" s="8"/>
      <c r="F46" s="16">
        <v>105032</v>
      </c>
      <c r="G46" s="15" t="s">
        <v>31</v>
      </c>
      <c r="H46" s="15" t="s">
        <v>31</v>
      </c>
      <c r="I46" s="15" t="s">
        <v>31</v>
      </c>
      <c r="J46" s="15" t="s">
        <v>31</v>
      </c>
      <c r="K46" s="15"/>
      <c r="L46" s="15"/>
      <c r="M46" s="13"/>
      <c r="N46" s="17"/>
      <c r="O46" s="5"/>
      <c r="P46" s="5"/>
      <c r="Q46" s="5"/>
      <c r="R46" s="5"/>
      <c r="S46" s="5"/>
      <c r="T46" s="5"/>
      <c r="U46" s="5"/>
      <c r="V46" s="5"/>
      <c r="W46" s="5"/>
      <c r="X46" s="5"/>
      <c r="Y46" s="5"/>
      <c r="Z46" s="5"/>
      <c r="AA46" s="5"/>
      <c r="AB46" s="5"/>
      <c r="AC46" s="5"/>
      <c r="AD46" s="5"/>
      <c r="AE46" s="5"/>
      <c r="AF46" s="5"/>
    </row>
    <row r="47" spans="1:32" ht="12" customHeight="1">
      <c r="A47" s="14" t="s">
        <v>76</v>
      </c>
      <c r="B47" s="8"/>
      <c r="C47" s="8"/>
      <c r="D47" s="2"/>
      <c r="E47" s="8"/>
      <c r="F47" s="15" t="s">
        <v>31</v>
      </c>
      <c r="G47" s="15" t="s">
        <v>31</v>
      </c>
      <c r="H47" s="15" t="s">
        <v>31</v>
      </c>
      <c r="I47" s="15" t="s">
        <v>31</v>
      </c>
      <c r="J47" s="15" t="s">
        <v>31</v>
      </c>
      <c r="K47" s="15" t="s">
        <v>31</v>
      </c>
      <c r="L47" s="15" t="s">
        <v>31</v>
      </c>
      <c r="M47" s="13"/>
      <c r="N47" s="17"/>
      <c r="O47" s="5"/>
      <c r="P47" s="5"/>
      <c r="Q47" s="5"/>
      <c r="R47" s="5"/>
      <c r="S47" s="5"/>
      <c r="T47" s="5"/>
      <c r="U47" s="5"/>
      <c r="V47" s="5"/>
      <c r="W47" s="5"/>
      <c r="X47" s="5"/>
      <c r="Y47" s="5"/>
      <c r="Z47" s="5"/>
      <c r="AA47" s="5"/>
      <c r="AB47" s="5"/>
      <c r="AC47" s="5"/>
      <c r="AD47" s="5"/>
      <c r="AE47" s="5"/>
      <c r="AF47" s="5"/>
    </row>
    <row r="48" spans="1:32" ht="12" customHeight="1">
      <c r="A48" s="1" t="s">
        <v>77</v>
      </c>
      <c r="B48" s="2" t="s">
        <v>33</v>
      </c>
      <c r="C48" s="8">
        <v>33</v>
      </c>
      <c r="D48" s="2" t="s">
        <v>64</v>
      </c>
      <c r="E48" s="8">
        <v>760</v>
      </c>
      <c r="F48" s="16">
        <v>19065</v>
      </c>
      <c r="G48" s="16">
        <v>677</v>
      </c>
      <c r="H48" s="16"/>
      <c r="I48" s="16">
        <v>4485.38</v>
      </c>
      <c r="J48" s="3">
        <f>SUM(I460)</f>
        <v>250532.51</v>
      </c>
      <c r="K48" s="15" t="s">
        <v>31</v>
      </c>
      <c r="L48" s="15" t="s">
        <v>31</v>
      </c>
      <c r="M48" s="13"/>
      <c r="N48" s="17"/>
      <c r="O48" s="5"/>
      <c r="P48" s="5"/>
      <c r="Q48" s="5"/>
      <c r="R48" s="5"/>
      <c r="S48" s="5"/>
      <c r="T48" s="5"/>
      <c r="U48" s="5"/>
      <c r="V48" s="5"/>
      <c r="W48" s="5"/>
      <c r="X48" s="5"/>
      <c r="Y48" s="5"/>
      <c r="Z48" s="5"/>
      <c r="AA48" s="5"/>
      <c r="AB48" s="5"/>
      <c r="AC48" s="5"/>
      <c r="AD48" s="5"/>
      <c r="AE48" s="5"/>
      <c r="AF48" s="5"/>
    </row>
    <row r="49" spans="1:32" ht="12" customHeight="1">
      <c r="A49" s="1" t="s">
        <v>78</v>
      </c>
      <c r="B49" s="2" t="s">
        <v>33</v>
      </c>
      <c r="C49" s="8">
        <v>34</v>
      </c>
      <c r="D49" s="2"/>
      <c r="E49" s="8">
        <v>753</v>
      </c>
      <c r="F49" s="16"/>
      <c r="G49" s="16"/>
      <c r="H49" s="16"/>
      <c r="I49" s="16"/>
      <c r="J49" s="3">
        <f>I455</f>
        <v>0</v>
      </c>
      <c r="K49" s="15"/>
      <c r="L49" s="15"/>
      <c r="M49" s="13"/>
      <c r="N49" s="17"/>
      <c r="O49" s="5"/>
      <c r="P49" s="5"/>
      <c r="Q49" s="5"/>
      <c r="R49" s="5"/>
      <c r="S49" s="5"/>
      <c r="T49" s="5"/>
      <c r="U49" s="5"/>
      <c r="V49" s="5"/>
      <c r="W49" s="5"/>
      <c r="X49" s="5"/>
      <c r="Y49" s="5"/>
      <c r="Z49" s="5"/>
      <c r="AA49" s="5"/>
      <c r="AB49" s="5"/>
      <c r="AC49" s="5"/>
      <c r="AD49" s="5"/>
      <c r="AE49" s="5"/>
      <c r="AF49" s="5"/>
    </row>
    <row r="50" spans="1:32" ht="12" customHeight="1">
      <c r="A50" s="14" t="s">
        <v>79</v>
      </c>
      <c r="B50" s="2" t="s">
        <v>33</v>
      </c>
      <c r="C50" s="25">
        <v>35</v>
      </c>
      <c r="D50" s="2" t="s">
        <v>64</v>
      </c>
      <c r="E50" s="8">
        <v>770</v>
      </c>
      <c r="F50" s="3">
        <v>136931.54</v>
      </c>
      <c r="G50" s="15" t="s">
        <v>31</v>
      </c>
      <c r="H50" s="15" t="s">
        <v>31</v>
      </c>
      <c r="I50" s="15" t="s">
        <v>31</v>
      </c>
      <c r="J50" s="15" t="s">
        <v>31</v>
      </c>
      <c r="K50" s="15" t="s">
        <v>31</v>
      </c>
      <c r="L50" s="15" t="s">
        <v>31</v>
      </c>
      <c r="M50" s="13"/>
      <c r="N50" s="17"/>
      <c r="O50" s="5"/>
      <c r="P50" s="5"/>
      <c r="Q50" s="5"/>
      <c r="R50" s="5"/>
      <c r="S50" s="5"/>
      <c r="T50" s="5"/>
      <c r="U50" s="5"/>
      <c r="V50" s="5"/>
      <c r="W50" s="5"/>
      <c r="X50" s="5"/>
      <c r="Y50" s="5"/>
      <c r="Z50" s="5"/>
      <c r="AA50" s="5"/>
      <c r="AB50" s="5"/>
      <c r="AC50" s="5"/>
      <c r="AD50" s="5"/>
      <c r="AE50" s="5"/>
      <c r="AF50" s="5"/>
    </row>
    <row r="51" spans="1:32" ht="12" customHeight="1">
      <c r="A51" s="19" t="s">
        <v>80</v>
      </c>
      <c r="B51" s="20" t="s">
        <v>33</v>
      </c>
      <c r="C51" s="26">
        <v>36</v>
      </c>
      <c r="D51" s="20" t="s">
        <v>64</v>
      </c>
      <c r="E51" s="20"/>
      <c r="F51" s="22">
        <f t="shared" ref="F51:J51" si="6">SUM(F35:F50)</f>
        <v>346028.54000000004</v>
      </c>
      <c r="G51" s="22">
        <f t="shared" si="6"/>
        <v>677</v>
      </c>
      <c r="H51" s="22">
        <f t="shared" si="6"/>
        <v>0</v>
      </c>
      <c r="I51" s="22">
        <f t="shared" si="6"/>
        <v>4485.38</v>
      </c>
      <c r="J51" s="22">
        <f t="shared" si="6"/>
        <v>250532.51</v>
      </c>
      <c r="K51" s="23" t="s">
        <v>31</v>
      </c>
      <c r="L51" s="23" t="s">
        <v>31</v>
      </c>
      <c r="N51" s="27"/>
    </row>
    <row r="52" spans="1:32" ht="12" customHeight="1">
      <c r="A52" s="19" t="s">
        <v>81</v>
      </c>
      <c r="B52" s="20" t="s">
        <v>33</v>
      </c>
      <c r="C52" s="8">
        <v>37</v>
      </c>
      <c r="D52" s="20" t="s">
        <v>64</v>
      </c>
      <c r="E52" s="20"/>
      <c r="F52" s="22">
        <f t="shared" ref="F52:J52" si="7">F51+F32</f>
        <v>425140.05000000005</v>
      </c>
      <c r="G52" s="22">
        <f t="shared" si="7"/>
        <v>29232.57</v>
      </c>
      <c r="H52" s="22">
        <f t="shared" si="7"/>
        <v>3086.55</v>
      </c>
      <c r="I52" s="22">
        <f t="shared" si="7"/>
        <v>4485.38</v>
      </c>
      <c r="J52" s="22">
        <f t="shared" si="7"/>
        <v>250532.51</v>
      </c>
      <c r="K52" s="23" t="s">
        <v>31</v>
      </c>
      <c r="L52" s="23" t="s">
        <v>31</v>
      </c>
      <c r="M52" s="13"/>
      <c r="N52" s="17"/>
      <c r="O52" s="5"/>
      <c r="P52" s="5"/>
      <c r="Q52" s="5"/>
      <c r="R52" s="5"/>
      <c r="S52" s="5"/>
      <c r="T52" s="5"/>
      <c r="U52" s="5"/>
      <c r="V52" s="5"/>
      <c r="W52" s="5"/>
      <c r="X52" s="5"/>
      <c r="Y52" s="5"/>
      <c r="Z52" s="5"/>
      <c r="AA52" s="5"/>
      <c r="AB52" s="5"/>
      <c r="AC52" s="5"/>
      <c r="AD52" s="5"/>
      <c r="AE52" s="5"/>
      <c r="AF52" s="5"/>
    </row>
    <row r="53" spans="1:32" ht="12" customHeight="1">
      <c r="F53" s="10" t="s">
        <v>18</v>
      </c>
      <c r="G53" s="10" t="s">
        <v>19</v>
      </c>
      <c r="H53" s="10" t="s">
        <v>20</v>
      </c>
      <c r="I53" s="10" t="s">
        <v>21</v>
      </c>
      <c r="J53" s="10" t="s">
        <v>22</v>
      </c>
      <c r="K53" s="28"/>
      <c r="L53" s="28"/>
      <c r="M53" s="13"/>
      <c r="N53" s="17"/>
      <c r="O53" s="5"/>
      <c r="P53" s="5"/>
      <c r="Q53" s="5"/>
      <c r="R53" s="5"/>
      <c r="S53" s="5"/>
      <c r="T53" s="5"/>
      <c r="U53" s="5"/>
      <c r="V53" s="5"/>
      <c r="W53" s="5"/>
      <c r="X53" s="5"/>
      <c r="Y53" s="5"/>
      <c r="Z53" s="5"/>
      <c r="AA53" s="5"/>
      <c r="AB53" s="5"/>
      <c r="AC53" s="5"/>
      <c r="AD53" s="5"/>
      <c r="AE53" s="5"/>
      <c r="AF53" s="5"/>
    </row>
    <row r="54" spans="1:32" ht="12" customHeight="1">
      <c r="A54" s="1" t="s">
        <v>82</v>
      </c>
      <c r="B54" s="5"/>
      <c r="C54" s="5"/>
      <c r="D54" s="5"/>
      <c r="E54" s="5"/>
      <c r="F54" s="10"/>
      <c r="G54" s="10"/>
      <c r="H54" s="10" t="s">
        <v>25</v>
      </c>
      <c r="I54" s="10"/>
      <c r="J54" s="10"/>
      <c r="K54" s="28"/>
      <c r="L54" s="28"/>
      <c r="M54" s="13"/>
      <c r="N54" s="17"/>
      <c r="O54" s="5"/>
      <c r="P54" s="5"/>
      <c r="Q54" s="5"/>
      <c r="R54" s="5"/>
      <c r="S54" s="5"/>
      <c r="T54" s="5"/>
      <c r="U54" s="5"/>
      <c r="V54" s="5"/>
      <c r="W54" s="5"/>
      <c r="X54" s="5"/>
      <c r="Y54" s="5"/>
      <c r="Z54" s="5"/>
      <c r="AA54" s="5"/>
      <c r="AB54" s="5"/>
      <c r="AC54" s="5"/>
      <c r="AD54" s="5"/>
      <c r="AE54" s="5"/>
      <c r="AF54" s="5"/>
    </row>
    <row r="55" spans="1:32" ht="12" customHeight="1">
      <c r="A55" s="29" t="s">
        <v>83</v>
      </c>
      <c r="B55" s="5"/>
      <c r="C55" s="5"/>
      <c r="D55" s="5"/>
      <c r="E55" s="8"/>
      <c r="F55" s="12" t="s">
        <v>23</v>
      </c>
      <c r="G55" s="12" t="s">
        <v>24</v>
      </c>
      <c r="H55" s="12" t="s">
        <v>29</v>
      </c>
      <c r="I55" s="12" t="s">
        <v>26</v>
      </c>
      <c r="J55" s="12" t="s">
        <v>27</v>
      </c>
      <c r="K55" s="28"/>
      <c r="L55" s="28"/>
      <c r="M55" s="13"/>
      <c r="N55" s="17"/>
      <c r="O55" s="5"/>
      <c r="P55" s="5"/>
      <c r="Q55" s="5"/>
      <c r="R55" s="5"/>
      <c r="S55" s="5"/>
      <c r="T55" s="5"/>
      <c r="U55" s="5"/>
      <c r="V55" s="5"/>
      <c r="W55" s="5"/>
      <c r="X55" s="5"/>
      <c r="Y55" s="5"/>
      <c r="Z55" s="5"/>
      <c r="AA55" s="5"/>
      <c r="AB55" s="5"/>
      <c r="AC55" s="5"/>
      <c r="AD55" s="5"/>
      <c r="AE55" s="5"/>
      <c r="AF55" s="5"/>
    </row>
    <row r="56" spans="1:32" ht="12" customHeight="1">
      <c r="A56" s="30" t="s">
        <v>84</v>
      </c>
      <c r="B56" s="5"/>
      <c r="C56" s="5"/>
      <c r="D56" s="5"/>
      <c r="E56" s="8"/>
      <c r="F56" s="15" t="s">
        <v>31</v>
      </c>
      <c r="G56" s="15" t="s">
        <v>31</v>
      </c>
      <c r="H56" s="15" t="s">
        <v>31</v>
      </c>
      <c r="I56" s="15" t="s">
        <v>31</v>
      </c>
      <c r="J56" s="15" t="s">
        <v>31</v>
      </c>
      <c r="K56" s="15" t="s">
        <v>31</v>
      </c>
      <c r="L56" s="15" t="s">
        <v>31</v>
      </c>
      <c r="M56" s="13"/>
      <c r="N56" s="17"/>
      <c r="O56" s="5"/>
      <c r="P56" s="5"/>
      <c r="Q56" s="5"/>
      <c r="R56" s="5"/>
      <c r="S56" s="5"/>
      <c r="T56" s="5"/>
      <c r="U56" s="5"/>
      <c r="V56" s="5"/>
      <c r="W56" s="5"/>
      <c r="X56" s="5"/>
      <c r="Y56" s="5"/>
      <c r="Z56" s="5"/>
      <c r="AA56" s="5"/>
      <c r="AB56" s="5"/>
      <c r="AC56" s="5"/>
      <c r="AD56" s="5"/>
      <c r="AE56" s="5"/>
      <c r="AF56" s="5"/>
    </row>
    <row r="57" spans="1:32" ht="12" customHeight="1">
      <c r="A57" s="1" t="s">
        <v>85</v>
      </c>
      <c r="B57" s="2" t="s">
        <v>86</v>
      </c>
      <c r="C57" s="8">
        <v>1</v>
      </c>
      <c r="D57" s="2" t="s">
        <v>87</v>
      </c>
      <c r="E57" s="8">
        <v>1111</v>
      </c>
      <c r="F57" s="16">
        <v>2100643</v>
      </c>
      <c r="G57" s="16"/>
      <c r="H57" s="16"/>
      <c r="I57" s="16"/>
      <c r="J57" s="16"/>
      <c r="K57" s="15" t="s">
        <v>31</v>
      </c>
      <c r="L57" s="15" t="s">
        <v>31</v>
      </c>
      <c r="M57" s="13"/>
      <c r="N57" s="17"/>
      <c r="O57" s="5"/>
      <c r="P57" s="5"/>
      <c r="Q57" s="5"/>
      <c r="R57" s="5"/>
      <c r="S57" s="5"/>
      <c r="T57" s="5"/>
      <c r="U57" s="5"/>
      <c r="V57" s="5"/>
      <c r="W57" s="5"/>
      <c r="X57" s="5"/>
      <c r="Y57" s="5"/>
      <c r="Z57" s="5"/>
      <c r="AA57" s="5"/>
      <c r="AB57" s="5"/>
      <c r="AC57" s="5"/>
      <c r="AD57" s="5"/>
      <c r="AE57" s="5"/>
      <c r="AF57" s="5"/>
    </row>
    <row r="58" spans="1:32" ht="12" customHeight="1">
      <c r="A58" s="1" t="s">
        <v>88</v>
      </c>
      <c r="B58" s="2" t="s">
        <v>86</v>
      </c>
      <c r="C58" s="8">
        <v>2</v>
      </c>
      <c r="D58" s="2" t="s">
        <v>87</v>
      </c>
      <c r="E58" s="8">
        <v>1112</v>
      </c>
      <c r="F58" s="16"/>
      <c r="G58" s="16"/>
      <c r="H58" s="15" t="s">
        <v>31</v>
      </c>
      <c r="I58" s="16"/>
      <c r="J58" s="15" t="s">
        <v>31</v>
      </c>
      <c r="K58" s="15" t="s">
        <v>31</v>
      </c>
      <c r="L58" s="15" t="s">
        <v>31</v>
      </c>
      <c r="M58" s="13"/>
      <c r="N58" s="17"/>
      <c r="O58" s="5"/>
      <c r="P58" s="5"/>
      <c r="Q58" s="5"/>
      <c r="R58" s="5"/>
      <c r="S58" s="5"/>
      <c r="T58" s="5"/>
      <c r="U58" s="5"/>
      <c r="V58" s="5"/>
      <c r="W58" s="5"/>
      <c r="X58" s="5"/>
      <c r="Y58" s="5"/>
      <c r="Z58" s="5"/>
      <c r="AA58" s="5"/>
      <c r="AB58" s="5"/>
      <c r="AC58" s="5"/>
      <c r="AD58" s="5"/>
      <c r="AE58" s="5"/>
      <c r="AF58" s="5"/>
    </row>
    <row r="59" spans="1:32" ht="12" customHeight="1">
      <c r="A59" s="1" t="s">
        <v>89</v>
      </c>
      <c r="B59" s="2" t="s">
        <v>86</v>
      </c>
      <c r="C59" s="8">
        <v>3</v>
      </c>
      <c r="D59" s="2" t="s">
        <v>87</v>
      </c>
      <c r="E59" s="8">
        <v>1119</v>
      </c>
      <c r="F59" s="16"/>
      <c r="G59" s="16"/>
      <c r="H59" s="16"/>
      <c r="I59" s="16"/>
      <c r="J59" s="16"/>
      <c r="K59" s="15" t="s">
        <v>31</v>
      </c>
      <c r="L59" s="15" t="s">
        <v>31</v>
      </c>
      <c r="M59" s="31"/>
      <c r="N59" s="32"/>
      <c r="O59" s="30"/>
      <c r="P59" s="30"/>
      <c r="Q59" s="30"/>
      <c r="R59" s="30"/>
      <c r="S59" s="30"/>
      <c r="T59" s="30"/>
      <c r="U59" s="30"/>
      <c r="V59" s="30"/>
      <c r="W59" s="30"/>
      <c r="X59" s="30"/>
      <c r="Y59" s="30"/>
      <c r="Z59" s="30"/>
      <c r="AA59" s="30"/>
      <c r="AB59" s="30"/>
      <c r="AC59" s="30"/>
      <c r="AD59" s="30"/>
      <c r="AE59" s="30"/>
      <c r="AF59" s="30"/>
    </row>
    <row r="60" spans="1:32" ht="12" customHeight="1">
      <c r="A60" s="19" t="s">
        <v>90</v>
      </c>
      <c r="B60" s="20" t="s">
        <v>86</v>
      </c>
      <c r="C60" s="21">
        <v>4</v>
      </c>
      <c r="D60" s="20" t="s">
        <v>87</v>
      </c>
      <c r="E60" s="21">
        <v>1100</v>
      </c>
      <c r="F60" s="22">
        <f t="shared" ref="F60:J60" si="8">SUM(F57:F59)</f>
        <v>2100643</v>
      </c>
      <c r="G60" s="22">
        <f t="shared" si="8"/>
        <v>0</v>
      </c>
      <c r="H60" s="22">
        <f t="shared" si="8"/>
        <v>0</v>
      </c>
      <c r="I60" s="22">
        <f t="shared" si="8"/>
        <v>0</v>
      </c>
      <c r="J60" s="22">
        <f t="shared" si="8"/>
        <v>0</v>
      </c>
      <c r="K60" s="23" t="s">
        <v>31</v>
      </c>
      <c r="L60" s="23" t="s">
        <v>31</v>
      </c>
      <c r="M60" s="31"/>
      <c r="N60" s="32"/>
      <c r="O60" s="30"/>
      <c r="P60" s="30"/>
      <c r="Q60" s="30"/>
      <c r="R60" s="30"/>
      <c r="S60" s="30"/>
      <c r="T60" s="30"/>
      <c r="U60" s="30"/>
      <c r="V60" s="30"/>
      <c r="W60" s="30"/>
      <c r="X60" s="30"/>
      <c r="Y60" s="30"/>
      <c r="Z60" s="30"/>
      <c r="AA60" s="30"/>
      <c r="AB60" s="30"/>
      <c r="AC60" s="30"/>
      <c r="AD60" s="30"/>
      <c r="AE60" s="30"/>
      <c r="AF60" s="30"/>
    </row>
    <row r="61" spans="1:32" ht="12" customHeight="1">
      <c r="A61" s="33" t="s">
        <v>91</v>
      </c>
      <c r="B61" s="30"/>
      <c r="C61" s="33" t="s">
        <v>60</v>
      </c>
      <c r="D61" s="33"/>
      <c r="E61" s="8"/>
      <c r="F61" s="15" t="s">
        <v>31</v>
      </c>
      <c r="G61" s="15" t="s">
        <v>31</v>
      </c>
      <c r="H61" s="15" t="s">
        <v>31</v>
      </c>
      <c r="I61" s="15" t="s">
        <v>31</v>
      </c>
      <c r="J61" s="15" t="s">
        <v>31</v>
      </c>
      <c r="K61" s="15" t="s">
        <v>31</v>
      </c>
      <c r="L61" s="15" t="s">
        <v>31</v>
      </c>
      <c r="M61" s="13"/>
      <c r="N61" s="17"/>
      <c r="O61" s="5"/>
      <c r="P61" s="5"/>
      <c r="Q61" s="5"/>
      <c r="R61" s="5"/>
      <c r="S61" s="5"/>
      <c r="T61" s="5"/>
      <c r="U61" s="5"/>
      <c r="V61" s="5"/>
      <c r="W61" s="5"/>
      <c r="X61" s="5"/>
      <c r="Y61" s="5"/>
      <c r="Z61" s="5"/>
      <c r="AA61" s="5"/>
      <c r="AB61" s="5"/>
      <c r="AC61" s="5"/>
      <c r="AD61" s="5"/>
      <c r="AE61" s="5"/>
      <c r="AF61" s="5"/>
    </row>
    <row r="62" spans="1:32" ht="12" customHeight="1">
      <c r="A62" s="33" t="s">
        <v>92</v>
      </c>
      <c r="B62" s="30"/>
      <c r="C62" s="33"/>
      <c r="D62" s="33"/>
      <c r="E62" s="8">
        <v>1310</v>
      </c>
      <c r="F62" s="15" t="s">
        <v>31</v>
      </c>
      <c r="G62" s="15" t="s">
        <v>31</v>
      </c>
      <c r="H62" s="15" t="s">
        <v>31</v>
      </c>
      <c r="I62" s="15" t="s">
        <v>31</v>
      </c>
      <c r="J62" s="15" t="s">
        <v>31</v>
      </c>
      <c r="K62" s="15" t="s">
        <v>31</v>
      </c>
      <c r="L62" s="15" t="s">
        <v>31</v>
      </c>
      <c r="M62" s="13"/>
      <c r="N62" s="17"/>
      <c r="O62" s="5"/>
      <c r="P62" s="5"/>
      <c r="Q62" s="5"/>
      <c r="R62" s="5"/>
      <c r="S62" s="5"/>
      <c r="T62" s="5"/>
      <c r="U62" s="5"/>
      <c r="V62" s="5"/>
      <c r="W62" s="5"/>
      <c r="X62" s="5"/>
      <c r="Y62" s="5"/>
      <c r="Z62" s="5"/>
      <c r="AA62" s="5"/>
      <c r="AB62" s="5"/>
      <c r="AC62" s="5"/>
      <c r="AD62" s="5"/>
      <c r="AE62" s="5"/>
      <c r="AF62" s="5"/>
    </row>
    <row r="63" spans="1:32" ht="12" customHeight="1">
      <c r="A63" s="1" t="s">
        <v>93</v>
      </c>
      <c r="B63" s="2" t="s">
        <v>86</v>
      </c>
      <c r="C63" s="8">
        <v>5</v>
      </c>
      <c r="D63" s="2" t="s">
        <v>87</v>
      </c>
      <c r="E63" s="8">
        <v>1311</v>
      </c>
      <c r="F63" s="16">
        <v>6585</v>
      </c>
      <c r="G63" s="15" t="s">
        <v>31</v>
      </c>
      <c r="H63" s="16"/>
      <c r="I63" s="15" t="s">
        <v>31</v>
      </c>
      <c r="J63" s="15" t="s">
        <v>31</v>
      </c>
      <c r="K63" s="15" t="s">
        <v>31</v>
      </c>
      <c r="L63" s="15" t="s">
        <v>31</v>
      </c>
      <c r="M63" s="13"/>
      <c r="N63" s="17"/>
      <c r="O63" s="5"/>
      <c r="P63" s="5"/>
      <c r="Q63" s="5"/>
      <c r="R63" s="5"/>
      <c r="S63" s="5"/>
      <c r="T63" s="5"/>
      <c r="U63" s="5"/>
      <c r="V63" s="5"/>
      <c r="W63" s="5"/>
      <c r="X63" s="5"/>
      <c r="Y63" s="5"/>
      <c r="Z63" s="5"/>
      <c r="AA63" s="5"/>
      <c r="AB63" s="5"/>
      <c r="AC63" s="5"/>
      <c r="AD63" s="5"/>
      <c r="AE63" s="5"/>
      <c r="AF63" s="5"/>
    </row>
    <row r="64" spans="1:32" ht="12" customHeight="1">
      <c r="A64" s="1" t="s">
        <v>94</v>
      </c>
      <c r="B64" s="2" t="s">
        <v>86</v>
      </c>
      <c r="C64" s="8">
        <v>6</v>
      </c>
      <c r="D64" s="2" t="s">
        <v>87</v>
      </c>
      <c r="E64" s="8">
        <v>1314</v>
      </c>
      <c r="F64" s="16"/>
      <c r="G64" s="15" t="s">
        <v>31</v>
      </c>
      <c r="H64" s="16"/>
      <c r="I64" s="15" t="s">
        <v>31</v>
      </c>
      <c r="J64" s="15" t="s">
        <v>31</v>
      </c>
      <c r="K64" s="15" t="s">
        <v>31</v>
      </c>
      <c r="L64" s="15" t="s">
        <v>31</v>
      </c>
      <c r="M64" s="13"/>
      <c r="N64" s="17"/>
      <c r="O64" s="5"/>
      <c r="P64" s="5"/>
      <c r="Q64" s="5"/>
      <c r="R64" s="5"/>
      <c r="S64" s="5"/>
      <c r="T64" s="5"/>
      <c r="U64" s="5"/>
      <c r="V64" s="5"/>
      <c r="W64" s="5"/>
      <c r="X64" s="5"/>
      <c r="Y64" s="5"/>
      <c r="Z64" s="5"/>
      <c r="AA64" s="5"/>
      <c r="AB64" s="5"/>
      <c r="AC64" s="5"/>
      <c r="AD64" s="5"/>
      <c r="AE64" s="5"/>
      <c r="AF64" s="5"/>
    </row>
    <row r="65" spans="1:32" ht="12" customHeight="1">
      <c r="A65" s="1" t="s">
        <v>95</v>
      </c>
      <c r="B65" s="2" t="s">
        <v>86</v>
      </c>
      <c r="C65" s="8">
        <v>7</v>
      </c>
      <c r="D65" s="2" t="s">
        <v>87</v>
      </c>
      <c r="E65" s="8">
        <v>1315</v>
      </c>
      <c r="F65" s="16"/>
      <c r="G65" s="15" t="s">
        <v>31</v>
      </c>
      <c r="H65" s="16"/>
      <c r="I65" s="15" t="s">
        <v>31</v>
      </c>
      <c r="J65" s="15" t="s">
        <v>31</v>
      </c>
      <c r="K65" s="15" t="s">
        <v>31</v>
      </c>
      <c r="L65" s="15" t="s">
        <v>31</v>
      </c>
      <c r="M65" s="31"/>
      <c r="N65" s="32"/>
      <c r="O65" s="30"/>
      <c r="P65" s="30"/>
      <c r="Q65" s="30"/>
      <c r="R65" s="30"/>
      <c r="S65" s="30"/>
      <c r="T65" s="30"/>
      <c r="U65" s="30"/>
      <c r="V65" s="30"/>
      <c r="W65" s="30"/>
      <c r="X65" s="30"/>
      <c r="Y65" s="30"/>
      <c r="Z65" s="30"/>
      <c r="AA65" s="30"/>
      <c r="AB65" s="30"/>
      <c r="AC65" s="30"/>
      <c r="AD65" s="30"/>
      <c r="AE65" s="30"/>
      <c r="AF65" s="30"/>
    </row>
    <row r="66" spans="1:32" ht="12" customHeight="1">
      <c r="A66" s="1" t="s">
        <v>96</v>
      </c>
      <c r="B66" s="2" t="s">
        <v>86</v>
      </c>
      <c r="C66" s="8">
        <v>8</v>
      </c>
      <c r="D66" s="2" t="s">
        <v>87</v>
      </c>
      <c r="E66" s="8">
        <v>1316</v>
      </c>
      <c r="F66" s="16"/>
      <c r="G66" s="15" t="s">
        <v>31</v>
      </c>
      <c r="H66" s="16"/>
      <c r="I66" s="15" t="s">
        <v>31</v>
      </c>
      <c r="J66" s="15" t="s">
        <v>31</v>
      </c>
      <c r="K66" s="15" t="s">
        <v>31</v>
      </c>
      <c r="L66" s="15" t="s">
        <v>31</v>
      </c>
      <c r="M66" s="13"/>
      <c r="N66" s="17"/>
      <c r="O66" s="5"/>
      <c r="P66" s="5"/>
      <c r="Q66" s="5"/>
      <c r="R66" s="5"/>
      <c r="S66" s="5"/>
      <c r="T66" s="5"/>
      <c r="U66" s="5"/>
      <c r="V66" s="5"/>
      <c r="W66" s="5"/>
      <c r="X66" s="5"/>
      <c r="Y66" s="5"/>
      <c r="Z66" s="5"/>
      <c r="AA66" s="5"/>
      <c r="AB66" s="5"/>
      <c r="AC66" s="5"/>
      <c r="AD66" s="5"/>
      <c r="AE66" s="5"/>
      <c r="AF66" s="5"/>
    </row>
    <row r="67" spans="1:32" ht="12" customHeight="1">
      <c r="A67" s="33" t="s">
        <v>97</v>
      </c>
      <c r="B67" s="2"/>
      <c r="C67" s="8"/>
      <c r="D67" s="8"/>
      <c r="E67" s="8">
        <v>1320</v>
      </c>
      <c r="F67" s="15" t="s">
        <v>31</v>
      </c>
      <c r="G67" s="15" t="s">
        <v>31</v>
      </c>
      <c r="H67" s="15" t="s">
        <v>31</v>
      </c>
      <c r="I67" s="15" t="s">
        <v>31</v>
      </c>
      <c r="J67" s="15" t="s">
        <v>31</v>
      </c>
      <c r="K67" s="15" t="s">
        <v>31</v>
      </c>
      <c r="L67" s="15" t="s">
        <v>31</v>
      </c>
      <c r="M67" s="13"/>
      <c r="N67" s="17"/>
      <c r="O67" s="5"/>
      <c r="P67" s="5"/>
      <c r="Q67" s="5"/>
      <c r="R67" s="5"/>
      <c r="S67" s="5"/>
      <c r="T67" s="5"/>
      <c r="U67" s="5"/>
      <c r="V67" s="5"/>
      <c r="W67" s="5"/>
      <c r="X67" s="5"/>
      <c r="Y67" s="5"/>
      <c r="Z67" s="5"/>
      <c r="AA67" s="5"/>
      <c r="AB67" s="5"/>
      <c r="AC67" s="5"/>
      <c r="AD67" s="5"/>
      <c r="AE67" s="5"/>
      <c r="AF67" s="5"/>
    </row>
    <row r="68" spans="1:32" ht="12" customHeight="1">
      <c r="A68" s="1" t="s">
        <v>93</v>
      </c>
      <c r="B68" s="2" t="s">
        <v>86</v>
      </c>
      <c r="C68" s="8">
        <v>9</v>
      </c>
      <c r="D68" s="2" t="s">
        <v>87</v>
      </c>
      <c r="E68" s="8">
        <v>1321</v>
      </c>
      <c r="F68" s="16"/>
      <c r="G68" s="15" t="s">
        <v>31</v>
      </c>
      <c r="H68" s="16"/>
      <c r="I68" s="15" t="s">
        <v>31</v>
      </c>
      <c r="J68" s="15" t="s">
        <v>31</v>
      </c>
      <c r="K68" s="15" t="s">
        <v>31</v>
      </c>
      <c r="L68" s="15" t="s">
        <v>31</v>
      </c>
      <c r="M68" s="13"/>
      <c r="N68" s="17"/>
      <c r="O68" s="5"/>
      <c r="P68" s="5"/>
      <c r="Q68" s="5"/>
      <c r="R68" s="5"/>
      <c r="S68" s="5"/>
      <c r="T68" s="5"/>
      <c r="U68" s="5"/>
      <c r="V68" s="5"/>
      <c r="W68" s="5"/>
      <c r="X68" s="5"/>
      <c r="Y68" s="5"/>
      <c r="Z68" s="5"/>
      <c r="AA68" s="5"/>
      <c r="AB68" s="5"/>
      <c r="AC68" s="5"/>
      <c r="AD68" s="5"/>
      <c r="AE68" s="5"/>
      <c r="AF68" s="5"/>
    </row>
    <row r="69" spans="1:32" ht="12" customHeight="1">
      <c r="A69" s="1" t="s">
        <v>98</v>
      </c>
      <c r="B69" s="2" t="s">
        <v>86</v>
      </c>
      <c r="C69" s="8">
        <v>10</v>
      </c>
      <c r="D69" s="2" t="s">
        <v>87</v>
      </c>
      <c r="E69" s="8">
        <v>1322</v>
      </c>
      <c r="F69" s="16"/>
      <c r="G69" s="15" t="s">
        <v>31</v>
      </c>
      <c r="H69" s="16"/>
      <c r="I69" s="15" t="s">
        <v>31</v>
      </c>
      <c r="J69" s="15" t="s">
        <v>31</v>
      </c>
      <c r="K69" s="15" t="s">
        <v>31</v>
      </c>
      <c r="L69" s="15" t="s">
        <v>31</v>
      </c>
      <c r="M69" s="13"/>
      <c r="N69" s="17"/>
      <c r="O69" s="5"/>
      <c r="P69" s="5"/>
      <c r="Q69" s="5"/>
      <c r="R69" s="5"/>
      <c r="S69" s="5"/>
      <c r="T69" s="5"/>
      <c r="U69" s="5"/>
      <c r="V69" s="5"/>
      <c r="W69" s="5"/>
      <c r="X69" s="5"/>
      <c r="Y69" s="5"/>
      <c r="Z69" s="5"/>
      <c r="AA69" s="5"/>
      <c r="AB69" s="5"/>
      <c r="AC69" s="5"/>
      <c r="AD69" s="5"/>
      <c r="AE69" s="5"/>
      <c r="AF69" s="5"/>
    </row>
    <row r="70" spans="1:32" ht="12" customHeight="1">
      <c r="A70" s="1" t="s">
        <v>99</v>
      </c>
      <c r="B70" s="2" t="s">
        <v>86</v>
      </c>
      <c r="C70" s="8">
        <v>11</v>
      </c>
      <c r="D70" s="2" t="s">
        <v>87</v>
      </c>
      <c r="E70" s="8">
        <v>1323</v>
      </c>
      <c r="F70" s="16"/>
      <c r="G70" s="15" t="s">
        <v>31</v>
      </c>
      <c r="H70" s="16"/>
      <c r="I70" s="15" t="s">
        <v>31</v>
      </c>
      <c r="J70" s="15" t="s">
        <v>31</v>
      </c>
      <c r="K70" s="15" t="s">
        <v>31</v>
      </c>
      <c r="L70" s="15" t="s">
        <v>31</v>
      </c>
      <c r="M70" s="13"/>
      <c r="N70" s="17"/>
      <c r="O70" s="5"/>
      <c r="P70" s="5"/>
      <c r="Q70" s="5"/>
      <c r="R70" s="5"/>
      <c r="S70" s="5"/>
      <c r="T70" s="5"/>
      <c r="U70" s="5"/>
      <c r="V70" s="5"/>
      <c r="W70" s="5"/>
      <c r="X70" s="5"/>
      <c r="Y70" s="5"/>
      <c r="Z70" s="5"/>
      <c r="AA70" s="5"/>
      <c r="AB70" s="5"/>
      <c r="AC70" s="5"/>
      <c r="AD70" s="5"/>
      <c r="AE70" s="5"/>
      <c r="AF70" s="5"/>
    </row>
    <row r="71" spans="1:32" ht="12" customHeight="1">
      <c r="A71" s="33" t="s">
        <v>100</v>
      </c>
      <c r="B71" s="1" t="s">
        <v>60</v>
      </c>
      <c r="C71" s="5"/>
      <c r="D71" s="5"/>
      <c r="E71" s="8">
        <v>1330</v>
      </c>
      <c r="F71" s="15" t="s">
        <v>31</v>
      </c>
      <c r="G71" s="15" t="s">
        <v>31</v>
      </c>
      <c r="H71" s="15" t="s">
        <v>31</v>
      </c>
      <c r="I71" s="15" t="s">
        <v>31</v>
      </c>
      <c r="J71" s="15" t="s">
        <v>31</v>
      </c>
      <c r="K71" s="15" t="s">
        <v>31</v>
      </c>
      <c r="L71" s="15" t="s">
        <v>31</v>
      </c>
      <c r="M71" s="13"/>
      <c r="N71" s="17"/>
      <c r="O71" s="5"/>
      <c r="P71" s="5"/>
      <c r="Q71" s="5"/>
      <c r="R71" s="5"/>
      <c r="S71" s="5"/>
      <c r="T71" s="5"/>
      <c r="U71" s="5"/>
      <c r="V71" s="5"/>
      <c r="W71" s="5"/>
      <c r="X71" s="5"/>
      <c r="Y71" s="5"/>
      <c r="Z71" s="5"/>
      <c r="AA71" s="5"/>
      <c r="AB71" s="5"/>
      <c r="AC71" s="5"/>
      <c r="AD71" s="5"/>
      <c r="AE71" s="5"/>
      <c r="AF71" s="5"/>
    </row>
    <row r="72" spans="1:32" ht="12" customHeight="1">
      <c r="A72" s="1" t="s">
        <v>93</v>
      </c>
      <c r="B72" s="2" t="s">
        <v>86</v>
      </c>
      <c r="C72" s="8">
        <v>12</v>
      </c>
      <c r="D72" s="2" t="s">
        <v>87</v>
      </c>
      <c r="E72" s="8">
        <v>1331</v>
      </c>
      <c r="F72" s="16"/>
      <c r="G72" s="15" t="s">
        <v>31</v>
      </c>
      <c r="H72" s="16"/>
      <c r="I72" s="15" t="s">
        <v>31</v>
      </c>
      <c r="J72" s="15" t="s">
        <v>31</v>
      </c>
      <c r="K72" s="15" t="s">
        <v>31</v>
      </c>
      <c r="L72" s="15" t="s">
        <v>31</v>
      </c>
      <c r="M72" s="13"/>
      <c r="N72" s="17"/>
      <c r="O72" s="5"/>
      <c r="P72" s="5"/>
      <c r="Q72" s="5"/>
      <c r="R72" s="5"/>
      <c r="S72" s="5"/>
      <c r="T72" s="5"/>
      <c r="U72" s="5"/>
      <c r="V72" s="5"/>
      <c r="W72" s="5"/>
      <c r="X72" s="5"/>
      <c r="Y72" s="5"/>
      <c r="Z72" s="5"/>
      <c r="AA72" s="5"/>
      <c r="AB72" s="5"/>
      <c r="AC72" s="5"/>
      <c r="AD72" s="5"/>
      <c r="AE72" s="5"/>
      <c r="AF72" s="5"/>
    </row>
    <row r="73" spans="1:32" ht="12" customHeight="1">
      <c r="A73" s="1" t="s">
        <v>98</v>
      </c>
      <c r="B73" s="2" t="s">
        <v>86</v>
      </c>
      <c r="C73" s="8">
        <v>13</v>
      </c>
      <c r="D73" s="2" t="s">
        <v>87</v>
      </c>
      <c r="E73" s="8">
        <v>1332</v>
      </c>
      <c r="F73" s="16"/>
      <c r="G73" s="15" t="s">
        <v>31</v>
      </c>
      <c r="H73" s="16"/>
      <c r="I73" s="15" t="s">
        <v>31</v>
      </c>
      <c r="J73" s="15" t="s">
        <v>31</v>
      </c>
      <c r="K73" s="15" t="s">
        <v>31</v>
      </c>
      <c r="L73" s="15" t="s">
        <v>31</v>
      </c>
      <c r="M73" s="13"/>
      <c r="N73" s="17"/>
      <c r="O73" s="5"/>
      <c r="P73" s="5"/>
      <c r="Q73" s="5"/>
      <c r="R73" s="5"/>
      <c r="S73" s="5"/>
      <c r="T73" s="5"/>
      <c r="U73" s="5"/>
      <c r="V73" s="5"/>
      <c r="W73" s="5"/>
      <c r="X73" s="5"/>
      <c r="Y73" s="5"/>
      <c r="Z73" s="5"/>
      <c r="AA73" s="5"/>
      <c r="AB73" s="5"/>
      <c r="AC73" s="5"/>
      <c r="AD73" s="5"/>
      <c r="AE73" s="5"/>
      <c r="AF73" s="5"/>
    </row>
    <row r="74" spans="1:32" ht="12" customHeight="1">
      <c r="A74" s="1" t="s">
        <v>99</v>
      </c>
      <c r="B74" s="2" t="s">
        <v>86</v>
      </c>
      <c r="C74" s="8">
        <v>14</v>
      </c>
      <c r="D74" s="2" t="s">
        <v>87</v>
      </c>
      <c r="E74" s="8">
        <v>1333</v>
      </c>
      <c r="F74" s="16"/>
      <c r="G74" s="15" t="s">
        <v>31</v>
      </c>
      <c r="H74" s="16"/>
      <c r="I74" s="15" t="s">
        <v>31</v>
      </c>
      <c r="J74" s="15" t="s">
        <v>31</v>
      </c>
      <c r="K74" s="15" t="s">
        <v>31</v>
      </c>
      <c r="L74" s="15" t="s">
        <v>31</v>
      </c>
      <c r="M74" s="13"/>
      <c r="N74" s="17"/>
      <c r="O74" s="5"/>
      <c r="P74" s="5"/>
      <c r="Q74" s="5"/>
      <c r="R74" s="5"/>
      <c r="S74" s="5"/>
      <c r="T74" s="5"/>
      <c r="U74" s="5"/>
      <c r="V74" s="5"/>
      <c r="W74" s="5"/>
      <c r="X74" s="5"/>
      <c r="Y74" s="5"/>
      <c r="Z74" s="5"/>
      <c r="AA74" s="5"/>
      <c r="AB74" s="5"/>
      <c r="AC74" s="5"/>
      <c r="AD74" s="5"/>
      <c r="AE74" s="5"/>
      <c r="AF74" s="5"/>
    </row>
    <row r="75" spans="1:32" ht="12" customHeight="1">
      <c r="A75" s="33" t="s">
        <v>101</v>
      </c>
      <c r="B75" s="5"/>
      <c r="C75" s="5"/>
      <c r="D75" s="5"/>
      <c r="E75" s="8">
        <v>1340</v>
      </c>
      <c r="F75" s="15" t="s">
        <v>31</v>
      </c>
      <c r="G75" s="15" t="s">
        <v>31</v>
      </c>
      <c r="H75" s="15" t="s">
        <v>31</v>
      </c>
      <c r="I75" s="15" t="s">
        <v>31</v>
      </c>
      <c r="J75" s="15" t="s">
        <v>31</v>
      </c>
      <c r="K75" s="15" t="s">
        <v>31</v>
      </c>
      <c r="L75" s="15" t="s">
        <v>31</v>
      </c>
      <c r="M75" s="13"/>
      <c r="N75" s="17"/>
      <c r="O75" s="5"/>
      <c r="P75" s="5"/>
      <c r="Q75" s="5"/>
      <c r="R75" s="5"/>
      <c r="S75" s="5"/>
      <c r="T75" s="5"/>
      <c r="U75" s="5"/>
      <c r="V75" s="5"/>
      <c r="W75" s="5"/>
      <c r="X75" s="5"/>
      <c r="Y75" s="5"/>
      <c r="Z75" s="5"/>
      <c r="AA75" s="5"/>
      <c r="AB75" s="5"/>
      <c r="AC75" s="5"/>
      <c r="AD75" s="5"/>
      <c r="AE75" s="5"/>
      <c r="AF75" s="5"/>
    </row>
    <row r="76" spans="1:32" ht="12" customHeight="1">
      <c r="A76" s="1" t="s">
        <v>93</v>
      </c>
      <c r="B76" s="2" t="s">
        <v>86</v>
      </c>
      <c r="C76" s="8">
        <v>15</v>
      </c>
      <c r="D76" s="2" t="s">
        <v>87</v>
      </c>
      <c r="E76" s="8">
        <v>1341</v>
      </c>
      <c r="F76" s="16"/>
      <c r="G76" s="15" t="s">
        <v>31</v>
      </c>
      <c r="H76" s="16"/>
      <c r="I76" s="15" t="s">
        <v>31</v>
      </c>
      <c r="J76" s="15" t="s">
        <v>31</v>
      </c>
      <c r="K76" s="15" t="s">
        <v>31</v>
      </c>
      <c r="L76" s="15" t="s">
        <v>31</v>
      </c>
      <c r="M76" s="13"/>
      <c r="N76" s="17"/>
      <c r="O76" s="5"/>
      <c r="P76" s="5"/>
      <c r="Q76" s="5"/>
      <c r="R76" s="5"/>
      <c r="S76" s="5"/>
      <c r="T76" s="5"/>
      <c r="U76" s="5"/>
      <c r="V76" s="5"/>
      <c r="W76" s="5"/>
      <c r="X76" s="5"/>
      <c r="Y76" s="5"/>
      <c r="Z76" s="5"/>
      <c r="AA76" s="5"/>
      <c r="AB76" s="5"/>
      <c r="AC76" s="5"/>
      <c r="AD76" s="5"/>
      <c r="AE76" s="5"/>
      <c r="AF76" s="5"/>
    </row>
    <row r="77" spans="1:32" ht="12" customHeight="1">
      <c r="A77" s="1" t="s">
        <v>98</v>
      </c>
      <c r="B77" s="2" t="s">
        <v>86</v>
      </c>
      <c r="C77" s="8">
        <v>16</v>
      </c>
      <c r="D77" s="2" t="s">
        <v>87</v>
      </c>
      <c r="E77" s="8">
        <v>1342</v>
      </c>
      <c r="F77" s="16"/>
      <c r="G77" s="15" t="s">
        <v>31</v>
      </c>
      <c r="H77" s="16"/>
      <c r="I77" s="15" t="s">
        <v>31</v>
      </c>
      <c r="J77" s="15" t="s">
        <v>31</v>
      </c>
      <c r="K77" s="15" t="s">
        <v>31</v>
      </c>
      <c r="L77" s="15" t="s">
        <v>31</v>
      </c>
      <c r="M77" s="13"/>
      <c r="N77" s="17"/>
      <c r="O77" s="5"/>
      <c r="P77" s="5"/>
      <c r="Q77" s="5"/>
      <c r="R77" s="5"/>
      <c r="S77" s="5"/>
      <c r="T77" s="5"/>
      <c r="U77" s="5"/>
      <c r="V77" s="5"/>
      <c r="W77" s="5"/>
      <c r="X77" s="5"/>
      <c r="Y77" s="5"/>
      <c r="Z77" s="5"/>
      <c r="AA77" s="5"/>
      <c r="AB77" s="5"/>
      <c r="AC77" s="5"/>
      <c r="AD77" s="5"/>
      <c r="AE77" s="5"/>
      <c r="AF77" s="5"/>
    </row>
    <row r="78" spans="1:32" ht="12" customHeight="1">
      <c r="A78" s="1" t="s">
        <v>89</v>
      </c>
      <c r="B78" s="2" t="s">
        <v>86</v>
      </c>
      <c r="C78" s="8">
        <v>17</v>
      </c>
      <c r="D78" s="2" t="s">
        <v>87</v>
      </c>
      <c r="E78" s="8">
        <v>1349</v>
      </c>
      <c r="F78" s="16"/>
      <c r="G78" s="15" t="s">
        <v>31</v>
      </c>
      <c r="H78" s="16"/>
      <c r="I78" s="15" t="s">
        <v>31</v>
      </c>
      <c r="J78" s="15" t="s">
        <v>31</v>
      </c>
      <c r="K78" s="15" t="s">
        <v>31</v>
      </c>
      <c r="L78" s="15" t="s">
        <v>31</v>
      </c>
      <c r="N78" s="27"/>
    </row>
    <row r="79" spans="1:32" ht="12" customHeight="1">
      <c r="A79" s="19" t="s">
        <v>102</v>
      </c>
      <c r="B79" s="20" t="s">
        <v>86</v>
      </c>
      <c r="C79" s="20" t="s">
        <v>103</v>
      </c>
      <c r="D79" s="20" t="s">
        <v>87</v>
      </c>
      <c r="E79" s="21">
        <v>1300</v>
      </c>
      <c r="F79" s="22">
        <f>SUM(F63:F78)</f>
        <v>6585</v>
      </c>
      <c r="G79" s="23" t="s">
        <v>31</v>
      </c>
      <c r="H79" s="22">
        <f>SUM(H63:H78)</f>
        <v>0</v>
      </c>
      <c r="I79" s="23" t="s">
        <v>31</v>
      </c>
      <c r="J79" s="23" t="s">
        <v>31</v>
      </c>
      <c r="K79" s="23" t="s">
        <v>31</v>
      </c>
      <c r="L79" s="23" t="s">
        <v>31</v>
      </c>
      <c r="M79" s="13"/>
      <c r="N79" s="17"/>
      <c r="O79" s="5"/>
      <c r="P79" s="5"/>
      <c r="Q79" s="5"/>
      <c r="R79" s="5"/>
      <c r="S79" s="5"/>
      <c r="T79" s="5"/>
      <c r="U79" s="5"/>
      <c r="V79" s="5"/>
      <c r="W79" s="5"/>
      <c r="X79" s="5"/>
      <c r="Y79" s="5"/>
      <c r="Z79" s="5"/>
      <c r="AA79" s="5"/>
      <c r="AB79" s="5"/>
      <c r="AC79" s="5"/>
      <c r="AD79" s="5"/>
      <c r="AE79" s="5"/>
      <c r="AF79" s="5"/>
    </row>
    <row r="80" spans="1:32" ht="12" customHeight="1">
      <c r="C80" s="34"/>
      <c r="D80" s="34"/>
      <c r="E80" s="34"/>
      <c r="F80" s="10" t="s">
        <v>18</v>
      </c>
      <c r="G80" s="10" t="s">
        <v>19</v>
      </c>
      <c r="H80" s="10" t="s">
        <v>20</v>
      </c>
      <c r="I80" s="10" t="s">
        <v>21</v>
      </c>
      <c r="J80" s="10" t="s">
        <v>22</v>
      </c>
      <c r="K80" s="28"/>
      <c r="L80" s="28"/>
      <c r="M80" s="13"/>
      <c r="N80" s="17"/>
      <c r="O80" s="5"/>
      <c r="P80" s="5"/>
      <c r="Q80" s="5"/>
      <c r="R80" s="5"/>
      <c r="S80" s="5"/>
      <c r="T80" s="5"/>
      <c r="U80" s="5"/>
      <c r="V80" s="5"/>
      <c r="W80" s="5"/>
      <c r="X80" s="5"/>
      <c r="Y80" s="5"/>
      <c r="Z80" s="5"/>
      <c r="AA80" s="5"/>
      <c r="AB80" s="5"/>
      <c r="AC80" s="5"/>
      <c r="AD80" s="5"/>
      <c r="AE80" s="5"/>
      <c r="AF80" s="5"/>
    </row>
    <row r="81" spans="1:32" ht="12" customHeight="1">
      <c r="A81" s="33" t="s">
        <v>104</v>
      </c>
      <c r="B81" s="5"/>
      <c r="C81" s="10"/>
      <c r="D81" s="10"/>
      <c r="E81" s="10"/>
      <c r="F81" s="10"/>
      <c r="G81" s="10"/>
      <c r="H81" s="10" t="s">
        <v>25</v>
      </c>
      <c r="I81" s="10"/>
      <c r="J81" s="10"/>
      <c r="K81" s="28"/>
      <c r="L81" s="28"/>
      <c r="M81" s="13"/>
      <c r="N81" s="17"/>
      <c r="O81" s="5"/>
      <c r="P81" s="5"/>
      <c r="Q81" s="5"/>
      <c r="R81" s="5"/>
      <c r="S81" s="5"/>
      <c r="T81" s="5"/>
      <c r="U81" s="5"/>
      <c r="V81" s="5"/>
      <c r="W81" s="5"/>
      <c r="X81" s="5"/>
      <c r="Y81" s="5"/>
      <c r="Z81" s="5"/>
      <c r="AA81" s="5"/>
      <c r="AB81" s="5"/>
      <c r="AC81" s="5"/>
      <c r="AD81" s="5"/>
      <c r="AE81" s="5"/>
      <c r="AF81" s="5"/>
    </row>
    <row r="82" spans="1:32" ht="12" customHeight="1">
      <c r="A82" s="33" t="s">
        <v>105</v>
      </c>
      <c r="B82" s="5"/>
      <c r="C82" s="10"/>
      <c r="D82" s="10"/>
      <c r="E82" s="8">
        <v>1410</v>
      </c>
      <c r="F82" s="12" t="s">
        <v>23</v>
      </c>
      <c r="G82" s="12" t="s">
        <v>24</v>
      </c>
      <c r="H82" s="12" t="s">
        <v>29</v>
      </c>
      <c r="I82" s="12" t="s">
        <v>26</v>
      </c>
      <c r="J82" s="12" t="s">
        <v>27</v>
      </c>
      <c r="K82" s="28"/>
      <c r="L82" s="28"/>
      <c r="M82" s="13"/>
      <c r="N82" s="17"/>
      <c r="O82" s="5"/>
      <c r="P82" s="5"/>
      <c r="Q82" s="5"/>
      <c r="R82" s="5"/>
      <c r="S82" s="5"/>
      <c r="T82" s="5"/>
      <c r="U82" s="5"/>
      <c r="V82" s="5"/>
      <c r="W82" s="5"/>
      <c r="X82" s="5"/>
      <c r="Y82" s="5"/>
      <c r="Z82" s="5"/>
      <c r="AA82" s="5"/>
      <c r="AB82" s="5"/>
      <c r="AC82" s="5"/>
      <c r="AD82" s="5"/>
      <c r="AE82" s="5"/>
      <c r="AF82" s="5"/>
    </row>
    <row r="83" spans="1:32" ht="12" customHeight="1">
      <c r="A83" s="1" t="s">
        <v>93</v>
      </c>
      <c r="B83" s="2" t="s">
        <v>106</v>
      </c>
      <c r="C83" s="8">
        <v>1</v>
      </c>
      <c r="D83" s="2" t="s">
        <v>87</v>
      </c>
      <c r="E83" s="8">
        <v>1411</v>
      </c>
      <c r="F83" s="16"/>
      <c r="G83" s="15" t="s">
        <v>31</v>
      </c>
      <c r="H83" s="16"/>
      <c r="I83" s="15" t="s">
        <v>31</v>
      </c>
      <c r="J83" s="15" t="s">
        <v>31</v>
      </c>
      <c r="K83" s="15" t="s">
        <v>31</v>
      </c>
      <c r="L83" s="15" t="s">
        <v>31</v>
      </c>
      <c r="M83" s="13"/>
      <c r="N83" s="17"/>
      <c r="O83" s="5"/>
      <c r="P83" s="5"/>
      <c r="Q83" s="5"/>
      <c r="R83" s="5"/>
      <c r="S83" s="5"/>
      <c r="T83" s="5"/>
      <c r="U83" s="5"/>
      <c r="V83" s="5"/>
      <c r="W83" s="5"/>
      <c r="X83" s="5"/>
      <c r="Y83" s="5"/>
      <c r="Z83" s="5"/>
      <c r="AA83" s="5"/>
      <c r="AB83" s="5"/>
      <c r="AC83" s="5"/>
      <c r="AD83" s="5"/>
      <c r="AE83" s="5"/>
      <c r="AF83" s="5"/>
    </row>
    <row r="84" spans="1:32" ht="12" customHeight="1">
      <c r="A84" s="1" t="s">
        <v>94</v>
      </c>
      <c r="B84" s="2" t="s">
        <v>106</v>
      </c>
      <c r="C84" s="8">
        <v>2</v>
      </c>
      <c r="D84" s="2" t="s">
        <v>87</v>
      </c>
      <c r="E84" s="8">
        <v>1414</v>
      </c>
      <c r="F84" s="16"/>
      <c r="G84" s="15" t="s">
        <v>31</v>
      </c>
      <c r="H84" s="16"/>
      <c r="I84" s="15" t="s">
        <v>31</v>
      </c>
      <c r="J84" s="15" t="s">
        <v>31</v>
      </c>
      <c r="K84" s="15" t="s">
        <v>31</v>
      </c>
      <c r="L84" s="15" t="s">
        <v>31</v>
      </c>
      <c r="M84" s="13"/>
      <c r="N84" s="17"/>
      <c r="O84" s="5"/>
      <c r="P84" s="5"/>
      <c r="Q84" s="5"/>
      <c r="R84" s="5"/>
      <c r="S84" s="5"/>
      <c r="T84" s="5"/>
      <c r="U84" s="5"/>
      <c r="V84" s="5"/>
      <c r="W84" s="5"/>
      <c r="X84" s="5"/>
      <c r="Y84" s="5"/>
      <c r="Z84" s="5"/>
      <c r="AA84" s="5"/>
      <c r="AB84" s="5"/>
      <c r="AC84" s="5"/>
      <c r="AD84" s="5"/>
      <c r="AE84" s="5"/>
      <c r="AF84" s="5"/>
    </row>
    <row r="85" spans="1:32" ht="12" customHeight="1">
      <c r="A85" s="33" t="s">
        <v>107</v>
      </c>
      <c r="B85" s="5"/>
      <c r="C85" s="10"/>
      <c r="D85" s="10"/>
      <c r="E85" s="8">
        <v>1420</v>
      </c>
      <c r="F85" s="15" t="s">
        <v>31</v>
      </c>
      <c r="G85" s="15" t="s">
        <v>31</v>
      </c>
      <c r="H85" s="15" t="s">
        <v>31</v>
      </c>
      <c r="I85" s="15" t="s">
        <v>31</v>
      </c>
      <c r="J85" s="15" t="s">
        <v>31</v>
      </c>
      <c r="K85" s="15" t="s">
        <v>31</v>
      </c>
      <c r="L85" s="15" t="s">
        <v>31</v>
      </c>
      <c r="M85" s="13"/>
      <c r="N85" s="17"/>
      <c r="O85" s="5"/>
      <c r="P85" s="5"/>
      <c r="Q85" s="5"/>
      <c r="R85" s="5"/>
      <c r="S85" s="5"/>
      <c r="T85" s="5"/>
      <c r="U85" s="5"/>
      <c r="V85" s="5"/>
      <c r="W85" s="5"/>
      <c r="X85" s="5"/>
      <c r="Y85" s="5"/>
      <c r="Z85" s="5"/>
      <c r="AA85" s="5"/>
      <c r="AB85" s="5"/>
      <c r="AC85" s="5"/>
      <c r="AD85" s="5"/>
      <c r="AE85" s="5"/>
      <c r="AF85" s="5"/>
    </row>
    <row r="86" spans="1:32" ht="12" customHeight="1">
      <c r="A86" s="1" t="s">
        <v>93</v>
      </c>
      <c r="B86" s="1" t="s">
        <v>106</v>
      </c>
      <c r="C86" s="8">
        <v>3</v>
      </c>
      <c r="D86" s="2" t="s">
        <v>87</v>
      </c>
      <c r="E86" s="8">
        <v>1421</v>
      </c>
      <c r="F86" s="16"/>
      <c r="G86" s="15" t="s">
        <v>31</v>
      </c>
      <c r="H86" s="16"/>
      <c r="I86" s="15" t="s">
        <v>31</v>
      </c>
      <c r="J86" s="15" t="s">
        <v>31</v>
      </c>
      <c r="K86" s="15" t="s">
        <v>31</v>
      </c>
      <c r="L86" s="15" t="s">
        <v>31</v>
      </c>
      <c r="M86" s="13"/>
      <c r="N86" s="17"/>
      <c r="O86" s="5"/>
      <c r="P86" s="5"/>
      <c r="Q86" s="5"/>
      <c r="R86" s="5"/>
      <c r="S86" s="5"/>
      <c r="T86" s="5"/>
      <c r="U86" s="5"/>
      <c r="V86" s="5"/>
      <c r="W86" s="5"/>
      <c r="X86" s="5"/>
      <c r="Y86" s="5"/>
      <c r="Z86" s="5"/>
      <c r="AA86" s="5"/>
      <c r="AB86" s="5"/>
      <c r="AC86" s="5"/>
      <c r="AD86" s="5"/>
      <c r="AE86" s="5"/>
      <c r="AF86" s="5"/>
    </row>
    <row r="87" spans="1:32" ht="12" customHeight="1">
      <c r="A87" s="1" t="s">
        <v>98</v>
      </c>
      <c r="B87" s="2" t="s">
        <v>106</v>
      </c>
      <c r="C87" s="8">
        <v>4</v>
      </c>
      <c r="D87" s="2" t="s">
        <v>87</v>
      </c>
      <c r="E87" s="8">
        <v>1422</v>
      </c>
      <c r="F87" s="16"/>
      <c r="G87" s="15" t="s">
        <v>31</v>
      </c>
      <c r="H87" s="16"/>
      <c r="I87" s="15" t="s">
        <v>31</v>
      </c>
      <c r="J87" s="15" t="s">
        <v>31</v>
      </c>
      <c r="K87" s="15" t="s">
        <v>31</v>
      </c>
      <c r="L87" s="15" t="s">
        <v>31</v>
      </c>
      <c r="M87" s="13"/>
      <c r="N87" s="17"/>
      <c r="O87" s="5"/>
      <c r="P87" s="5"/>
      <c r="Q87" s="5"/>
      <c r="R87" s="5"/>
      <c r="S87" s="5"/>
      <c r="T87" s="5"/>
      <c r="U87" s="5"/>
      <c r="V87" s="5"/>
      <c r="W87" s="5"/>
      <c r="X87" s="5"/>
      <c r="Y87" s="5"/>
      <c r="Z87" s="5"/>
      <c r="AA87" s="5"/>
      <c r="AB87" s="5"/>
      <c r="AC87" s="5"/>
      <c r="AD87" s="5"/>
      <c r="AE87" s="5"/>
      <c r="AF87" s="5"/>
    </row>
    <row r="88" spans="1:32" ht="12" customHeight="1">
      <c r="A88" s="1" t="s">
        <v>99</v>
      </c>
      <c r="B88" s="2" t="s">
        <v>106</v>
      </c>
      <c r="C88" s="8">
        <v>5</v>
      </c>
      <c r="D88" s="2" t="s">
        <v>87</v>
      </c>
      <c r="E88" s="8">
        <v>1423</v>
      </c>
      <c r="F88" s="16"/>
      <c r="G88" s="15" t="s">
        <v>31</v>
      </c>
      <c r="H88" s="16"/>
      <c r="I88" s="15" t="s">
        <v>31</v>
      </c>
      <c r="J88" s="15" t="s">
        <v>31</v>
      </c>
      <c r="K88" s="15" t="s">
        <v>31</v>
      </c>
      <c r="L88" s="15" t="s">
        <v>31</v>
      </c>
      <c r="M88" s="13"/>
      <c r="N88" s="17"/>
      <c r="O88" s="5"/>
      <c r="P88" s="5"/>
      <c r="Q88" s="5"/>
      <c r="R88" s="5"/>
      <c r="S88" s="5"/>
      <c r="T88" s="5"/>
      <c r="U88" s="5"/>
      <c r="V88" s="5"/>
      <c r="W88" s="5"/>
      <c r="X88" s="5"/>
      <c r="Y88" s="5"/>
      <c r="Z88" s="5"/>
      <c r="AA88" s="5"/>
      <c r="AB88" s="5"/>
      <c r="AC88" s="5"/>
      <c r="AD88" s="5"/>
      <c r="AE88" s="5"/>
      <c r="AF88" s="5"/>
    </row>
    <row r="89" spans="1:32" ht="12" customHeight="1">
      <c r="A89" s="33" t="s">
        <v>108</v>
      </c>
      <c r="B89" s="5"/>
      <c r="C89" s="10"/>
      <c r="D89" s="10"/>
      <c r="E89" s="8">
        <v>1430</v>
      </c>
      <c r="F89" s="15" t="s">
        <v>31</v>
      </c>
      <c r="G89" s="15" t="s">
        <v>31</v>
      </c>
      <c r="H89" s="15" t="s">
        <v>31</v>
      </c>
      <c r="I89" s="15" t="s">
        <v>31</v>
      </c>
      <c r="J89" s="15" t="s">
        <v>31</v>
      </c>
      <c r="K89" s="15" t="s">
        <v>31</v>
      </c>
      <c r="L89" s="15" t="s">
        <v>31</v>
      </c>
      <c r="M89" s="13"/>
      <c r="N89" s="17"/>
      <c r="O89" s="5"/>
      <c r="P89" s="5"/>
      <c r="Q89" s="5"/>
      <c r="R89" s="5"/>
      <c r="S89" s="5"/>
      <c r="T89" s="5"/>
      <c r="U89" s="5"/>
      <c r="V89" s="5"/>
      <c r="W89" s="5"/>
      <c r="X89" s="5"/>
      <c r="Y89" s="5"/>
      <c r="Z89" s="5"/>
      <c r="AA89" s="5"/>
      <c r="AB89" s="5"/>
      <c r="AC89" s="5"/>
      <c r="AD89" s="5"/>
      <c r="AE89" s="5"/>
      <c r="AF89" s="5"/>
    </row>
    <row r="90" spans="1:32" ht="12" customHeight="1">
      <c r="A90" s="1" t="s">
        <v>93</v>
      </c>
      <c r="B90" s="2" t="s">
        <v>106</v>
      </c>
      <c r="C90" s="8">
        <v>6</v>
      </c>
      <c r="D90" s="2" t="s">
        <v>87</v>
      </c>
      <c r="E90" s="8">
        <v>1431</v>
      </c>
      <c r="F90" s="16"/>
      <c r="G90" s="15" t="s">
        <v>31</v>
      </c>
      <c r="H90" s="16"/>
      <c r="I90" s="15" t="s">
        <v>31</v>
      </c>
      <c r="J90" s="15" t="s">
        <v>31</v>
      </c>
      <c r="K90" s="15" t="s">
        <v>31</v>
      </c>
      <c r="L90" s="15" t="s">
        <v>31</v>
      </c>
      <c r="M90" s="13"/>
      <c r="N90" s="17"/>
      <c r="O90" s="5"/>
      <c r="P90" s="5"/>
      <c r="Q90" s="5"/>
      <c r="R90" s="5"/>
      <c r="S90" s="5"/>
      <c r="T90" s="5"/>
      <c r="U90" s="5"/>
      <c r="V90" s="5"/>
      <c r="W90" s="5"/>
      <c r="X90" s="5"/>
      <c r="Y90" s="5"/>
      <c r="Z90" s="5"/>
      <c r="AA90" s="5"/>
      <c r="AB90" s="5"/>
      <c r="AC90" s="5"/>
      <c r="AD90" s="5"/>
      <c r="AE90" s="5"/>
      <c r="AF90" s="5"/>
    </row>
    <row r="91" spans="1:32" ht="12" customHeight="1">
      <c r="A91" s="1" t="s">
        <v>98</v>
      </c>
      <c r="B91" s="2" t="s">
        <v>106</v>
      </c>
      <c r="C91" s="8">
        <v>7</v>
      </c>
      <c r="D91" s="2" t="s">
        <v>87</v>
      </c>
      <c r="E91" s="8">
        <v>1432</v>
      </c>
      <c r="F91" s="16"/>
      <c r="G91" s="15" t="s">
        <v>31</v>
      </c>
      <c r="H91" s="16"/>
      <c r="I91" s="15" t="s">
        <v>31</v>
      </c>
      <c r="J91" s="15" t="s">
        <v>31</v>
      </c>
      <c r="K91" s="15" t="s">
        <v>31</v>
      </c>
      <c r="L91" s="15" t="s">
        <v>31</v>
      </c>
      <c r="M91" s="13"/>
      <c r="N91" s="17"/>
      <c r="O91" s="5"/>
      <c r="P91" s="5"/>
      <c r="Q91" s="5"/>
      <c r="R91" s="5"/>
      <c r="S91" s="5"/>
      <c r="T91" s="5"/>
      <c r="U91" s="5"/>
      <c r="V91" s="5"/>
      <c r="W91" s="5"/>
      <c r="X91" s="5"/>
      <c r="Y91" s="5"/>
      <c r="Z91" s="5"/>
      <c r="AA91" s="5"/>
      <c r="AB91" s="5"/>
      <c r="AC91" s="5"/>
      <c r="AD91" s="5"/>
      <c r="AE91" s="5"/>
      <c r="AF91" s="5"/>
    </row>
    <row r="92" spans="1:32" ht="12" customHeight="1">
      <c r="A92" s="1" t="s">
        <v>99</v>
      </c>
      <c r="B92" s="2" t="s">
        <v>106</v>
      </c>
      <c r="C92" s="8">
        <v>8</v>
      </c>
      <c r="D92" s="2" t="s">
        <v>87</v>
      </c>
      <c r="E92" s="8">
        <v>1433</v>
      </c>
      <c r="F92" s="16"/>
      <c r="G92" s="15" t="s">
        <v>31</v>
      </c>
      <c r="H92" s="16"/>
      <c r="I92" s="15" t="s">
        <v>31</v>
      </c>
      <c r="J92" s="15" t="s">
        <v>31</v>
      </c>
      <c r="K92" s="15" t="s">
        <v>31</v>
      </c>
      <c r="L92" s="15" t="s">
        <v>31</v>
      </c>
      <c r="M92" s="13"/>
      <c r="N92" s="17"/>
      <c r="O92" s="5"/>
      <c r="P92" s="5"/>
      <c r="Q92" s="5"/>
      <c r="R92" s="5"/>
      <c r="S92" s="5"/>
      <c r="T92" s="5"/>
      <c r="U92" s="5"/>
      <c r="V92" s="5"/>
      <c r="W92" s="5"/>
      <c r="X92" s="5"/>
      <c r="Y92" s="5"/>
      <c r="Z92" s="5"/>
      <c r="AA92" s="5"/>
      <c r="AB92" s="5"/>
      <c r="AC92" s="5"/>
      <c r="AD92" s="5"/>
      <c r="AE92" s="5"/>
      <c r="AF92" s="5"/>
    </row>
    <row r="93" spans="1:32" ht="12" customHeight="1">
      <c r="A93" s="1" t="s">
        <v>109</v>
      </c>
      <c r="B93" s="2" t="s">
        <v>106</v>
      </c>
      <c r="C93" s="8">
        <v>9</v>
      </c>
      <c r="D93" s="2" t="s">
        <v>87</v>
      </c>
      <c r="E93" s="8">
        <v>1440</v>
      </c>
      <c r="F93" s="16"/>
      <c r="G93" s="15" t="s">
        <v>31</v>
      </c>
      <c r="H93" s="16"/>
      <c r="I93" s="15" t="s">
        <v>31</v>
      </c>
      <c r="J93" s="15" t="s">
        <v>31</v>
      </c>
      <c r="K93" s="15" t="s">
        <v>31</v>
      </c>
      <c r="L93" s="15" t="s">
        <v>31</v>
      </c>
      <c r="M93" s="13"/>
      <c r="N93" s="17"/>
      <c r="O93" s="5"/>
      <c r="P93" s="5"/>
      <c r="Q93" s="5"/>
      <c r="R93" s="5"/>
      <c r="S93" s="5"/>
      <c r="T93" s="5"/>
      <c r="U93" s="5"/>
      <c r="V93" s="5"/>
      <c r="W93" s="5"/>
      <c r="X93" s="5"/>
      <c r="Y93" s="5"/>
      <c r="Z93" s="5"/>
      <c r="AA93" s="5"/>
      <c r="AB93" s="5"/>
      <c r="AC93" s="5"/>
      <c r="AD93" s="5"/>
      <c r="AE93" s="5"/>
      <c r="AF93" s="5"/>
    </row>
    <row r="94" spans="1:32" ht="12" customHeight="1">
      <c r="A94" s="19" t="s">
        <v>110</v>
      </c>
      <c r="B94" s="20" t="s">
        <v>106</v>
      </c>
      <c r="C94" s="21">
        <v>10</v>
      </c>
      <c r="D94" s="20" t="s">
        <v>87</v>
      </c>
      <c r="E94" s="21">
        <v>1400</v>
      </c>
      <c r="F94" s="22">
        <f>SUM(F83:F93)</f>
        <v>0</v>
      </c>
      <c r="G94" s="23" t="s">
        <v>31</v>
      </c>
      <c r="H94" s="22">
        <f>SUM(H83:H93)</f>
        <v>0</v>
      </c>
      <c r="I94" s="23" t="s">
        <v>31</v>
      </c>
      <c r="J94" s="23" t="s">
        <v>31</v>
      </c>
      <c r="K94" s="23" t="s">
        <v>31</v>
      </c>
      <c r="L94" s="23" t="s">
        <v>31</v>
      </c>
      <c r="M94" s="13"/>
      <c r="N94" s="17"/>
      <c r="O94" s="5"/>
      <c r="P94" s="5"/>
      <c r="Q94" s="5"/>
      <c r="R94" s="5"/>
      <c r="S94" s="5"/>
      <c r="T94" s="5"/>
      <c r="U94" s="5"/>
      <c r="V94" s="5"/>
      <c r="W94" s="5"/>
      <c r="X94" s="5"/>
      <c r="Y94" s="5"/>
      <c r="Z94" s="5"/>
      <c r="AA94" s="5"/>
      <c r="AB94" s="5"/>
      <c r="AC94" s="5"/>
      <c r="AD94" s="5"/>
      <c r="AE94" s="5"/>
      <c r="AF94" s="5"/>
    </row>
    <row r="95" spans="1:32" ht="12" customHeight="1">
      <c r="A95" s="33" t="s">
        <v>111</v>
      </c>
      <c r="B95" s="2" t="s">
        <v>61</v>
      </c>
      <c r="C95" s="8" t="s">
        <v>61</v>
      </c>
      <c r="D95" s="8"/>
      <c r="E95" s="8"/>
      <c r="F95" s="15" t="s">
        <v>31</v>
      </c>
      <c r="G95" s="15" t="s">
        <v>31</v>
      </c>
      <c r="H95" s="15" t="s">
        <v>31</v>
      </c>
      <c r="I95" s="15" t="s">
        <v>31</v>
      </c>
      <c r="J95" s="15" t="s">
        <v>31</v>
      </c>
      <c r="K95" s="15" t="s">
        <v>31</v>
      </c>
      <c r="L95" s="15" t="s">
        <v>31</v>
      </c>
      <c r="M95" s="13"/>
      <c r="N95" s="17"/>
      <c r="O95" s="5"/>
      <c r="P95" s="5"/>
      <c r="Q95" s="5"/>
      <c r="R95" s="5"/>
      <c r="S95" s="5"/>
      <c r="T95" s="5"/>
      <c r="U95" s="5"/>
      <c r="V95" s="5"/>
      <c r="W95" s="5"/>
      <c r="X95" s="5"/>
      <c r="Y95" s="5"/>
      <c r="Z95" s="5"/>
      <c r="AA95" s="5"/>
      <c r="AB95" s="5"/>
      <c r="AC95" s="5"/>
      <c r="AD95" s="5"/>
      <c r="AE95" s="5"/>
      <c r="AF95" s="5"/>
    </row>
    <row r="96" spans="1:32" ht="12" customHeight="1">
      <c r="A96" s="1" t="s">
        <v>112</v>
      </c>
      <c r="B96" s="2" t="s">
        <v>106</v>
      </c>
      <c r="C96" s="8">
        <v>11</v>
      </c>
      <c r="D96" s="2" t="s">
        <v>87</v>
      </c>
      <c r="E96" s="8">
        <v>1500</v>
      </c>
      <c r="F96" s="16">
        <v>6.72</v>
      </c>
      <c r="G96" s="16"/>
      <c r="H96" s="16"/>
      <c r="I96" s="16"/>
      <c r="J96" s="16">
        <v>268.27</v>
      </c>
      <c r="K96" s="15" t="s">
        <v>31</v>
      </c>
      <c r="L96" s="15" t="s">
        <v>31</v>
      </c>
      <c r="M96" s="13"/>
      <c r="N96" s="17"/>
      <c r="O96" s="5"/>
      <c r="P96" s="5"/>
      <c r="Q96" s="5"/>
      <c r="R96" s="5"/>
      <c r="S96" s="5"/>
      <c r="T96" s="5"/>
      <c r="U96" s="5"/>
      <c r="V96" s="5"/>
      <c r="W96" s="5"/>
      <c r="X96" s="5"/>
      <c r="Y96" s="5"/>
      <c r="Z96" s="5"/>
      <c r="AA96" s="5"/>
      <c r="AB96" s="5"/>
      <c r="AC96" s="5"/>
      <c r="AD96" s="5"/>
      <c r="AE96" s="5"/>
      <c r="AF96" s="5"/>
    </row>
    <row r="97" spans="1:32" ht="12" customHeight="1">
      <c r="A97" s="1" t="s">
        <v>113</v>
      </c>
      <c r="B97" s="2" t="s">
        <v>106</v>
      </c>
      <c r="C97" s="8">
        <v>12</v>
      </c>
      <c r="D97" s="2" t="s">
        <v>87</v>
      </c>
      <c r="E97" s="8">
        <v>1600</v>
      </c>
      <c r="F97" s="15" t="s">
        <v>31</v>
      </c>
      <c r="G97" s="16">
        <f>893.5+2338</f>
        <v>3231.5</v>
      </c>
      <c r="H97" s="15" t="s">
        <v>31</v>
      </c>
      <c r="I97" s="15" t="s">
        <v>31</v>
      </c>
      <c r="J97" s="15" t="s">
        <v>31</v>
      </c>
      <c r="K97" s="15" t="s">
        <v>31</v>
      </c>
      <c r="L97" s="15" t="s">
        <v>31</v>
      </c>
      <c r="M97" s="13"/>
      <c r="N97" s="17"/>
      <c r="O97" s="5"/>
      <c r="P97" s="5"/>
      <c r="Q97" s="5"/>
      <c r="R97" s="5"/>
      <c r="S97" s="5"/>
      <c r="T97" s="5"/>
      <c r="U97" s="5"/>
      <c r="V97" s="5"/>
      <c r="W97" s="5"/>
      <c r="X97" s="5"/>
      <c r="Y97" s="5"/>
      <c r="Z97" s="5"/>
      <c r="AA97" s="5"/>
      <c r="AB97" s="5"/>
      <c r="AC97" s="5"/>
      <c r="AD97" s="5"/>
      <c r="AE97" s="5"/>
      <c r="AF97" s="5"/>
    </row>
    <row r="98" spans="1:32" ht="12" customHeight="1">
      <c r="A98" s="1" t="s">
        <v>114</v>
      </c>
      <c r="B98" s="2" t="s">
        <v>106</v>
      </c>
      <c r="C98" s="8">
        <v>13</v>
      </c>
      <c r="D98" s="2" t="s">
        <v>87</v>
      </c>
      <c r="E98" s="8">
        <v>1700</v>
      </c>
      <c r="F98" s="16"/>
      <c r="G98" s="15" t="s">
        <v>31</v>
      </c>
      <c r="H98" s="16"/>
      <c r="I98" s="15" t="s">
        <v>31</v>
      </c>
      <c r="J98" s="15" t="s">
        <v>31</v>
      </c>
      <c r="K98" s="15" t="s">
        <v>31</v>
      </c>
      <c r="L98" s="15" t="s">
        <v>31</v>
      </c>
      <c r="M98" s="13"/>
      <c r="N98" s="17"/>
      <c r="O98" s="5"/>
      <c r="P98" s="5"/>
      <c r="Q98" s="5"/>
      <c r="R98" s="5"/>
      <c r="S98" s="5"/>
      <c r="T98" s="5"/>
      <c r="U98" s="5"/>
      <c r="V98" s="5"/>
      <c r="W98" s="5"/>
      <c r="X98" s="5"/>
      <c r="Y98" s="5"/>
      <c r="Z98" s="5"/>
      <c r="AA98" s="5"/>
      <c r="AB98" s="5"/>
      <c r="AC98" s="5"/>
      <c r="AD98" s="5"/>
      <c r="AE98" s="5"/>
      <c r="AF98" s="5"/>
    </row>
    <row r="99" spans="1:32" ht="12" customHeight="1">
      <c r="A99" s="1" t="s">
        <v>115</v>
      </c>
      <c r="B99" s="2" t="s">
        <v>106</v>
      </c>
      <c r="C99" s="8">
        <v>14</v>
      </c>
      <c r="D99" s="2" t="s">
        <v>87</v>
      </c>
      <c r="E99" s="8">
        <v>1800</v>
      </c>
      <c r="F99" s="16"/>
      <c r="G99" s="16"/>
      <c r="H99" s="16"/>
      <c r="I99" s="15" t="s">
        <v>31</v>
      </c>
      <c r="J99" s="15" t="s">
        <v>31</v>
      </c>
      <c r="K99" s="15" t="s">
        <v>31</v>
      </c>
      <c r="L99" s="15" t="s">
        <v>31</v>
      </c>
      <c r="M99" s="13"/>
      <c r="N99" s="17"/>
      <c r="O99" s="5"/>
      <c r="P99" s="5"/>
      <c r="Q99" s="5"/>
      <c r="R99" s="5"/>
      <c r="S99" s="5"/>
      <c r="T99" s="5"/>
      <c r="U99" s="5"/>
      <c r="V99" s="5"/>
      <c r="W99" s="5"/>
      <c r="X99" s="5"/>
      <c r="Y99" s="5"/>
      <c r="Z99" s="5"/>
      <c r="AA99" s="5"/>
      <c r="AB99" s="5"/>
      <c r="AC99" s="5"/>
      <c r="AD99" s="5"/>
      <c r="AE99" s="5"/>
      <c r="AF99" s="5"/>
    </row>
    <row r="100" spans="1:32" ht="12" customHeight="1">
      <c r="A100" s="33" t="s">
        <v>116</v>
      </c>
      <c r="B100" s="2"/>
      <c r="C100" s="8"/>
      <c r="D100" s="8"/>
      <c r="E100" s="8"/>
      <c r="F100" s="15" t="s">
        <v>31</v>
      </c>
      <c r="G100" s="15" t="s">
        <v>31</v>
      </c>
      <c r="H100" s="15" t="s">
        <v>31</v>
      </c>
      <c r="I100" s="15" t="s">
        <v>31</v>
      </c>
      <c r="J100" s="15" t="s">
        <v>31</v>
      </c>
      <c r="K100" s="15" t="s">
        <v>31</v>
      </c>
      <c r="L100" s="15" t="s">
        <v>31</v>
      </c>
      <c r="M100" s="13"/>
      <c r="N100" s="17"/>
      <c r="O100" s="5"/>
      <c r="P100" s="5"/>
      <c r="Q100" s="5"/>
      <c r="R100" s="5"/>
      <c r="S100" s="5"/>
      <c r="T100" s="5"/>
      <c r="U100" s="5"/>
      <c r="V100" s="5"/>
      <c r="W100" s="5"/>
      <c r="X100" s="5"/>
      <c r="Y100" s="5"/>
      <c r="Z100" s="5"/>
      <c r="AA100" s="5"/>
      <c r="AB100" s="5"/>
      <c r="AC100" s="5"/>
      <c r="AD100" s="5"/>
      <c r="AE100" s="5"/>
      <c r="AF100" s="5"/>
    </row>
    <row r="101" spans="1:32" ht="12" customHeight="1">
      <c r="A101" s="1" t="s">
        <v>117</v>
      </c>
      <c r="B101" s="2" t="s">
        <v>106</v>
      </c>
      <c r="C101" s="8">
        <v>15</v>
      </c>
      <c r="D101" s="2" t="s">
        <v>87</v>
      </c>
      <c r="E101" s="8">
        <v>1910</v>
      </c>
      <c r="F101" s="16"/>
      <c r="G101" s="16"/>
      <c r="H101" s="16"/>
      <c r="I101" s="16"/>
      <c r="J101" s="15" t="s">
        <v>31</v>
      </c>
      <c r="K101" s="15" t="s">
        <v>31</v>
      </c>
      <c r="L101" s="15" t="s">
        <v>31</v>
      </c>
      <c r="M101" s="13"/>
      <c r="N101" s="17"/>
      <c r="O101" s="5"/>
      <c r="P101" s="5"/>
      <c r="Q101" s="5"/>
      <c r="R101" s="5"/>
      <c r="S101" s="5"/>
      <c r="T101" s="5"/>
      <c r="U101" s="5"/>
      <c r="V101" s="5"/>
      <c r="W101" s="5"/>
      <c r="X101" s="5"/>
      <c r="Y101" s="5"/>
      <c r="Z101" s="5"/>
      <c r="AA101" s="5"/>
      <c r="AB101" s="5"/>
      <c r="AC101" s="5"/>
      <c r="AD101" s="5"/>
      <c r="AE101" s="5"/>
      <c r="AF101" s="5"/>
    </row>
    <row r="102" spans="1:32" ht="12" customHeight="1">
      <c r="A102" s="1" t="s">
        <v>118</v>
      </c>
      <c r="B102" s="2" t="s">
        <v>106</v>
      </c>
      <c r="C102" s="8">
        <v>16</v>
      </c>
      <c r="D102" s="2" t="s">
        <v>87</v>
      </c>
      <c r="E102" s="8">
        <v>1920</v>
      </c>
      <c r="F102" s="16"/>
      <c r="G102" s="16"/>
      <c r="H102" s="16"/>
      <c r="I102" s="16"/>
      <c r="J102" s="16"/>
      <c r="K102" s="15" t="s">
        <v>31</v>
      </c>
      <c r="L102" s="15" t="s">
        <v>31</v>
      </c>
      <c r="M102" s="13"/>
      <c r="N102" s="17"/>
      <c r="O102" s="5"/>
      <c r="P102" s="5"/>
      <c r="Q102" s="5"/>
      <c r="R102" s="5"/>
      <c r="S102" s="5"/>
      <c r="T102" s="5"/>
      <c r="U102" s="5"/>
      <c r="V102" s="5"/>
      <c r="W102" s="5"/>
      <c r="X102" s="5"/>
      <c r="Y102" s="5"/>
      <c r="Z102" s="5"/>
      <c r="AA102" s="5"/>
      <c r="AB102" s="5"/>
      <c r="AC102" s="5"/>
      <c r="AD102" s="5"/>
      <c r="AE102" s="5"/>
      <c r="AF102" s="5"/>
    </row>
    <row r="103" spans="1:32" ht="12" customHeight="1">
      <c r="A103" s="1" t="s">
        <v>119</v>
      </c>
      <c r="B103" s="2" t="s">
        <v>106</v>
      </c>
      <c r="C103" s="8">
        <v>17</v>
      </c>
      <c r="D103" s="2" t="s">
        <v>87</v>
      </c>
      <c r="E103" s="8">
        <v>1930</v>
      </c>
      <c r="F103" s="16"/>
      <c r="G103" s="16"/>
      <c r="H103" s="16"/>
      <c r="I103" s="15" t="s">
        <v>31</v>
      </c>
      <c r="J103" s="15" t="s">
        <v>31</v>
      </c>
      <c r="K103" s="15" t="s">
        <v>31</v>
      </c>
      <c r="L103" s="15" t="s">
        <v>31</v>
      </c>
      <c r="M103" s="13"/>
      <c r="N103" s="17"/>
      <c r="O103" s="5"/>
      <c r="P103" s="5"/>
      <c r="Q103" s="5"/>
      <c r="R103" s="5"/>
      <c r="S103" s="5"/>
      <c r="T103" s="5"/>
      <c r="U103" s="5"/>
      <c r="V103" s="5"/>
      <c r="W103" s="5"/>
      <c r="X103" s="5"/>
      <c r="Y103" s="5"/>
      <c r="Z103" s="5"/>
      <c r="AA103" s="5"/>
      <c r="AB103" s="5"/>
      <c r="AC103" s="5"/>
      <c r="AD103" s="5"/>
      <c r="AE103" s="5"/>
      <c r="AF103" s="5"/>
    </row>
    <row r="104" spans="1:32" ht="12" customHeight="1">
      <c r="A104" s="1" t="s">
        <v>120</v>
      </c>
      <c r="B104" s="2" t="s">
        <v>106</v>
      </c>
      <c r="C104" s="8">
        <v>18</v>
      </c>
      <c r="D104" s="2" t="s">
        <v>87</v>
      </c>
      <c r="E104" s="8">
        <v>1940</v>
      </c>
      <c r="F104" s="16"/>
      <c r="G104" s="15" t="s">
        <v>31</v>
      </c>
      <c r="H104" s="16"/>
      <c r="I104" s="15" t="s">
        <v>31</v>
      </c>
      <c r="J104" s="15" t="s">
        <v>31</v>
      </c>
      <c r="K104" s="15" t="s">
        <v>31</v>
      </c>
      <c r="L104" s="15" t="s">
        <v>31</v>
      </c>
      <c r="M104" s="13"/>
      <c r="N104" s="17"/>
      <c r="O104" s="5"/>
      <c r="P104" s="5"/>
      <c r="Q104" s="5"/>
      <c r="R104" s="5"/>
      <c r="S104" s="5"/>
      <c r="T104" s="5"/>
      <c r="U104" s="5"/>
      <c r="V104" s="5"/>
      <c r="W104" s="5"/>
      <c r="X104" s="5"/>
      <c r="Y104" s="5"/>
      <c r="Z104" s="5"/>
      <c r="AA104" s="5"/>
      <c r="AB104" s="5"/>
      <c r="AC104" s="5"/>
      <c r="AD104" s="5"/>
      <c r="AE104" s="5"/>
      <c r="AF104" s="5"/>
    </row>
    <row r="105" spans="1:32" ht="12" customHeight="1">
      <c r="A105" s="1" t="s">
        <v>121</v>
      </c>
      <c r="B105" s="2" t="s">
        <v>106</v>
      </c>
      <c r="C105" s="8">
        <v>19</v>
      </c>
      <c r="D105" s="2" t="s">
        <v>87</v>
      </c>
      <c r="E105" s="8">
        <v>1951</v>
      </c>
      <c r="F105" s="16"/>
      <c r="G105" s="16"/>
      <c r="H105" s="16"/>
      <c r="I105" s="15" t="s">
        <v>31</v>
      </c>
      <c r="J105" s="15" t="s">
        <v>31</v>
      </c>
      <c r="K105" s="15" t="s">
        <v>31</v>
      </c>
      <c r="L105" s="15" t="s">
        <v>31</v>
      </c>
      <c r="M105" s="13"/>
      <c r="N105" s="17"/>
      <c r="O105" s="5"/>
      <c r="P105" s="5"/>
      <c r="Q105" s="5"/>
      <c r="R105" s="5"/>
      <c r="S105" s="5"/>
      <c r="T105" s="5"/>
      <c r="U105" s="5"/>
      <c r="V105" s="5"/>
      <c r="W105" s="5"/>
      <c r="X105" s="5"/>
      <c r="Y105" s="5"/>
      <c r="Z105" s="5"/>
      <c r="AA105" s="5"/>
      <c r="AB105" s="5"/>
      <c r="AC105" s="5"/>
      <c r="AD105" s="5"/>
      <c r="AE105" s="5"/>
      <c r="AF105" s="5"/>
    </row>
    <row r="106" spans="1:32" ht="12" customHeight="1">
      <c r="A106" s="1" t="s">
        <v>122</v>
      </c>
      <c r="B106" s="2" t="s">
        <v>106</v>
      </c>
      <c r="C106" s="8">
        <v>20</v>
      </c>
      <c r="D106" s="2" t="s">
        <v>87</v>
      </c>
      <c r="E106" s="8">
        <v>1952</v>
      </c>
      <c r="F106" s="16"/>
      <c r="G106" s="16"/>
      <c r="H106" s="16"/>
      <c r="I106" s="15" t="s">
        <v>31</v>
      </c>
      <c r="J106" s="15" t="s">
        <v>31</v>
      </c>
      <c r="K106" s="15" t="s">
        <v>31</v>
      </c>
      <c r="L106" s="15" t="s">
        <v>31</v>
      </c>
      <c r="M106" s="13"/>
      <c r="N106" s="17"/>
      <c r="O106" s="5"/>
      <c r="P106" s="5"/>
      <c r="Q106" s="5"/>
      <c r="R106" s="5"/>
      <c r="S106" s="5"/>
      <c r="T106" s="5"/>
      <c r="U106" s="5"/>
      <c r="V106" s="5"/>
      <c r="W106" s="5"/>
      <c r="X106" s="5"/>
      <c r="Y106" s="5"/>
      <c r="Z106" s="5"/>
      <c r="AA106" s="5"/>
      <c r="AB106" s="5"/>
      <c r="AC106" s="5"/>
      <c r="AD106" s="5"/>
      <c r="AE106" s="5"/>
      <c r="AF106" s="5"/>
    </row>
    <row r="107" spans="1:32" ht="12" customHeight="1">
      <c r="A107" s="1" t="s">
        <v>123</v>
      </c>
      <c r="B107" s="2" t="s">
        <v>106</v>
      </c>
      <c r="C107" s="8">
        <v>21</v>
      </c>
      <c r="D107" s="2" t="s">
        <v>87</v>
      </c>
      <c r="E107" s="8">
        <v>1953</v>
      </c>
      <c r="F107" s="16"/>
      <c r="G107" s="16"/>
      <c r="H107" s="16"/>
      <c r="I107" s="16"/>
      <c r="J107" s="15" t="s">
        <v>31</v>
      </c>
      <c r="K107" s="15" t="s">
        <v>31</v>
      </c>
      <c r="L107" s="15" t="s">
        <v>31</v>
      </c>
      <c r="M107" s="13"/>
      <c r="N107" s="17"/>
      <c r="O107" s="5"/>
      <c r="P107" s="5"/>
      <c r="Q107" s="5"/>
      <c r="R107" s="5"/>
      <c r="S107" s="5"/>
      <c r="T107" s="5"/>
      <c r="U107" s="5"/>
      <c r="V107" s="5"/>
      <c r="W107" s="5"/>
      <c r="X107" s="5"/>
      <c r="Y107" s="5"/>
      <c r="Z107" s="5"/>
      <c r="AA107" s="5"/>
      <c r="AB107" s="5"/>
      <c r="AC107" s="5"/>
      <c r="AD107" s="5"/>
      <c r="AE107" s="5"/>
      <c r="AF107" s="5"/>
    </row>
    <row r="108" spans="1:32" ht="12" customHeight="1">
      <c r="A108" s="1" t="s">
        <v>124</v>
      </c>
      <c r="B108" s="2" t="s">
        <v>106</v>
      </c>
      <c r="C108" s="8">
        <v>22</v>
      </c>
      <c r="D108" s="2" t="s">
        <v>87</v>
      </c>
      <c r="E108" s="8">
        <v>1960</v>
      </c>
      <c r="F108" s="16">
        <v>22.67</v>
      </c>
      <c r="G108" s="16"/>
      <c r="H108" s="16"/>
      <c r="I108" s="16"/>
      <c r="J108" s="15" t="s">
        <v>31</v>
      </c>
      <c r="K108" s="15" t="s">
        <v>31</v>
      </c>
      <c r="L108" s="15" t="s">
        <v>31</v>
      </c>
      <c r="M108" s="13"/>
      <c r="N108" s="17"/>
      <c r="O108" s="5"/>
      <c r="P108" s="5"/>
      <c r="Q108" s="5"/>
      <c r="R108" s="5"/>
      <c r="S108" s="5"/>
      <c r="T108" s="5"/>
      <c r="U108" s="5"/>
      <c r="V108" s="5"/>
      <c r="W108" s="5"/>
      <c r="X108" s="5"/>
      <c r="Y108" s="5"/>
      <c r="Z108" s="5"/>
      <c r="AA108" s="5"/>
      <c r="AB108" s="5"/>
      <c r="AC108" s="5"/>
      <c r="AD108" s="5"/>
      <c r="AE108" s="5"/>
      <c r="AF108" s="5"/>
    </row>
    <row r="109" spans="1:32" ht="12" customHeight="1">
      <c r="A109" s="1" t="s">
        <v>125</v>
      </c>
      <c r="B109" s="2" t="s">
        <v>106</v>
      </c>
      <c r="C109" s="8">
        <v>23</v>
      </c>
      <c r="D109" s="2" t="s">
        <v>87</v>
      </c>
      <c r="E109" s="8">
        <v>1980</v>
      </c>
      <c r="F109" s="16"/>
      <c r="G109" s="16"/>
      <c r="H109" s="16"/>
      <c r="I109" s="16"/>
      <c r="J109" s="15" t="s">
        <v>31</v>
      </c>
      <c r="K109" s="15" t="s">
        <v>31</v>
      </c>
      <c r="L109" s="15" t="s">
        <v>31</v>
      </c>
      <c r="M109" s="13"/>
      <c r="N109" s="17"/>
      <c r="O109" s="5"/>
      <c r="P109" s="5"/>
      <c r="Q109" s="5"/>
      <c r="R109" s="5"/>
      <c r="S109" s="5"/>
      <c r="T109" s="5"/>
      <c r="U109" s="5"/>
      <c r="V109" s="5"/>
      <c r="W109" s="5"/>
      <c r="X109" s="5"/>
      <c r="Y109" s="5"/>
      <c r="Z109" s="5"/>
      <c r="AA109" s="5"/>
      <c r="AB109" s="5"/>
      <c r="AC109" s="5"/>
      <c r="AD109" s="5"/>
      <c r="AE109" s="5"/>
      <c r="AF109" s="5"/>
    </row>
    <row r="110" spans="1:32" ht="12" customHeight="1">
      <c r="A110" s="1" t="s">
        <v>89</v>
      </c>
      <c r="B110" s="2" t="s">
        <v>106</v>
      </c>
      <c r="C110" s="8">
        <v>24</v>
      </c>
      <c r="D110" s="2" t="s">
        <v>87</v>
      </c>
      <c r="E110" s="8">
        <v>1990</v>
      </c>
      <c r="F110" s="16"/>
      <c r="G110" s="16"/>
      <c r="H110" s="16"/>
      <c r="I110" s="16"/>
      <c r="J110" s="16"/>
      <c r="K110" s="15" t="s">
        <v>31</v>
      </c>
      <c r="L110" s="15" t="s">
        <v>31</v>
      </c>
      <c r="M110" s="13"/>
      <c r="N110" s="17"/>
      <c r="O110" s="5"/>
      <c r="P110" s="5"/>
      <c r="Q110" s="5"/>
      <c r="R110" s="5"/>
      <c r="S110" s="5"/>
      <c r="T110" s="5"/>
      <c r="U110" s="5"/>
      <c r="V110" s="5"/>
      <c r="W110" s="5"/>
      <c r="X110" s="5"/>
      <c r="Y110" s="5"/>
      <c r="Z110" s="5"/>
      <c r="AA110" s="5"/>
      <c r="AB110" s="5"/>
      <c r="AC110" s="5"/>
      <c r="AD110" s="5"/>
      <c r="AE110" s="5"/>
      <c r="AF110" s="5"/>
    </row>
    <row r="111" spans="1:32" ht="12" customHeight="1">
      <c r="A111" s="19" t="s">
        <v>126</v>
      </c>
      <c r="B111" s="20" t="s">
        <v>106</v>
      </c>
      <c r="C111" s="21">
        <v>25</v>
      </c>
      <c r="D111" s="20" t="s">
        <v>87</v>
      </c>
      <c r="E111" s="21"/>
      <c r="F111" s="22">
        <f t="shared" ref="F111:J111" si="9">SUM(F96:F110)</f>
        <v>29.39</v>
      </c>
      <c r="G111" s="22">
        <f t="shared" si="9"/>
        <v>3231.5</v>
      </c>
      <c r="H111" s="22">
        <f t="shared" si="9"/>
        <v>0</v>
      </c>
      <c r="I111" s="22">
        <f t="shared" si="9"/>
        <v>0</v>
      </c>
      <c r="J111" s="22">
        <f t="shared" si="9"/>
        <v>268.27</v>
      </c>
      <c r="K111" s="23" t="s">
        <v>31</v>
      </c>
      <c r="L111" s="23" t="s">
        <v>31</v>
      </c>
      <c r="N111" s="27"/>
    </row>
    <row r="112" spans="1:32" ht="12" customHeight="1">
      <c r="A112" s="19" t="s">
        <v>127</v>
      </c>
      <c r="B112" s="20" t="s">
        <v>106</v>
      </c>
      <c r="C112" s="21">
        <v>26</v>
      </c>
      <c r="D112" s="20" t="s">
        <v>87</v>
      </c>
      <c r="E112" s="21">
        <v>1000</v>
      </c>
      <c r="F112" s="22">
        <f>F60+F79+F94+F111</f>
        <v>2107257.39</v>
      </c>
      <c r="G112" s="22">
        <f>G60+G111</f>
        <v>3231.5</v>
      </c>
      <c r="H112" s="22">
        <f>H60+H79+H94+H111</f>
        <v>0</v>
      </c>
      <c r="I112" s="22">
        <f t="shared" ref="I112:J112" si="10">I60+I111</f>
        <v>0</v>
      </c>
      <c r="J112" s="22">
        <f t="shared" si="10"/>
        <v>268.27</v>
      </c>
      <c r="K112" s="23" t="s">
        <v>31</v>
      </c>
      <c r="L112" s="23" t="s">
        <v>31</v>
      </c>
      <c r="M112" s="13"/>
      <c r="N112" s="17"/>
      <c r="O112" s="5"/>
      <c r="P112" s="5"/>
      <c r="Q112" s="5"/>
      <c r="R112" s="5"/>
      <c r="S112" s="5"/>
      <c r="T112" s="5"/>
      <c r="U112" s="5"/>
      <c r="V112" s="5"/>
      <c r="W112" s="5"/>
      <c r="X112" s="5"/>
      <c r="Y112" s="5"/>
      <c r="Z112" s="5"/>
      <c r="AA112" s="5"/>
      <c r="AB112" s="5"/>
      <c r="AC112" s="5"/>
      <c r="AD112" s="5"/>
      <c r="AE112" s="5"/>
      <c r="AF112" s="5"/>
    </row>
    <row r="113" spans="1:32" ht="12" customHeight="1">
      <c r="F113" s="10" t="s">
        <v>18</v>
      </c>
      <c r="G113" s="10" t="s">
        <v>19</v>
      </c>
      <c r="H113" s="10" t="s">
        <v>20</v>
      </c>
      <c r="I113" s="10" t="s">
        <v>21</v>
      </c>
      <c r="J113" s="10" t="s">
        <v>22</v>
      </c>
      <c r="K113" s="28"/>
      <c r="L113" s="28"/>
      <c r="M113" s="13"/>
      <c r="N113" s="17"/>
      <c r="O113" s="5"/>
      <c r="P113" s="5"/>
      <c r="Q113" s="5"/>
      <c r="R113" s="5"/>
      <c r="S113" s="5"/>
      <c r="T113" s="5"/>
      <c r="U113" s="5"/>
      <c r="V113" s="5"/>
      <c r="W113" s="5"/>
      <c r="X113" s="5"/>
      <c r="Y113" s="5"/>
      <c r="Z113" s="5"/>
      <c r="AA113" s="5"/>
      <c r="AB113" s="5"/>
      <c r="AC113" s="5"/>
      <c r="AD113" s="5"/>
      <c r="AE113" s="5"/>
      <c r="AF113" s="5"/>
    </row>
    <row r="114" spans="1:32" ht="12" customHeight="1">
      <c r="A114" s="14" t="s">
        <v>128</v>
      </c>
      <c r="B114" s="5"/>
      <c r="C114" s="5"/>
      <c r="D114" s="5"/>
      <c r="E114" s="5"/>
      <c r="F114" s="5"/>
      <c r="G114" s="5"/>
      <c r="H114" s="10" t="s">
        <v>25</v>
      </c>
      <c r="I114" s="5"/>
      <c r="J114" s="5"/>
      <c r="K114" s="28"/>
      <c r="L114" s="28"/>
      <c r="M114" s="13"/>
      <c r="N114" s="17"/>
      <c r="O114" s="5"/>
      <c r="P114" s="5"/>
      <c r="Q114" s="5"/>
      <c r="R114" s="5"/>
      <c r="S114" s="5"/>
      <c r="T114" s="5"/>
      <c r="U114" s="5"/>
      <c r="V114" s="5"/>
      <c r="W114" s="5"/>
      <c r="X114" s="5"/>
      <c r="Y114" s="5"/>
      <c r="Z114" s="5"/>
      <c r="AA114" s="5"/>
      <c r="AB114" s="5"/>
      <c r="AC114" s="5"/>
      <c r="AD114" s="5"/>
      <c r="AE114" s="5"/>
      <c r="AF114" s="5"/>
    </row>
    <row r="115" spans="1:32" ht="12" customHeight="1">
      <c r="A115" s="29" t="s">
        <v>129</v>
      </c>
      <c r="B115" s="5"/>
      <c r="C115" s="5"/>
      <c r="D115" s="5"/>
      <c r="E115" s="5"/>
      <c r="F115" s="12" t="s">
        <v>23</v>
      </c>
      <c r="G115" s="35" t="s">
        <v>24</v>
      </c>
      <c r="H115" s="12" t="s">
        <v>29</v>
      </c>
      <c r="I115" s="12" t="s">
        <v>26</v>
      </c>
      <c r="J115" s="12" t="s">
        <v>27</v>
      </c>
      <c r="K115" s="28"/>
      <c r="L115" s="28"/>
      <c r="M115" s="13"/>
      <c r="N115" s="17"/>
      <c r="O115" s="5"/>
      <c r="P115" s="5"/>
      <c r="Q115" s="5"/>
      <c r="R115" s="5"/>
      <c r="S115" s="5"/>
      <c r="T115" s="5"/>
      <c r="U115" s="5"/>
      <c r="V115" s="5"/>
      <c r="W115" s="5"/>
      <c r="X115" s="5"/>
      <c r="Y115" s="5"/>
      <c r="Z115" s="5"/>
      <c r="AA115" s="5"/>
      <c r="AB115" s="5"/>
      <c r="AC115" s="5"/>
      <c r="AD115" s="5"/>
      <c r="AE115" s="5"/>
      <c r="AF115" s="5"/>
    </row>
    <row r="116" spans="1:32" ht="12" customHeight="1">
      <c r="A116" s="33" t="s">
        <v>130</v>
      </c>
      <c r="B116" s="11"/>
      <c r="C116" s="11"/>
      <c r="D116" s="11"/>
      <c r="E116" s="11"/>
      <c r="F116" s="15" t="s">
        <v>31</v>
      </c>
      <c r="G116" s="15" t="s">
        <v>31</v>
      </c>
      <c r="H116" s="15" t="s">
        <v>31</v>
      </c>
      <c r="I116" s="15" t="s">
        <v>31</v>
      </c>
      <c r="J116" s="15" t="s">
        <v>31</v>
      </c>
      <c r="K116" s="15" t="s">
        <v>31</v>
      </c>
      <c r="L116" s="15" t="s">
        <v>31</v>
      </c>
      <c r="M116" s="13"/>
      <c r="N116" s="17"/>
      <c r="O116" s="5"/>
      <c r="P116" s="5"/>
      <c r="Q116" s="5"/>
      <c r="R116" s="5"/>
      <c r="S116" s="5"/>
      <c r="T116" s="5"/>
      <c r="U116" s="5"/>
      <c r="V116" s="5"/>
      <c r="W116" s="5"/>
      <c r="X116" s="5"/>
      <c r="Y116" s="5"/>
      <c r="Z116" s="5"/>
      <c r="AA116" s="5"/>
      <c r="AB116" s="5"/>
      <c r="AC116" s="5"/>
      <c r="AD116" s="5"/>
      <c r="AE116" s="5"/>
      <c r="AF116" s="5"/>
    </row>
    <row r="117" spans="1:32" ht="12" customHeight="1">
      <c r="A117" s="1" t="s">
        <v>131</v>
      </c>
      <c r="B117" s="2" t="s">
        <v>132</v>
      </c>
      <c r="C117" s="8">
        <v>1</v>
      </c>
      <c r="D117" s="2" t="s">
        <v>87</v>
      </c>
      <c r="E117" s="8">
        <v>3111</v>
      </c>
      <c r="F117" s="16">
        <f>357263.92</f>
        <v>357263.92</v>
      </c>
      <c r="G117" s="15" t="s">
        <v>31</v>
      </c>
      <c r="H117" s="15" t="s">
        <v>31</v>
      </c>
      <c r="I117" s="15" t="s">
        <v>31</v>
      </c>
      <c r="J117" s="15" t="s">
        <v>31</v>
      </c>
      <c r="K117" s="15" t="s">
        <v>31</v>
      </c>
      <c r="L117" s="15" t="s">
        <v>31</v>
      </c>
      <c r="M117" s="13"/>
      <c r="N117" s="17"/>
      <c r="O117" s="5"/>
      <c r="P117" s="5"/>
      <c r="Q117" s="5"/>
      <c r="R117" s="5"/>
      <c r="S117" s="5"/>
      <c r="T117" s="5"/>
      <c r="U117" s="5"/>
      <c r="V117" s="5"/>
      <c r="W117" s="5"/>
      <c r="X117" s="5"/>
      <c r="Y117" s="5"/>
      <c r="Z117" s="5"/>
      <c r="AA117" s="5"/>
      <c r="AB117" s="5"/>
      <c r="AC117" s="5"/>
      <c r="AD117" s="5"/>
      <c r="AE117" s="5"/>
      <c r="AF117" s="5"/>
    </row>
    <row r="118" spans="1:32" ht="12" customHeight="1">
      <c r="A118" s="1" t="s">
        <v>133</v>
      </c>
      <c r="B118" s="2" t="s">
        <v>132</v>
      </c>
      <c r="C118" s="8">
        <v>2</v>
      </c>
      <c r="D118" s="2" t="s">
        <v>87</v>
      </c>
      <c r="E118" s="8">
        <v>3112</v>
      </c>
      <c r="F118" s="16">
        <v>331018</v>
      </c>
      <c r="G118" s="15" t="s">
        <v>31</v>
      </c>
      <c r="H118" s="15" t="s">
        <v>31</v>
      </c>
      <c r="I118" s="15" t="s">
        <v>31</v>
      </c>
      <c r="J118" s="15" t="s">
        <v>31</v>
      </c>
      <c r="K118" s="15" t="s">
        <v>31</v>
      </c>
      <c r="L118" s="15" t="s">
        <v>31</v>
      </c>
      <c r="M118" s="13"/>
      <c r="N118" s="17"/>
      <c r="O118" s="5"/>
      <c r="P118" s="5"/>
      <c r="Q118" s="5"/>
      <c r="R118" s="5"/>
      <c r="S118" s="5"/>
      <c r="T118" s="5"/>
      <c r="U118" s="5"/>
      <c r="V118" s="5"/>
      <c r="W118" s="5"/>
      <c r="X118" s="5"/>
      <c r="Y118" s="5"/>
      <c r="Z118" s="5"/>
      <c r="AA118" s="5"/>
      <c r="AB118" s="5"/>
      <c r="AC118" s="5"/>
      <c r="AD118" s="5"/>
      <c r="AE118" s="5"/>
      <c r="AF118" s="5"/>
    </row>
    <row r="119" spans="1:32" ht="12" customHeight="1">
      <c r="A119" s="5" t="s">
        <v>134</v>
      </c>
      <c r="B119" s="2" t="s">
        <v>132</v>
      </c>
      <c r="C119" s="8">
        <v>3</v>
      </c>
      <c r="D119" s="2" t="s">
        <v>87</v>
      </c>
      <c r="E119" s="8">
        <v>3119</v>
      </c>
      <c r="F119" s="15" t="s">
        <v>31</v>
      </c>
      <c r="G119" s="15" t="s">
        <v>31</v>
      </c>
      <c r="H119" s="15" t="s">
        <v>31</v>
      </c>
      <c r="I119" s="15" t="s">
        <v>31</v>
      </c>
      <c r="J119" s="15" t="s">
        <v>31</v>
      </c>
      <c r="K119" s="15" t="s">
        <v>31</v>
      </c>
      <c r="L119" s="15" t="s">
        <v>31</v>
      </c>
      <c r="M119" s="13"/>
      <c r="N119" s="17"/>
      <c r="O119" s="5"/>
      <c r="P119" s="5"/>
      <c r="Q119" s="5"/>
      <c r="R119" s="5"/>
      <c r="S119" s="5"/>
      <c r="T119" s="5"/>
      <c r="U119" s="5"/>
      <c r="V119" s="5"/>
      <c r="W119" s="5"/>
      <c r="X119" s="5"/>
      <c r="Y119" s="5"/>
      <c r="Z119" s="5"/>
      <c r="AA119" s="5"/>
      <c r="AB119" s="5"/>
      <c r="AC119" s="5"/>
      <c r="AD119" s="5"/>
      <c r="AE119" s="5"/>
      <c r="AF119" s="5"/>
    </row>
    <row r="120" spans="1:32" ht="12" customHeight="1">
      <c r="A120" s="5" t="s">
        <v>135</v>
      </c>
      <c r="B120" s="2" t="s">
        <v>132</v>
      </c>
      <c r="C120" s="8">
        <v>4</v>
      </c>
      <c r="D120" s="2" t="s">
        <v>87</v>
      </c>
      <c r="E120" s="8">
        <v>3190</v>
      </c>
      <c r="F120" s="16">
        <v>1995.21</v>
      </c>
      <c r="G120" s="16"/>
      <c r="H120" s="16"/>
      <c r="I120" s="16"/>
      <c r="J120" s="16"/>
      <c r="K120" s="15" t="s">
        <v>31</v>
      </c>
      <c r="L120" s="15" t="s">
        <v>31</v>
      </c>
      <c r="M120" s="13"/>
      <c r="N120" s="17"/>
      <c r="O120" s="5"/>
      <c r="P120" s="5"/>
      <c r="Q120" s="5"/>
      <c r="R120" s="5"/>
      <c r="S120" s="5"/>
      <c r="T120" s="5"/>
      <c r="U120" s="5"/>
      <c r="V120" s="5"/>
      <c r="W120" s="5"/>
      <c r="X120" s="5"/>
      <c r="Y120" s="5"/>
      <c r="Z120" s="5"/>
      <c r="AA120" s="5"/>
      <c r="AB120" s="5"/>
      <c r="AC120" s="5"/>
      <c r="AD120" s="5"/>
      <c r="AE120" s="5"/>
      <c r="AF120" s="5"/>
    </row>
    <row r="121" spans="1:32" ht="12" customHeight="1">
      <c r="A121" s="19" t="s">
        <v>136</v>
      </c>
      <c r="B121" s="20" t="s">
        <v>132</v>
      </c>
      <c r="C121" s="21">
        <v>5</v>
      </c>
      <c r="D121" s="20" t="s">
        <v>87</v>
      </c>
      <c r="E121" s="21">
        <v>3100</v>
      </c>
      <c r="F121" s="22">
        <f t="shared" ref="F121:J121" si="11">SUM(F117:F120)</f>
        <v>690277.12999999989</v>
      </c>
      <c r="G121" s="22">
        <f t="shared" si="11"/>
        <v>0</v>
      </c>
      <c r="H121" s="22">
        <f t="shared" si="11"/>
        <v>0</v>
      </c>
      <c r="I121" s="22">
        <f t="shared" si="11"/>
        <v>0</v>
      </c>
      <c r="J121" s="22">
        <f t="shared" si="11"/>
        <v>0</v>
      </c>
      <c r="K121" s="23" t="s">
        <v>31</v>
      </c>
      <c r="L121" s="23" t="s">
        <v>31</v>
      </c>
      <c r="M121" s="13"/>
      <c r="N121" s="17"/>
      <c r="O121" s="5"/>
      <c r="P121" s="5"/>
      <c r="Q121" s="5"/>
      <c r="R121" s="5"/>
      <c r="S121" s="5"/>
      <c r="T121" s="5"/>
      <c r="U121" s="5"/>
      <c r="V121" s="5"/>
      <c r="W121" s="5"/>
      <c r="X121" s="5"/>
      <c r="Y121" s="5"/>
      <c r="Z121" s="5"/>
      <c r="AA121" s="5"/>
      <c r="AB121" s="5"/>
      <c r="AC121" s="5"/>
      <c r="AD121" s="5"/>
      <c r="AE121" s="5"/>
      <c r="AF121" s="5"/>
    </row>
    <row r="122" spans="1:32" ht="12" customHeight="1">
      <c r="A122" s="33" t="s">
        <v>137</v>
      </c>
      <c r="B122" s="5"/>
      <c r="C122" s="5"/>
      <c r="D122" s="5"/>
      <c r="E122" s="5"/>
      <c r="F122" s="15" t="s">
        <v>31</v>
      </c>
      <c r="G122" s="15" t="s">
        <v>31</v>
      </c>
      <c r="H122" s="15" t="s">
        <v>31</v>
      </c>
      <c r="I122" s="15" t="s">
        <v>31</v>
      </c>
      <c r="J122" s="15" t="s">
        <v>31</v>
      </c>
      <c r="K122" s="15" t="s">
        <v>31</v>
      </c>
      <c r="L122" s="15" t="s">
        <v>31</v>
      </c>
      <c r="M122" s="13"/>
      <c r="N122" s="17"/>
      <c r="O122" s="5"/>
      <c r="P122" s="5"/>
      <c r="Q122" s="5"/>
      <c r="R122" s="5"/>
      <c r="S122" s="5"/>
      <c r="T122" s="5"/>
      <c r="U122" s="5"/>
      <c r="V122" s="5"/>
      <c r="W122" s="5"/>
      <c r="X122" s="5"/>
      <c r="Y122" s="5"/>
      <c r="Z122" s="5"/>
      <c r="AA122" s="5"/>
      <c r="AB122" s="5"/>
      <c r="AC122" s="5"/>
      <c r="AD122" s="5"/>
      <c r="AE122" s="5"/>
      <c r="AF122" s="5"/>
    </row>
    <row r="123" spans="1:32" ht="12" customHeight="1">
      <c r="A123" s="1" t="s">
        <v>138</v>
      </c>
      <c r="B123" s="2" t="s">
        <v>132</v>
      </c>
      <c r="C123" s="8">
        <v>6</v>
      </c>
      <c r="D123" s="2" t="s">
        <v>87</v>
      </c>
      <c r="E123" s="8">
        <v>3210</v>
      </c>
      <c r="F123" s="16">
        <f>83124.15</f>
        <v>83124.149999999994</v>
      </c>
      <c r="G123" s="15" t="s">
        <v>31</v>
      </c>
      <c r="H123" s="15" t="s">
        <v>31</v>
      </c>
      <c r="I123" s="16"/>
      <c r="J123" s="15" t="s">
        <v>31</v>
      </c>
      <c r="K123" s="15" t="s">
        <v>31</v>
      </c>
      <c r="L123" s="15" t="s">
        <v>31</v>
      </c>
      <c r="M123" s="13"/>
      <c r="N123" s="17"/>
      <c r="O123" s="5"/>
      <c r="P123" s="5"/>
      <c r="Q123" s="5"/>
      <c r="R123" s="5"/>
      <c r="S123" s="5"/>
      <c r="T123" s="5"/>
      <c r="U123" s="5"/>
      <c r="V123" s="5"/>
      <c r="W123" s="5"/>
      <c r="X123" s="5"/>
      <c r="Y123" s="5"/>
      <c r="Z123" s="5"/>
      <c r="AA123" s="5"/>
      <c r="AB123" s="5"/>
      <c r="AC123" s="5"/>
      <c r="AD123" s="5"/>
      <c r="AE123" s="5"/>
      <c r="AF123" s="5"/>
    </row>
    <row r="124" spans="1:32" ht="12" customHeight="1">
      <c r="A124" s="1" t="s">
        <v>139</v>
      </c>
      <c r="B124" s="2" t="s">
        <v>132</v>
      </c>
      <c r="C124" s="8">
        <v>7</v>
      </c>
      <c r="D124" s="2" t="s">
        <v>87</v>
      </c>
      <c r="E124" s="8">
        <v>3215</v>
      </c>
      <c r="F124" s="16"/>
      <c r="G124" s="15" t="s">
        <v>31</v>
      </c>
      <c r="H124" s="15" t="s">
        <v>31</v>
      </c>
      <c r="I124" s="16"/>
      <c r="J124" s="15"/>
      <c r="K124" s="15"/>
      <c r="L124" s="15"/>
      <c r="M124" s="13"/>
      <c r="N124" s="17"/>
      <c r="O124" s="5"/>
      <c r="P124" s="5"/>
      <c r="Q124" s="5"/>
      <c r="R124" s="5"/>
      <c r="S124" s="5"/>
      <c r="T124" s="5"/>
      <c r="U124" s="5"/>
      <c r="V124" s="5"/>
      <c r="W124" s="5"/>
      <c r="X124" s="5"/>
      <c r="Y124" s="5"/>
      <c r="Z124" s="5"/>
      <c r="AA124" s="5"/>
      <c r="AB124" s="5"/>
      <c r="AC124" s="5"/>
      <c r="AD124" s="5"/>
      <c r="AE124" s="5"/>
      <c r="AF124" s="5"/>
    </row>
    <row r="125" spans="1:32" ht="12" customHeight="1">
      <c r="A125" s="1" t="s">
        <v>140</v>
      </c>
      <c r="B125" s="2" t="s">
        <v>132</v>
      </c>
      <c r="C125" s="8">
        <v>8</v>
      </c>
      <c r="D125" s="2" t="s">
        <v>87</v>
      </c>
      <c r="E125" s="8">
        <v>3220</v>
      </c>
      <c r="F125" s="16"/>
      <c r="G125" s="15" t="s">
        <v>31</v>
      </c>
      <c r="H125" s="15" t="s">
        <v>31</v>
      </c>
      <c r="I125" s="15" t="s">
        <v>31</v>
      </c>
      <c r="J125" s="15" t="s">
        <v>31</v>
      </c>
      <c r="K125" s="15" t="s">
        <v>31</v>
      </c>
      <c r="L125" s="15" t="s">
        <v>31</v>
      </c>
      <c r="M125" s="13"/>
      <c r="N125" s="17"/>
      <c r="O125" s="5"/>
      <c r="P125" s="5"/>
      <c r="Q125" s="5"/>
      <c r="R125" s="5"/>
      <c r="S125" s="5"/>
      <c r="T125" s="5"/>
      <c r="U125" s="5"/>
      <c r="V125" s="5"/>
      <c r="W125" s="5"/>
      <c r="X125" s="5"/>
      <c r="Y125" s="5"/>
      <c r="Z125" s="5"/>
      <c r="AA125" s="5"/>
      <c r="AB125" s="5"/>
      <c r="AC125" s="5"/>
      <c r="AD125" s="5"/>
      <c r="AE125" s="5"/>
      <c r="AF125" s="5"/>
    </row>
    <row r="126" spans="1:32" ht="12" customHeight="1">
      <c r="A126" s="1" t="s">
        <v>141</v>
      </c>
      <c r="B126" s="2" t="s">
        <v>132</v>
      </c>
      <c r="C126" s="8">
        <v>9</v>
      </c>
      <c r="D126" s="2" t="s">
        <v>87</v>
      </c>
      <c r="E126" s="8">
        <v>3230</v>
      </c>
      <c r="F126" s="16"/>
      <c r="G126" s="15" t="s">
        <v>31</v>
      </c>
      <c r="H126" s="15" t="s">
        <v>31</v>
      </c>
      <c r="I126" s="15" t="s">
        <v>31</v>
      </c>
      <c r="J126" s="15" t="s">
        <v>31</v>
      </c>
      <c r="K126" s="15" t="s">
        <v>31</v>
      </c>
      <c r="L126" s="15" t="s">
        <v>31</v>
      </c>
      <c r="M126" s="13"/>
      <c r="N126" s="17"/>
      <c r="O126" s="5"/>
      <c r="P126" s="5"/>
      <c r="Q126" s="5"/>
      <c r="R126" s="5"/>
      <c r="S126" s="5"/>
      <c r="T126" s="5"/>
      <c r="U126" s="5"/>
      <c r="V126" s="5"/>
      <c r="W126" s="5"/>
      <c r="X126" s="5"/>
      <c r="Y126" s="5"/>
      <c r="Z126" s="5"/>
      <c r="AA126" s="5"/>
      <c r="AB126" s="5"/>
      <c r="AC126" s="5"/>
      <c r="AD126" s="5"/>
      <c r="AE126" s="5"/>
      <c r="AF126" s="5"/>
    </row>
    <row r="127" spans="1:32" ht="12" customHeight="1">
      <c r="A127" s="1" t="s">
        <v>142</v>
      </c>
      <c r="B127" s="2" t="s">
        <v>132</v>
      </c>
      <c r="C127" s="8">
        <v>10</v>
      </c>
      <c r="D127" s="2" t="s">
        <v>87</v>
      </c>
      <c r="E127" s="8">
        <v>3241</v>
      </c>
      <c r="F127" s="16"/>
      <c r="G127" s="15" t="s">
        <v>31</v>
      </c>
      <c r="H127" s="16"/>
      <c r="I127" s="15" t="s">
        <v>31</v>
      </c>
      <c r="J127" s="15" t="s">
        <v>31</v>
      </c>
      <c r="K127" s="15" t="s">
        <v>31</v>
      </c>
      <c r="L127" s="15" t="s">
        <v>31</v>
      </c>
      <c r="M127" s="13"/>
      <c r="N127" s="17"/>
      <c r="O127" s="5"/>
      <c r="P127" s="5"/>
      <c r="Q127" s="5"/>
      <c r="R127" s="5"/>
      <c r="S127" s="5"/>
      <c r="T127" s="5"/>
      <c r="U127" s="5"/>
      <c r="V127" s="5"/>
      <c r="W127" s="5"/>
      <c r="X127" s="5"/>
      <c r="Y127" s="5"/>
      <c r="Z127" s="5"/>
      <c r="AA127" s="5"/>
      <c r="AB127" s="5"/>
      <c r="AC127" s="5"/>
      <c r="AD127" s="5"/>
      <c r="AE127" s="5"/>
      <c r="AF127" s="5"/>
    </row>
    <row r="128" spans="1:32" ht="12" customHeight="1">
      <c r="A128" s="1" t="s">
        <v>143</v>
      </c>
      <c r="B128" s="2" t="s">
        <v>132</v>
      </c>
      <c r="C128" s="8">
        <v>11</v>
      </c>
      <c r="D128" s="2" t="s">
        <v>87</v>
      </c>
      <c r="E128" s="8">
        <v>3242</v>
      </c>
      <c r="F128" s="16"/>
      <c r="G128" s="15" t="s">
        <v>31</v>
      </c>
      <c r="H128" s="16"/>
      <c r="I128" s="15" t="s">
        <v>31</v>
      </c>
      <c r="J128" s="15" t="s">
        <v>31</v>
      </c>
      <c r="K128" s="15" t="s">
        <v>31</v>
      </c>
      <c r="L128" s="15" t="s">
        <v>31</v>
      </c>
      <c r="M128" s="13"/>
      <c r="N128" s="17"/>
      <c r="O128" s="5"/>
      <c r="P128" s="5"/>
      <c r="Q128" s="5"/>
      <c r="R128" s="5"/>
      <c r="S128" s="5"/>
      <c r="T128" s="5"/>
      <c r="U128" s="5"/>
      <c r="V128" s="5"/>
      <c r="W128" s="5"/>
      <c r="X128" s="5"/>
      <c r="Y128" s="5"/>
      <c r="Z128" s="5"/>
      <c r="AA128" s="5"/>
      <c r="AB128" s="5"/>
      <c r="AC128" s="5"/>
      <c r="AD128" s="5"/>
      <c r="AE128" s="5"/>
      <c r="AF128" s="5"/>
    </row>
    <row r="129" spans="1:32" ht="12" customHeight="1">
      <c r="A129" s="1" t="s">
        <v>144</v>
      </c>
      <c r="B129" s="2" t="s">
        <v>132</v>
      </c>
      <c r="C129" s="8">
        <v>12</v>
      </c>
      <c r="D129" s="2" t="s">
        <v>87</v>
      </c>
      <c r="E129" s="8">
        <v>3243</v>
      </c>
      <c r="F129" s="16"/>
      <c r="G129" s="15" t="s">
        <v>31</v>
      </c>
      <c r="H129" s="16"/>
      <c r="I129" s="16"/>
      <c r="J129" s="15" t="s">
        <v>31</v>
      </c>
      <c r="K129" s="15" t="s">
        <v>31</v>
      </c>
      <c r="L129" s="15" t="s">
        <v>31</v>
      </c>
      <c r="M129" s="13"/>
      <c r="N129" s="17"/>
      <c r="O129" s="5"/>
      <c r="P129" s="5"/>
      <c r="Q129" s="5"/>
      <c r="R129" s="5"/>
      <c r="S129" s="5"/>
      <c r="T129" s="5"/>
      <c r="U129" s="5"/>
      <c r="V129" s="5"/>
      <c r="W129" s="5"/>
      <c r="X129" s="5"/>
      <c r="Y129" s="5"/>
      <c r="Z129" s="5"/>
      <c r="AA129" s="5"/>
      <c r="AB129" s="5"/>
      <c r="AC129" s="5"/>
      <c r="AD129" s="5"/>
      <c r="AE129" s="5"/>
      <c r="AF129" s="5"/>
    </row>
    <row r="130" spans="1:32" ht="12" customHeight="1">
      <c r="A130" s="1" t="s">
        <v>145</v>
      </c>
      <c r="B130" s="2" t="s">
        <v>132</v>
      </c>
      <c r="C130" s="8">
        <v>13</v>
      </c>
      <c r="D130" s="2" t="s">
        <v>87</v>
      </c>
      <c r="E130" s="8">
        <v>3249</v>
      </c>
      <c r="F130" s="16"/>
      <c r="G130" s="15" t="s">
        <v>31</v>
      </c>
      <c r="H130" s="16"/>
      <c r="I130" s="15" t="s">
        <v>31</v>
      </c>
      <c r="J130" s="15" t="s">
        <v>31</v>
      </c>
      <c r="K130" s="15" t="s">
        <v>31</v>
      </c>
      <c r="L130" s="15" t="s">
        <v>31</v>
      </c>
      <c r="M130" s="13"/>
      <c r="N130" s="17"/>
      <c r="O130" s="5"/>
      <c r="P130" s="5"/>
      <c r="Q130" s="5"/>
      <c r="R130" s="5"/>
      <c r="S130" s="5"/>
      <c r="T130" s="5"/>
      <c r="U130" s="5"/>
      <c r="V130" s="5"/>
      <c r="W130" s="5"/>
      <c r="X130" s="5"/>
      <c r="Y130" s="5"/>
      <c r="Z130" s="5"/>
      <c r="AA130" s="5"/>
      <c r="AB130" s="5"/>
      <c r="AC130" s="5"/>
      <c r="AD130" s="5"/>
      <c r="AE130" s="5"/>
      <c r="AF130" s="5"/>
    </row>
    <row r="131" spans="1:32" ht="12" customHeight="1">
      <c r="A131" s="1" t="s">
        <v>96</v>
      </c>
      <c r="B131" s="2" t="s">
        <v>132</v>
      </c>
      <c r="C131" s="8">
        <v>14</v>
      </c>
      <c r="D131" s="2" t="s">
        <v>87</v>
      </c>
      <c r="E131" s="8">
        <v>3250</v>
      </c>
      <c r="F131" s="16"/>
      <c r="G131" s="15" t="s">
        <v>31</v>
      </c>
      <c r="H131" s="16"/>
      <c r="I131" s="15" t="s">
        <v>31</v>
      </c>
      <c r="J131" s="15" t="s">
        <v>31</v>
      </c>
      <c r="K131" s="15" t="s">
        <v>31</v>
      </c>
      <c r="L131" s="15" t="s">
        <v>31</v>
      </c>
      <c r="M131" s="13"/>
      <c r="N131" s="17"/>
      <c r="O131" s="5"/>
      <c r="P131" s="5"/>
      <c r="Q131" s="5"/>
      <c r="R131" s="5"/>
      <c r="S131" s="5"/>
      <c r="T131" s="5"/>
      <c r="U131" s="5"/>
      <c r="V131" s="5"/>
      <c r="W131" s="5"/>
      <c r="X131" s="5"/>
      <c r="Y131" s="5"/>
      <c r="Z131" s="5"/>
      <c r="AA131" s="5"/>
      <c r="AB131" s="5"/>
      <c r="AC131" s="5"/>
      <c r="AD131" s="5"/>
      <c r="AE131" s="5"/>
      <c r="AF131" s="5"/>
    </row>
    <row r="132" spans="1:32" ht="12" customHeight="1">
      <c r="A132" s="1" t="s">
        <v>146</v>
      </c>
      <c r="B132" s="2" t="s">
        <v>132</v>
      </c>
      <c r="C132" s="8">
        <v>15</v>
      </c>
      <c r="D132" s="2" t="s">
        <v>87</v>
      </c>
      <c r="E132" s="8">
        <v>3260</v>
      </c>
      <c r="F132" s="15" t="s">
        <v>31</v>
      </c>
      <c r="G132" s="16">
        <v>8157.72</v>
      </c>
      <c r="H132" s="15" t="s">
        <v>31</v>
      </c>
      <c r="I132" s="15" t="s">
        <v>31</v>
      </c>
      <c r="J132" s="15" t="s">
        <v>31</v>
      </c>
      <c r="K132" s="15" t="s">
        <v>31</v>
      </c>
      <c r="L132" s="15" t="s">
        <v>31</v>
      </c>
      <c r="M132" s="13"/>
      <c r="N132" s="17"/>
      <c r="O132" s="5"/>
      <c r="P132" s="5"/>
      <c r="Q132" s="5"/>
      <c r="R132" s="5"/>
      <c r="S132" s="5"/>
      <c r="T132" s="5"/>
      <c r="U132" s="5"/>
      <c r="V132" s="5"/>
      <c r="W132" s="5"/>
      <c r="X132" s="5"/>
      <c r="Y132" s="5"/>
      <c r="Z132" s="5"/>
      <c r="AA132" s="5"/>
      <c r="AB132" s="5"/>
      <c r="AC132" s="5"/>
      <c r="AD132" s="5"/>
      <c r="AE132" s="5"/>
      <c r="AF132" s="5"/>
    </row>
    <row r="133" spans="1:32" ht="12" customHeight="1">
      <c r="A133" s="1" t="s">
        <v>95</v>
      </c>
      <c r="B133" s="2" t="s">
        <v>132</v>
      </c>
      <c r="C133" s="8">
        <v>16</v>
      </c>
      <c r="D133" s="2" t="s">
        <v>87</v>
      </c>
      <c r="E133" s="8">
        <v>3270</v>
      </c>
      <c r="F133" s="16"/>
      <c r="G133" s="15" t="s">
        <v>31</v>
      </c>
      <c r="H133" s="16"/>
      <c r="I133" s="15" t="s">
        <v>31</v>
      </c>
      <c r="J133" s="15" t="s">
        <v>31</v>
      </c>
      <c r="K133" s="15" t="s">
        <v>31</v>
      </c>
      <c r="L133" s="15" t="s">
        <v>31</v>
      </c>
      <c r="M133" s="13"/>
      <c r="N133" s="17"/>
      <c r="O133" s="5"/>
      <c r="P133" s="5"/>
      <c r="Q133" s="5"/>
      <c r="R133" s="5"/>
      <c r="S133" s="5"/>
      <c r="T133" s="5"/>
      <c r="U133" s="5"/>
      <c r="V133" s="5"/>
      <c r="W133" s="5"/>
      <c r="X133" s="5"/>
      <c r="Y133" s="5"/>
      <c r="Z133" s="5"/>
      <c r="AA133" s="5"/>
      <c r="AB133" s="5"/>
      <c r="AC133" s="5"/>
      <c r="AD133" s="5"/>
      <c r="AE133" s="5"/>
      <c r="AF133" s="5"/>
    </row>
    <row r="134" spans="1:32" ht="12" customHeight="1">
      <c r="A134" s="1" t="s">
        <v>147</v>
      </c>
      <c r="B134" s="8">
        <v>4</v>
      </c>
      <c r="C134" s="8">
        <v>17</v>
      </c>
      <c r="D134" s="2"/>
      <c r="E134" s="8">
        <v>3280</v>
      </c>
      <c r="F134" s="15" t="s">
        <v>31</v>
      </c>
      <c r="G134" s="15"/>
      <c r="H134" s="16"/>
      <c r="I134" s="15"/>
      <c r="J134" s="15"/>
      <c r="K134" s="15"/>
      <c r="L134" s="15"/>
      <c r="M134" s="13"/>
      <c r="N134" s="17"/>
      <c r="O134" s="5"/>
      <c r="P134" s="5"/>
      <c r="Q134" s="5"/>
      <c r="R134" s="5"/>
      <c r="S134" s="5"/>
      <c r="T134" s="5"/>
      <c r="U134" s="5"/>
      <c r="V134" s="5"/>
      <c r="W134" s="5"/>
      <c r="X134" s="5"/>
      <c r="Y134" s="5"/>
      <c r="Z134" s="5"/>
      <c r="AA134" s="5"/>
      <c r="AB134" s="5"/>
      <c r="AC134" s="5"/>
      <c r="AD134" s="5"/>
      <c r="AE134" s="5"/>
      <c r="AF134" s="5"/>
    </row>
    <row r="135" spans="1:32" ht="12" customHeight="1">
      <c r="A135" s="1" t="s">
        <v>148</v>
      </c>
      <c r="B135" s="2" t="s">
        <v>132</v>
      </c>
      <c r="C135" s="8">
        <v>18</v>
      </c>
      <c r="D135" s="2" t="s">
        <v>87</v>
      </c>
      <c r="E135" s="8">
        <v>3290</v>
      </c>
      <c r="F135" s="16"/>
      <c r="G135" s="16"/>
      <c r="H135" s="16"/>
      <c r="I135" s="16"/>
      <c r="J135" s="16"/>
      <c r="K135" s="15" t="s">
        <v>31</v>
      </c>
      <c r="L135" s="15" t="s">
        <v>31</v>
      </c>
      <c r="M135" s="13"/>
      <c r="N135" s="17"/>
      <c r="O135" s="5"/>
      <c r="P135" s="5"/>
      <c r="Q135" s="5"/>
      <c r="R135" s="5"/>
      <c r="S135" s="5"/>
      <c r="T135" s="5"/>
      <c r="U135" s="5"/>
      <c r="V135" s="5"/>
      <c r="W135" s="5"/>
      <c r="X135" s="5"/>
      <c r="Y135" s="5"/>
      <c r="Z135" s="5"/>
      <c r="AA135" s="5"/>
      <c r="AB135" s="5"/>
      <c r="AC135" s="5"/>
      <c r="AD135" s="5"/>
      <c r="AE135" s="5"/>
      <c r="AF135" s="5"/>
    </row>
    <row r="136" spans="1:32" ht="12" customHeight="1">
      <c r="A136" s="19" t="s">
        <v>149</v>
      </c>
      <c r="B136" s="20" t="s">
        <v>132</v>
      </c>
      <c r="C136" s="21">
        <v>19</v>
      </c>
      <c r="D136" s="20" t="s">
        <v>87</v>
      </c>
      <c r="E136" s="21">
        <v>3200</v>
      </c>
      <c r="F136" s="22">
        <f t="shared" ref="F136:J136" si="12">SUM(F123:F135)</f>
        <v>83124.149999999994</v>
      </c>
      <c r="G136" s="22">
        <f t="shared" si="12"/>
        <v>8157.72</v>
      </c>
      <c r="H136" s="22">
        <f t="shared" si="12"/>
        <v>0</v>
      </c>
      <c r="I136" s="22">
        <f t="shared" si="12"/>
        <v>0</v>
      </c>
      <c r="J136" s="22">
        <f t="shared" si="12"/>
        <v>0</v>
      </c>
      <c r="K136" s="23" t="s">
        <v>31</v>
      </c>
      <c r="L136" s="23" t="s">
        <v>31</v>
      </c>
      <c r="M136" s="13"/>
      <c r="N136" s="17"/>
      <c r="O136" s="5"/>
      <c r="P136" s="5"/>
      <c r="Q136" s="5"/>
      <c r="R136" s="5"/>
      <c r="S136" s="5"/>
      <c r="T136" s="5"/>
      <c r="U136" s="5"/>
      <c r="V136" s="5"/>
      <c r="W136" s="5"/>
      <c r="X136" s="5"/>
      <c r="Y136" s="5"/>
      <c r="Z136" s="5"/>
      <c r="AA136" s="5"/>
      <c r="AB136" s="5"/>
      <c r="AC136" s="5"/>
      <c r="AD136" s="5"/>
      <c r="AE136" s="5"/>
      <c r="AF136" s="5"/>
    </row>
    <row r="137" spans="1:32" ht="12" customHeight="1">
      <c r="A137" s="5" t="s">
        <v>150</v>
      </c>
      <c r="B137" s="1" t="s">
        <v>132</v>
      </c>
      <c r="C137" s="8">
        <v>20</v>
      </c>
      <c r="D137" s="2" t="s">
        <v>87</v>
      </c>
      <c r="E137" s="8">
        <v>3700</v>
      </c>
      <c r="F137" s="16"/>
      <c r="G137" s="16"/>
      <c r="H137" s="16"/>
      <c r="I137" s="15" t="s">
        <v>31</v>
      </c>
      <c r="J137" s="15" t="s">
        <v>31</v>
      </c>
      <c r="K137" s="15" t="s">
        <v>31</v>
      </c>
      <c r="L137" s="15" t="s">
        <v>31</v>
      </c>
      <c r="M137" s="13"/>
      <c r="N137" s="17"/>
      <c r="O137" s="5"/>
      <c r="P137" s="5"/>
      <c r="Q137" s="5"/>
      <c r="R137" s="5"/>
      <c r="S137" s="5"/>
      <c r="T137" s="5"/>
      <c r="U137" s="5"/>
      <c r="V137" s="5"/>
      <c r="W137" s="5"/>
      <c r="X137" s="5"/>
      <c r="Y137" s="5"/>
      <c r="Z137" s="5"/>
      <c r="AA137" s="5"/>
      <c r="AB137" s="5"/>
      <c r="AC137" s="5"/>
      <c r="AD137" s="5"/>
      <c r="AE137" s="5"/>
      <c r="AF137" s="5"/>
    </row>
    <row r="138" spans="1:32" ht="12" customHeight="1">
      <c r="A138" s="1" t="s">
        <v>151</v>
      </c>
      <c r="B138" s="1" t="s">
        <v>132</v>
      </c>
      <c r="C138" s="8">
        <v>21</v>
      </c>
      <c r="D138" s="2" t="s">
        <v>87</v>
      </c>
      <c r="E138" s="8">
        <v>3800</v>
      </c>
      <c r="F138" s="16"/>
      <c r="G138" s="15" t="s">
        <v>31</v>
      </c>
      <c r="H138" s="16"/>
      <c r="I138" s="15" t="s">
        <v>31</v>
      </c>
      <c r="J138" s="15" t="s">
        <v>31</v>
      </c>
      <c r="K138" s="15" t="s">
        <v>31</v>
      </c>
      <c r="L138" s="15" t="s">
        <v>31</v>
      </c>
      <c r="M138" s="13"/>
      <c r="N138" s="17"/>
      <c r="O138" s="5"/>
      <c r="P138" s="5"/>
      <c r="Q138" s="5"/>
      <c r="R138" s="5"/>
      <c r="S138" s="5"/>
      <c r="T138" s="5"/>
      <c r="U138" s="5"/>
      <c r="V138" s="5"/>
      <c r="W138" s="5"/>
      <c r="X138" s="5"/>
      <c r="Y138" s="5"/>
      <c r="Z138" s="5"/>
      <c r="AA138" s="5"/>
      <c r="AB138" s="5"/>
      <c r="AC138" s="5"/>
      <c r="AD138" s="5"/>
      <c r="AE138" s="5"/>
      <c r="AF138" s="5"/>
    </row>
    <row r="139" spans="1:32" ht="12" customHeight="1">
      <c r="A139" s="1" t="s">
        <v>152</v>
      </c>
      <c r="B139" s="1" t="s">
        <v>132</v>
      </c>
      <c r="C139" s="8">
        <v>22</v>
      </c>
      <c r="D139" s="2" t="s">
        <v>87</v>
      </c>
      <c r="E139" s="8">
        <v>3900</v>
      </c>
      <c r="F139" s="15" t="s">
        <v>31</v>
      </c>
      <c r="G139" s="15" t="s">
        <v>31</v>
      </c>
      <c r="H139" s="15" t="s">
        <v>31</v>
      </c>
      <c r="I139" s="15" t="s">
        <v>31</v>
      </c>
      <c r="J139" s="15" t="s">
        <v>31</v>
      </c>
      <c r="K139" s="15" t="s">
        <v>31</v>
      </c>
      <c r="L139" s="15" t="s">
        <v>31</v>
      </c>
      <c r="M139" s="13"/>
      <c r="N139" s="17"/>
      <c r="O139" s="5"/>
      <c r="P139" s="5"/>
      <c r="Q139" s="5"/>
      <c r="R139" s="5"/>
      <c r="S139" s="5"/>
      <c r="T139" s="5"/>
      <c r="U139" s="5"/>
      <c r="V139" s="5"/>
      <c r="W139" s="5"/>
      <c r="X139" s="5"/>
      <c r="Y139" s="5"/>
      <c r="Z139" s="5"/>
      <c r="AA139" s="5"/>
      <c r="AB139" s="5"/>
      <c r="AC139" s="5"/>
      <c r="AD139" s="5"/>
      <c r="AE139" s="5"/>
      <c r="AF139" s="5"/>
    </row>
    <row r="140" spans="1:32" ht="12" customHeight="1">
      <c r="A140" s="19" t="s">
        <v>153</v>
      </c>
      <c r="B140" s="20" t="s">
        <v>132</v>
      </c>
      <c r="C140" s="21">
        <v>23</v>
      </c>
      <c r="D140" s="20" t="s">
        <v>87</v>
      </c>
      <c r="E140" s="21">
        <v>3000</v>
      </c>
      <c r="F140" s="22">
        <f>F121+SUM(F136:F139)</f>
        <v>773401.27999999991</v>
      </c>
      <c r="G140" s="22">
        <f>G121+SUM(G136:G137)</f>
        <v>8157.72</v>
      </c>
      <c r="H140" s="22">
        <f>H121+SUM(H136:H139)</f>
        <v>0</v>
      </c>
      <c r="I140" s="22">
        <f t="shared" ref="I140:J140" si="13">I121+I136</f>
        <v>0</v>
      </c>
      <c r="J140" s="22">
        <f t="shared" si="13"/>
        <v>0</v>
      </c>
      <c r="K140" s="23" t="s">
        <v>31</v>
      </c>
      <c r="L140" s="23" t="s">
        <v>31</v>
      </c>
      <c r="M140" s="13"/>
      <c r="N140" s="17"/>
      <c r="O140" s="5"/>
      <c r="P140" s="5"/>
      <c r="Q140" s="5"/>
      <c r="R140" s="5"/>
      <c r="S140" s="5"/>
      <c r="T140" s="5"/>
      <c r="U140" s="5"/>
      <c r="V140" s="5"/>
      <c r="W140" s="5"/>
      <c r="X140" s="5"/>
      <c r="Y140" s="5"/>
      <c r="Z140" s="5"/>
      <c r="AA140" s="5"/>
      <c r="AB140" s="5"/>
      <c r="AC140" s="5"/>
      <c r="AD140" s="5"/>
      <c r="AE140" s="5"/>
      <c r="AF140" s="5"/>
    </row>
    <row r="141" spans="1:32" ht="12" customHeight="1">
      <c r="A141" s="14"/>
      <c r="B141" s="2"/>
      <c r="C141" s="8"/>
      <c r="D141" s="8"/>
      <c r="E141" s="8"/>
      <c r="F141" s="10" t="s">
        <v>18</v>
      </c>
      <c r="G141" s="10" t="s">
        <v>19</v>
      </c>
      <c r="H141" s="10" t="s">
        <v>20</v>
      </c>
      <c r="I141" s="10" t="s">
        <v>21</v>
      </c>
      <c r="J141" s="10" t="s">
        <v>22</v>
      </c>
      <c r="K141" s="28"/>
      <c r="L141" s="28"/>
      <c r="M141" s="13"/>
      <c r="N141" s="17"/>
      <c r="O141" s="5"/>
      <c r="P141" s="5"/>
      <c r="Q141" s="5"/>
      <c r="R141" s="5"/>
      <c r="S141" s="5"/>
      <c r="T141" s="5"/>
      <c r="U141" s="5"/>
      <c r="V141" s="5"/>
      <c r="W141" s="5"/>
      <c r="X141" s="5"/>
      <c r="Y141" s="5"/>
      <c r="Z141" s="5"/>
      <c r="AA141" s="5"/>
      <c r="AB141" s="5"/>
      <c r="AC141" s="5"/>
      <c r="AD141" s="5"/>
      <c r="AE141" s="5"/>
      <c r="AF141" s="5"/>
    </row>
    <row r="142" spans="1:32" ht="12" customHeight="1">
      <c r="A142" s="14" t="s">
        <v>128</v>
      </c>
      <c r="B142" s="5"/>
      <c r="C142" s="5"/>
      <c r="D142" s="5"/>
      <c r="E142" s="5"/>
      <c r="F142" s="10"/>
      <c r="G142" s="10"/>
      <c r="H142" s="12" t="s">
        <v>25</v>
      </c>
      <c r="I142" s="10"/>
      <c r="J142" s="10"/>
      <c r="K142" s="28"/>
      <c r="L142" s="28"/>
      <c r="M142" s="13"/>
      <c r="N142" s="17"/>
      <c r="O142" s="5"/>
      <c r="P142" s="5"/>
      <c r="Q142" s="5"/>
      <c r="R142" s="5"/>
      <c r="S142" s="5"/>
      <c r="T142" s="5"/>
      <c r="U142" s="5"/>
      <c r="V142" s="5"/>
      <c r="W142" s="5"/>
      <c r="X142" s="5"/>
      <c r="Y142" s="5"/>
      <c r="Z142" s="5"/>
      <c r="AA142" s="5"/>
      <c r="AB142" s="5"/>
      <c r="AC142" s="5"/>
      <c r="AD142" s="5"/>
      <c r="AE142" s="5"/>
      <c r="AF142" s="5"/>
    </row>
    <row r="143" spans="1:32" ht="12" customHeight="1">
      <c r="A143" s="29" t="s">
        <v>154</v>
      </c>
      <c r="B143" s="5"/>
      <c r="C143" s="5"/>
      <c r="D143" s="5"/>
      <c r="E143" s="5"/>
      <c r="F143" s="12" t="s">
        <v>23</v>
      </c>
      <c r="G143" s="12" t="s">
        <v>24</v>
      </c>
      <c r="H143" s="36" t="s">
        <v>29</v>
      </c>
      <c r="I143" s="12" t="s">
        <v>26</v>
      </c>
      <c r="J143" s="12" t="s">
        <v>27</v>
      </c>
      <c r="K143" s="28"/>
      <c r="L143" s="28"/>
      <c r="M143" s="13"/>
      <c r="N143" s="17"/>
      <c r="O143" s="5"/>
      <c r="P143" s="5"/>
      <c r="Q143" s="5"/>
      <c r="R143" s="5"/>
      <c r="S143" s="5"/>
      <c r="T143" s="5"/>
      <c r="U143" s="5"/>
      <c r="V143" s="5"/>
      <c r="W143" s="5"/>
      <c r="X143" s="5"/>
      <c r="Y143" s="5"/>
      <c r="Z143" s="5"/>
      <c r="AA143" s="5"/>
      <c r="AB143" s="5"/>
      <c r="AC143" s="5"/>
      <c r="AD143" s="5"/>
      <c r="AE143" s="5"/>
      <c r="AF143" s="5"/>
    </row>
    <row r="144" spans="1:32" ht="12" customHeight="1">
      <c r="A144" s="33" t="s">
        <v>130</v>
      </c>
      <c r="B144" s="5"/>
      <c r="C144" s="5"/>
      <c r="D144" s="5"/>
      <c r="E144" s="5"/>
      <c r="F144" s="15" t="s">
        <v>31</v>
      </c>
      <c r="G144" s="15" t="s">
        <v>31</v>
      </c>
      <c r="H144" s="15" t="s">
        <v>31</v>
      </c>
      <c r="I144" s="15" t="s">
        <v>31</v>
      </c>
      <c r="J144" s="15" t="s">
        <v>31</v>
      </c>
      <c r="K144" s="15" t="s">
        <v>31</v>
      </c>
      <c r="L144" s="15" t="s">
        <v>31</v>
      </c>
      <c r="M144" s="13"/>
      <c r="N144" s="17"/>
      <c r="O144" s="5"/>
      <c r="P144" s="5"/>
      <c r="Q144" s="5"/>
      <c r="R144" s="5"/>
      <c r="S144" s="5"/>
      <c r="T144" s="5"/>
      <c r="U144" s="5"/>
      <c r="V144" s="5"/>
      <c r="W144" s="5"/>
      <c r="X144" s="5"/>
      <c r="Y144" s="5"/>
      <c r="Z144" s="5"/>
      <c r="AA144" s="5"/>
      <c r="AB144" s="5"/>
      <c r="AC144" s="5"/>
      <c r="AD144" s="5"/>
      <c r="AE144" s="5"/>
      <c r="AF144" s="5"/>
    </row>
    <row r="145" spans="1:32" ht="12" customHeight="1">
      <c r="A145" s="1" t="s">
        <v>155</v>
      </c>
      <c r="B145" s="2" t="s">
        <v>156</v>
      </c>
      <c r="C145" s="8">
        <v>1</v>
      </c>
      <c r="D145" s="2" t="s">
        <v>87</v>
      </c>
      <c r="E145" s="8">
        <v>4100</v>
      </c>
      <c r="F145" s="16"/>
      <c r="G145" s="16"/>
      <c r="H145" s="16"/>
      <c r="I145" s="16"/>
      <c r="J145" s="15" t="s">
        <v>31</v>
      </c>
      <c r="K145" s="15" t="s">
        <v>31</v>
      </c>
      <c r="L145" s="15" t="s">
        <v>31</v>
      </c>
      <c r="M145" s="13"/>
      <c r="N145" s="17"/>
      <c r="O145" s="5"/>
      <c r="P145" s="5"/>
      <c r="Q145" s="5"/>
      <c r="R145" s="5"/>
      <c r="S145" s="5"/>
      <c r="T145" s="5"/>
      <c r="U145" s="5"/>
      <c r="V145" s="5"/>
      <c r="W145" s="5"/>
      <c r="X145" s="5"/>
      <c r="Y145" s="5"/>
      <c r="Z145" s="5"/>
      <c r="AA145" s="5"/>
      <c r="AB145" s="5"/>
      <c r="AC145" s="5"/>
      <c r="AD145" s="5"/>
      <c r="AE145" s="5"/>
      <c r="AF145" s="5"/>
    </row>
    <row r="146" spans="1:32" ht="12" customHeight="1">
      <c r="A146" s="1" t="s">
        <v>157</v>
      </c>
      <c r="B146" s="2" t="s">
        <v>156</v>
      </c>
      <c r="C146" s="8">
        <v>2</v>
      </c>
      <c r="D146" s="2" t="s">
        <v>87</v>
      </c>
      <c r="E146" s="8">
        <v>4200</v>
      </c>
      <c r="F146" s="16"/>
      <c r="G146" s="16"/>
      <c r="H146" s="16"/>
      <c r="I146" s="16"/>
      <c r="J146" s="15" t="s">
        <v>31</v>
      </c>
      <c r="K146" s="15" t="s">
        <v>31</v>
      </c>
      <c r="L146" s="15" t="s">
        <v>31</v>
      </c>
      <c r="M146" s="13"/>
      <c r="N146" s="17"/>
      <c r="O146" s="5"/>
      <c r="P146" s="5"/>
      <c r="Q146" s="5"/>
      <c r="R146" s="5"/>
      <c r="S146" s="5"/>
      <c r="T146" s="5"/>
      <c r="U146" s="5"/>
      <c r="V146" s="5"/>
      <c r="W146" s="5"/>
      <c r="X146" s="5"/>
      <c r="Y146" s="5"/>
      <c r="Z146" s="5"/>
      <c r="AA146" s="5"/>
      <c r="AB146" s="5"/>
      <c r="AC146" s="5"/>
      <c r="AD146" s="5"/>
      <c r="AE146" s="5"/>
      <c r="AF146" s="5"/>
    </row>
    <row r="147" spans="1:32" ht="12" customHeight="1">
      <c r="A147" s="19" t="s">
        <v>158</v>
      </c>
      <c r="B147" s="20" t="s">
        <v>156</v>
      </c>
      <c r="C147" s="21">
        <v>3</v>
      </c>
      <c r="D147" s="20" t="s">
        <v>87</v>
      </c>
      <c r="E147" s="21"/>
      <c r="F147" s="22">
        <f t="shared" ref="F147:I147" si="14">SUM(F145:F146)</f>
        <v>0</v>
      </c>
      <c r="G147" s="22">
        <f t="shared" si="14"/>
        <v>0</v>
      </c>
      <c r="H147" s="22">
        <f t="shared" si="14"/>
        <v>0</v>
      </c>
      <c r="I147" s="22">
        <f t="shared" si="14"/>
        <v>0</v>
      </c>
      <c r="J147" s="23" t="s">
        <v>31</v>
      </c>
      <c r="K147" s="23" t="s">
        <v>31</v>
      </c>
      <c r="L147" s="23" t="s">
        <v>31</v>
      </c>
      <c r="M147" s="13"/>
      <c r="N147" s="17"/>
      <c r="O147" s="5"/>
      <c r="P147" s="5"/>
      <c r="Q147" s="5"/>
      <c r="R147" s="5"/>
      <c r="S147" s="5"/>
      <c r="T147" s="5"/>
      <c r="U147" s="5"/>
      <c r="V147" s="5"/>
      <c r="W147" s="5"/>
      <c r="X147" s="5"/>
      <c r="Y147" s="5"/>
      <c r="Z147" s="5"/>
      <c r="AA147" s="5"/>
      <c r="AB147" s="5"/>
      <c r="AC147" s="5"/>
      <c r="AD147" s="5"/>
      <c r="AE147" s="5"/>
      <c r="AF147" s="5"/>
    </row>
    <row r="148" spans="1:32" ht="12" customHeight="1">
      <c r="A148" s="33" t="s">
        <v>137</v>
      </c>
      <c r="B148" s="2"/>
      <c r="C148" s="2"/>
      <c r="D148" s="2"/>
      <c r="E148" s="2"/>
      <c r="F148" s="15" t="s">
        <v>31</v>
      </c>
      <c r="G148" s="15" t="s">
        <v>31</v>
      </c>
      <c r="H148" s="15" t="s">
        <v>31</v>
      </c>
      <c r="I148" s="15" t="s">
        <v>31</v>
      </c>
      <c r="J148" s="15" t="s">
        <v>31</v>
      </c>
      <c r="K148" s="15" t="s">
        <v>31</v>
      </c>
      <c r="L148" s="15" t="s">
        <v>31</v>
      </c>
      <c r="M148" s="13"/>
      <c r="N148" s="17"/>
      <c r="O148" s="5"/>
      <c r="P148" s="5"/>
      <c r="Q148" s="5"/>
      <c r="R148" s="5"/>
      <c r="S148" s="5"/>
      <c r="T148" s="5"/>
      <c r="U148" s="5"/>
      <c r="V148" s="5"/>
      <c r="W148" s="5"/>
      <c r="X148" s="5"/>
      <c r="Y148" s="5"/>
      <c r="Z148" s="5"/>
      <c r="AA148" s="5"/>
      <c r="AB148" s="5"/>
      <c r="AC148" s="5"/>
      <c r="AD148" s="5"/>
      <c r="AE148" s="5"/>
      <c r="AF148" s="5"/>
    </row>
    <row r="149" spans="1:32" ht="12" customHeight="1">
      <c r="A149" s="1" t="s">
        <v>159</v>
      </c>
      <c r="B149" s="5"/>
      <c r="C149" s="1" t="s">
        <v>160</v>
      </c>
      <c r="D149" s="1"/>
      <c r="E149" s="8">
        <v>4300</v>
      </c>
      <c r="F149" s="15" t="s">
        <v>31</v>
      </c>
      <c r="G149" s="15" t="s">
        <v>31</v>
      </c>
      <c r="H149" s="15" t="s">
        <v>31</v>
      </c>
      <c r="I149" s="15" t="s">
        <v>31</v>
      </c>
      <c r="J149" s="15" t="s">
        <v>31</v>
      </c>
      <c r="K149" s="15" t="s">
        <v>31</v>
      </c>
      <c r="L149" s="15" t="s">
        <v>31</v>
      </c>
      <c r="M149" s="13"/>
      <c r="N149" s="17"/>
      <c r="O149" s="5"/>
      <c r="P149" s="5"/>
      <c r="Q149" s="5"/>
      <c r="R149" s="5"/>
      <c r="S149" s="5"/>
      <c r="T149" s="5"/>
      <c r="U149" s="5"/>
      <c r="V149" s="5"/>
      <c r="W149" s="5"/>
      <c r="X149" s="5"/>
      <c r="Y149" s="5"/>
      <c r="Z149" s="5"/>
      <c r="AA149" s="5"/>
      <c r="AB149" s="5"/>
      <c r="AC149" s="5"/>
      <c r="AD149" s="5"/>
      <c r="AE149" s="5"/>
      <c r="AF149" s="5"/>
    </row>
    <row r="150" spans="1:32" ht="12" customHeight="1">
      <c r="A150" s="5" t="s">
        <v>161</v>
      </c>
      <c r="B150" s="2" t="s">
        <v>156</v>
      </c>
      <c r="C150" s="8">
        <v>4</v>
      </c>
      <c r="D150" s="2" t="s">
        <v>87</v>
      </c>
      <c r="E150" s="8">
        <v>4310</v>
      </c>
      <c r="F150" s="16"/>
      <c r="G150" s="15" t="s">
        <v>31</v>
      </c>
      <c r="H150" s="16"/>
      <c r="I150" s="16"/>
      <c r="J150" s="15" t="s">
        <v>31</v>
      </c>
      <c r="K150" s="15" t="s">
        <v>31</v>
      </c>
      <c r="L150" s="15" t="s">
        <v>31</v>
      </c>
      <c r="M150" s="13"/>
      <c r="N150" s="17"/>
      <c r="O150" s="5"/>
      <c r="P150" s="5"/>
      <c r="Q150" s="5"/>
      <c r="R150" s="5"/>
      <c r="S150" s="5"/>
      <c r="T150" s="5"/>
      <c r="U150" s="5"/>
      <c r="V150" s="5"/>
      <c r="W150" s="5"/>
      <c r="X150" s="5"/>
      <c r="Y150" s="5"/>
      <c r="Z150" s="5"/>
      <c r="AA150" s="5"/>
      <c r="AB150" s="5"/>
      <c r="AC150" s="5"/>
      <c r="AD150" s="5"/>
      <c r="AE150" s="5"/>
      <c r="AF150" s="5"/>
    </row>
    <row r="151" spans="1:32" ht="12" customHeight="1">
      <c r="A151" s="1" t="s">
        <v>162</v>
      </c>
      <c r="B151" s="2" t="s">
        <v>156</v>
      </c>
      <c r="C151" s="8">
        <v>5</v>
      </c>
      <c r="D151" s="2" t="s">
        <v>87</v>
      </c>
      <c r="E151" s="8">
        <v>4330</v>
      </c>
      <c r="F151" s="16"/>
      <c r="G151" s="15" t="s">
        <v>31</v>
      </c>
      <c r="H151" s="16"/>
      <c r="I151" s="16"/>
      <c r="J151" s="15" t="s">
        <v>31</v>
      </c>
      <c r="K151" s="15" t="s">
        <v>31</v>
      </c>
      <c r="L151" s="15" t="s">
        <v>31</v>
      </c>
      <c r="M151" s="13"/>
      <c r="N151" s="17"/>
      <c r="O151" s="5"/>
      <c r="P151" s="5"/>
      <c r="Q151" s="5"/>
      <c r="R151" s="5"/>
      <c r="S151" s="5"/>
      <c r="T151" s="5"/>
      <c r="U151" s="5"/>
      <c r="V151" s="5"/>
      <c r="W151" s="5"/>
      <c r="X151" s="5"/>
      <c r="Y151" s="5"/>
      <c r="Z151" s="5"/>
      <c r="AA151" s="5"/>
      <c r="AB151" s="5"/>
      <c r="AC151" s="5"/>
      <c r="AD151" s="5"/>
      <c r="AE151" s="5"/>
      <c r="AF151" s="5"/>
    </row>
    <row r="152" spans="1:32" ht="12" customHeight="1">
      <c r="A152" s="1" t="s">
        <v>163</v>
      </c>
      <c r="B152" s="2" t="s">
        <v>156</v>
      </c>
      <c r="C152" s="8">
        <v>6</v>
      </c>
      <c r="D152" s="2" t="s">
        <v>87</v>
      </c>
      <c r="E152" s="8">
        <v>4350</v>
      </c>
      <c r="F152" s="16"/>
      <c r="G152" s="15" t="s">
        <v>31</v>
      </c>
      <c r="H152" s="16"/>
      <c r="I152" s="16"/>
      <c r="J152" s="15" t="s">
        <v>31</v>
      </c>
      <c r="K152" s="15" t="s">
        <v>31</v>
      </c>
      <c r="L152" s="15" t="s">
        <v>31</v>
      </c>
      <c r="M152" s="13"/>
      <c r="N152" s="17"/>
      <c r="O152" s="5"/>
      <c r="P152" s="5"/>
      <c r="Q152" s="5"/>
      <c r="R152" s="5"/>
      <c r="S152" s="5"/>
      <c r="T152" s="5"/>
      <c r="U152" s="5"/>
      <c r="V152" s="5"/>
      <c r="W152" s="5"/>
      <c r="X152" s="5"/>
      <c r="Y152" s="5"/>
      <c r="Z152" s="5"/>
      <c r="AA152" s="5"/>
      <c r="AB152" s="5"/>
      <c r="AC152" s="5"/>
      <c r="AD152" s="5"/>
      <c r="AE152" s="5"/>
      <c r="AF152" s="5"/>
    </row>
    <row r="153" spans="1:32" ht="12" customHeight="1">
      <c r="A153" s="1" t="s">
        <v>164</v>
      </c>
      <c r="B153" s="2"/>
      <c r="C153" s="8"/>
      <c r="D153" s="8"/>
      <c r="E153" s="8">
        <v>4500</v>
      </c>
      <c r="F153" s="15" t="s">
        <v>31</v>
      </c>
      <c r="G153" s="15" t="s">
        <v>31</v>
      </c>
      <c r="H153" s="15" t="s">
        <v>31</v>
      </c>
      <c r="I153" s="15" t="s">
        <v>31</v>
      </c>
      <c r="J153" s="15" t="s">
        <v>31</v>
      </c>
      <c r="K153" s="15" t="s">
        <v>31</v>
      </c>
      <c r="L153" s="15" t="s">
        <v>31</v>
      </c>
      <c r="M153" s="13"/>
      <c r="N153" s="17"/>
      <c r="O153" s="5"/>
      <c r="P153" s="5"/>
      <c r="Q153" s="5"/>
      <c r="R153" s="5"/>
      <c r="S153" s="5"/>
      <c r="T153" s="5"/>
      <c r="U153" s="5"/>
      <c r="V153" s="5"/>
      <c r="W153" s="5"/>
      <c r="X153" s="5"/>
      <c r="Y153" s="5"/>
      <c r="Z153" s="5"/>
      <c r="AA153" s="5"/>
      <c r="AB153" s="5"/>
      <c r="AC153" s="5"/>
      <c r="AD153" s="5"/>
      <c r="AE153" s="5"/>
      <c r="AF153" s="5"/>
    </row>
    <row r="154" spans="1:32" ht="12" customHeight="1">
      <c r="A154" s="1" t="s">
        <v>165</v>
      </c>
      <c r="B154" s="2" t="s">
        <v>156</v>
      </c>
      <c r="C154" s="8">
        <v>7</v>
      </c>
      <c r="D154" s="2" t="s">
        <v>87</v>
      </c>
      <c r="E154" s="8">
        <v>4520</v>
      </c>
      <c r="F154" s="15" t="s">
        <v>31</v>
      </c>
      <c r="G154" s="15" t="s">
        <v>31</v>
      </c>
      <c r="H154" s="16">
        <v>3432.78</v>
      </c>
      <c r="I154" s="15" t="s">
        <v>31</v>
      </c>
      <c r="J154" s="15" t="s">
        <v>31</v>
      </c>
      <c r="K154" s="15" t="s">
        <v>31</v>
      </c>
      <c r="L154" s="15" t="s">
        <v>31</v>
      </c>
      <c r="M154" s="13"/>
      <c r="N154" s="17"/>
      <c r="O154" s="5"/>
      <c r="P154" s="5"/>
      <c r="Q154" s="5"/>
      <c r="R154" s="5"/>
      <c r="S154" s="5"/>
      <c r="T154" s="5"/>
      <c r="U154" s="5"/>
      <c r="V154" s="5"/>
      <c r="W154" s="5"/>
      <c r="X154" s="5"/>
      <c r="Y154" s="5"/>
      <c r="Z154" s="5"/>
      <c r="AA154" s="5"/>
      <c r="AB154" s="5"/>
      <c r="AC154" s="5"/>
      <c r="AD154" s="5"/>
      <c r="AE154" s="5"/>
      <c r="AF154" s="5"/>
    </row>
    <row r="155" spans="1:32" ht="12" customHeight="1">
      <c r="A155" s="1" t="s">
        <v>166</v>
      </c>
      <c r="B155" s="2" t="s">
        <v>156</v>
      </c>
      <c r="C155" s="8">
        <v>8</v>
      </c>
      <c r="D155" s="2" t="s">
        <v>87</v>
      </c>
      <c r="E155" s="8">
        <v>4530</v>
      </c>
      <c r="F155" s="15" t="s">
        <v>31</v>
      </c>
      <c r="G155" s="15" t="s">
        <v>31</v>
      </c>
      <c r="H155" s="16">
        <f>11600.2+6205.37</f>
        <v>17805.57</v>
      </c>
      <c r="I155" s="15" t="s">
        <v>31</v>
      </c>
      <c r="J155" s="15" t="s">
        <v>31</v>
      </c>
      <c r="K155" s="15" t="s">
        <v>31</v>
      </c>
      <c r="L155" s="15" t="s">
        <v>31</v>
      </c>
      <c r="M155" s="13"/>
      <c r="N155" s="17"/>
      <c r="O155" s="5"/>
      <c r="P155" s="5"/>
      <c r="Q155" s="5"/>
      <c r="R155" s="5"/>
      <c r="S155" s="5"/>
      <c r="T155" s="5"/>
      <c r="U155" s="5"/>
      <c r="V155" s="5"/>
      <c r="W155" s="5"/>
      <c r="X155" s="5"/>
      <c r="Y155" s="5"/>
      <c r="Z155" s="5"/>
      <c r="AA155" s="5"/>
      <c r="AB155" s="5"/>
      <c r="AC155" s="5"/>
      <c r="AD155" s="5"/>
      <c r="AE155" s="5"/>
      <c r="AF155" s="5"/>
    </row>
    <row r="156" spans="1:32" ht="12" customHeight="1">
      <c r="A156" s="1" t="s">
        <v>167</v>
      </c>
      <c r="B156" s="2" t="s">
        <v>156</v>
      </c>
      <c r="C156" s="8">
        <v>9</v>
      </c>
      <c r="D156" s="2" t="s">
        <v>87</v>
      </c>
      <c r="E156" s="8">
        <v>4540</v>
      </c>
      <c r="F156" s="15" t="s">
        <v>31</v>
      </c>
      <c r="G156" s="15" t="s">
        <v>31</v>
      </c>
      <c r="H156" s="16"/>
      <c r="I156" s="15" t="s">
        <v>31</v>
      </c>
      <c r="J156" s="15" t="s">
        <v>31</v>
      </c>
      <c r="K156" s="15" t="s">
        <v>31</v>
      </c>
      <c r="L156" s="15" t="s">
        <v>31</v>
      </c>
      <c r="M156" s="13"/>
      <c r="N156" s="17"/>
      <c r="O156" s="5"/>
      <c r="P156" s="5"/>
      <c r="Q156" s="5"/>
      <c r="R156" s="5"/>
      <c r="S156" s="5"/>
      <c r="T156" s="5"/>
      <c r="U156" s="5"/>
      <c r="V156" s="5"/>
      <c r="W156" s="5"/>
      <c r="X156" s="5"/>
      <c r="Y156" s="5"/>
      <c r="Z156" s="5"/>
      <c r="AA156" s="5"/>
      <c r="AB156" s="5"/>
      <c r="AC156" s="5"/>
      <c r="AD156" s="5"/>
      <c r="AE156" s="5"/>
      <c r="AF156" s="5"/>
    </row>
    <row r="157" spans="1:32" ht="12" customHeight="1">
      <c r="A157" s="1" t="s">
        <v>168</v>
      </c>
      <c r="B157" s="2" t="s">
        <v>156</v>
      </c>
      <c r="C157" s="8">
        <v>10</v>
      </c>
      <c r="D157" s="2" t="s">
        <v>87</v>
      </c>
      <c r="E157" s="8">
        <v>4550</v>
      </c>
      <c r="F157" s="16"/>
      <c r="G157" s="15" t="s">
        <v>31</v>
      </c>
      <c r="H157" s="16"/>
      <c r="I157" s="15" t="s">
        <v>31</v>
      </c>
      <c r="J157" s="15" t="s">
        <v>31</v>
      </c>
      <c r="K157" s="15" t="s">
        <v>31</v>
      </c>
      <c r="L157" s="15" t="s">
        <v>31</v>
      </c>
      <c r="M157" s="13"/>
      <c r="N157" s="17"/>
      <c r="O157" s="5"/>
      <c r="P157" s="5"/>
      <c r="Q157" s="5"/>
      <c r="R157" s="5"/>
      <c r="S157" s="5"/>
      <c r="T157" s="5"/>
      <c r="U157" s="5"/>
      <c r="V157" s="5"/>
      <c r="W157" s="5"/>
      <c r="X157" s="5"/>
      <c r="Y157" s="5"/>
      <c r="Z157" s="5"/>
      <c r="AA157" s="5"/>
      <c r="AB157" s="5"/>
      <c r="AC157" s="5"/>
      <c r="AD157" s="5"/>
      <c r="AE157" s="5"/>
      <c r="AF157" s="5"/>
    </row>
    <row r="158" spans="1:32" ht="12" customHeight="1">
      <c r="A158" s="1" t="s">
        <v>169</v>
      </c>
      <c r="B158" s="2" t="s">
        <v>156</v>
      </c>
      <c r="C158" s="8">
        <v>11</v>
      </c>
      <c r="D158" s="2" t="s">
        <v>87</v>
      </c>
      <c r="E158" s="8">
        <v>4560</v>
      </c>
      <c r="F158" s="15" t="s">
        <v>31</v>
      </c>
      <c r="G158" s="16">
        <v>53537.98</v>
      </c>
      <c r="H158" s="15" t="s">
        <v>31</v>
      </c>
      <c r="I158" s="15" t="s">
        <v>31</v>
      </c>
      <c r="J158" s="15" t="s">
        <v>31</v>
      </c>
      <c r="K158" s="15" t="s">
        <v>31</v>
      </c>
      <c r="L158" s="15" t="s">
        <v>31</v>
      </c>
      <c r="M158" s="13"/>
      <c r="N158" s="17"/>
      <c r="O158" s="5"/>
      <c r="P158" s="5"/>
      <c r="Q158" s="5"/>
      <c r="R158" s="5"/>
      <c r="S158" s="5"/>
      <c r="T158" s="5"/>
      <c r="U158" s="5"/>
      <c r="V158" s="5"/>
      <c r="W158" s="5"/>
      <c r="X158" s="5"/>
      <c r="Y158" s="5"/>
      <c r="Z158" s="5"/>
      <c r="AA158" s="5"/>
      <c r="AB158" s="5"/>
      <c r="AC158" s="5"/>
      <c r="AD158" s="5"/>
      <c r="AE158" s="5"/>
      <c r="AF158" s="5"/>
    </row>
    <row r="159" spans="1:32" ht="12" customHeight="1">
      <c r="A159" s="1" t="s">
        <v>163</v>
      </c>
      <c r="B159" s="2" t="s">
        <v>156</v>
      </c>
      <c r="C159" s="8">
        <v>12</v>
      </c>
      <c r="D159" s="2" t="s">
        <v>87</v>
      </c>
      <c r="E159" s="8">
        <v>4570</v>
      </c>
      <c r="F159" s="15" t="s">
        <v>31</v>
      </c>
      <c r="G159" s="15" t="s">
        <v>31</v>
      </c>
      <c r="H159" s="16">
        <v>6468.75</v>
      </c>
      <c r="I159" s="15" t="s">
        <v>31</v>
      </c>
      <c r="J159" s="15" t="s">
        <v>31</v>
      </c>
      <c r="K159" s="15" t="s">
        <v>31</v>
      </c>
      <c r="L159" s="15" t="s">
        <v>31</v>
      </c>
      <c r="M159" s="13"/>
      <c r="N159" s="17"/>
      <c r="O159" s="5"/>
      <c r="P159" s="5"/>
      <c r="Q159" s="5"/>
      <c r="R159" s="5"/>
      <c r="S159" s="5"/>
      <c r="T159" s="5"/>
      <c r="U159" s="5"/>
      <c r="V159" s="5"/>
      <c r="W159" s="5"/>
      <c r="X159" s="5"/>
      <c r="Y159" s="5"/>
      <c r="Z159" s="5"/>
      <c r="AA159" s="5"/>
      <c r="AB159" s="5"/>
      <c r="AC159" s="5"/>
      <c r="AD159" s="5"/>
      <c r="AE159" s="5"/>
      <c r="AF159" s="5"/>
    </row>
    <row r="160" spans="1:32" ht="12" customHeight="1">
      <c r="A160" s="1" t="s">
        <v>170</v>
      </c>
      <c r="B160" s="2" t="s">
        <v>156</v>
      </c>
      <c r="C160" s="8">
        <v>13</v>
      </c>
      <c r="D160" s="2" t="s">
        <v>87</v>
      </c>
      <c r="E160" s="8">
        <v>4580</v>
      </c>
      <c r="F160" s="16"/>
      <c r="G160" s="15" t="s">
        <v>31</v>
      </c>
      <c r="H160" s="16"/>
      <c r="I160" s="15" t="s">
        <v>31</v>
      </c>
      <c r="J160" s="15" t="s">
        <v>31</v>
      </c>
      <c r="K160" s="15" t="s">
        <v>31</v>
      </c>
      <c r="L160" s="15" t="s">
        <v>31</v>
      </c>
      <c r="M160" s="13"/>
      <c r="N160" s="17"/>
      <c r="O160" s="5"/>
      <c r="P160" s="5"/>
      <c r="Q160" s="5"/>
      <c r="R160" s="5"/>
      <c r="S160" s="5"/>
      <c r="T160" s="5"/>
      <c r="U160" s="5"/>
      <c r="V160" s="5"/>
      <c r="W160" s="5"/>
      <c r="X160" s="5"/>
      <c r="Y160" s="5"/>
      <c r="Z160" s="5"/>
      <c r="AA160" s="5"/>
      <c r="AB160" s="5"/>
      <c r="AC160" s="5"/>
      <c r="AD160" s="5"/>
      <c r="AE160" s="5"/>
      <c r="AF160" s="5"/>
    </row>
    <row r="161" spans="1:32" ht="12" customHeight="1">
      <c r="A161" s="1" t="s">
        <v>171</v>
      </c>
      <c r="B161" s="2" t="s">
        <v>156</v>
      </c>
      <c r="C161" s="8">
        <v>14</v>
      </c>
      <c r="D161" s="2" t="s">
        <v>87</v>
      </c>
      <c r="E161" s="8">
        <v>4590</v>
      </c>
      <c r="F161" s="16"/>
      <c r="G161" s="16"/>
      <c r="H161" s="16"/>
      <c r="I161" s="16"/>
      <c r="J161" s="15" t="s">
        <v>31</v>
      </c>
      <c r="K161" s="15" t="s">
        <v>31</v>
      </c>
      <c r="L161" s="15" t="s">
        <v>31</v>
      </c>
      <c r="M161" s="13"/>
      <c r="N161" s="17"/>
      <c r="O161" s="5"/>
      <c r="P161" s="5"/>
      <c r="Q161" s="5"/>
      <c r="R161" s="5"/>
      <c r="S161" s="5"/>
      <c r="T161" s="5"/>
      <c r="U161" s="5"/>
      <c r="V161" s="5"/>
      <c r="W161" s="5"/>
      <c r="X161" s="5"/>
      <c r="Y161" s="5"/>
      <c r="Z161" s="5"/>
      <c r="AA161" s="5"/>
      <c r="AB161" s="5"/>
      <c r="AC161" s="5"/>
      <c r="AD161" s="5"/>
      <c r="AE161" s="5"/>
      <c r="AF161" s="5"/>
    </row>
    <row r="162" spans="1:32" ht="12" customHeight="1">
      <c r="A162" s="37" t="s">
        <v>172</v>
      </c>
      <c r="B162" s="38">
        <v>5</v>
      </c>
      <c r="C162" s="38">
        <v>15</v>
      </c>
      <c r="D162" s="39"/>
      <c r="E162" s="38">
        <v>4595</v>
      </c>
      <c r="F162" s="16"/>
      <c r="G162" s="16"/>
      <c r="H162" s="16">
        <v>1557.5</v>
      </c>
      <c r="I162" s="15" t="s">
        <v>31</v>
      </c>
      <c r="J162" s="15"/>
      <c r="K162" s="15"/>
      <c r="L162" s="15"/>
      <c r="M162" s="13"/>
      <c r="N162" s="17"/>
      <c r="O162" s="5"/>
      <c r="P162" s="5"/>
      <c r="Q162" s="5"/>
      <c r="R162" s="5"/>
      <c r="S162" s="5"/>
      <c r="T162" s="5"/>
      <c r="U162" s="5"/>
      <c r="V162" s="5"/>
      <c r="W162" s="5"/>
      <c r="X162" s="5"/>
      <c r="Y162" s="5"/>
      <c r="Z162" s="5"/>
      <c r="AA162" s="5"/>
      <c r="AB162" s="5"/>
      <c r="AC162" s="5"/>
      <c r="AD162" s="5"/>
      <c r="AE162" s="5"/>
      <c r="AF162" s="5"/>
    </row>
    <row r="163" spans="1:32" ht="12" customHeight="1">
      <c r="A163" s="19" t="s">
        <v>173</v>
      </c>
      <c r="B163" s="20" t="s">
        <v>156</v>
      </c>
      <c r="C163" s="21">
        <v>16</v>
      </c>
      <c r="D163" s="20" t="s">
        <v>87</v>
      </c>
      <c r="E163" s="21"/>
      <c r="F163" s="22">
        <f t="shared" ref="F163:I163" si="15">SUM(F150:F162)</f>
        <v>0</v>
      </c>
      <c r="G163" s="22">
        <f t="shared" si="15"/>
        <v>53537.98</v>
      </c>
      <c r="H163" s="22">
        <f t="shared" si="15"/>
        <v>29264.6</v>
      </c>
      <c r="I163" s="22">
        <f t="shared" si="15"/>
        <v>0</v>
      </c>
      <c r="J163" s="23" t="s">
        <v>31</v>
      </c>
      <c r="K163" s="23" t="s">
        <v>31</v>
      </c>
      <c r="L163" s="23" t="s">
        <v>31</v>
      </c>
      <c r="M163" s="13"/>
      <c r="N163" s="17"/>
      <c r="O163" s="5"/>
      <c r="P163" s="5"/>
      <c r="Q163" s="5"/>
      <c r="R163" s="5"/>
      <c r="S163" s="5"/>
      <c r="T163" s="5"/>
      <c r="U163" s="5"/>
      <c r="V163" s="5"/>
      <c r="W163" s="5"/>
      <c r="X163" s="5"/>
      <c r="Y163" s="5"/>
      <c r="Z163" s="5"/>
      <c r="AA163" s="5"/>
      <c r="AB163" s="5"/>
      <c r="AC163" s="5"/>
      <c r="AD163" s="5"/>
      <c r="AE163" s="5"/>
      <c r="AF163" s="5"/>
    </row>
    <row r="164" spans="1:32" ht="12" customHeight="1">
      <c r="A164" s="5" t="s">
        <v>174</v>
      </c>
      <c r="B164" s="2" t="s">
        <v>156</v>
      </c>
      <c r="C164" s="8">
        <v>17</v>
      </c>
      <c r="D164" s="2" t="s">
        <v>87</v>
      </c>
      <c r="E164" s="8">
        <v>4700</v>
      </c>
      <c r="F164" s="16"/>
      <c r="G164" s="16"/>
      <c r="H164" s="16"/>
      <c r="I164" s="16"/>
      <c r="J164" s="15" t="s">
        <v>31</v>
      </c>
      <c r="K164" s="15" t="s">
        <v>31</v>
      </c>
      <c r="L164" s="15" t="s">
        <v>31</v>
      </c>
      <c r="M164" s="13"/>
      <c r="N164" s="17"/>
      <c r="O164" s="5"/>
      <c r="P164" s="5"/>
      <c r="Q164" s="5"/>
      <c r="R164" s="5"/>
      <c r="S164" s="5"/>
      <c r="T164" s="5"/>
      <c r="U164" s="5"/>
      <c r="V164" s="5"/>
      <c r="W164" s="5"/>
      <c r="X164" s="5"/>
      <c r="Y164" s="5"/>
      <c r="Z164" s="5"/>
      <c r="AA164" s="5"/>
      <c r="AB164" s="5"/>
      <c r="AC164" s="5"/>
      <c r="AD164" s="5"/>
      <c r="AE164" s="5"/>
      <c r="AF164" s="5"/>
    </row>
    <row r="165" spans="1:32" ht="12" customHeight="1">
      <c r="A165" s="33" t="s">
        <v>175</v>
      </c>
      <c r="B165" s="5"/>
      <c r="C165" s="5"/>
      <c r="D165" s="5"/>
      <c r="E165" s="8"/>
      <c r="F165" s="15" t="s">
        <v>31</v>
      </c>
      <c r="G165" s="15" t="s">
        <v>31</v>
      </c>
      <c r="H165" s="15" t="s">
        <v>31</v>
      </c>
      <c r="I165" s="15" t="s">
        <v>31</v>
      </c>
      <c r="J165" s="15" t="s">
        <v>31</v>
      </c>
      <c r="K165" s="15" t="s">
        <v>31</v>
      </c>
      <c r="L165" s="15" t="s">
        <v>31</v>
      </c>
      <c r="M165" s="13"/>
      <c r="N165" s="17"/>
      <c r="O165" s="5"/>
      <c r="P165" s="5"/>
      <c r="Q165" s="5"/>
      <c r="R165" s="5"/>
      <c r="S165" s="5"/>
      <c r="T165" s="5"/>
      <c r="U165" s="5"/>
      <c r="V165" s="5"/>
      <c r="W165" s="5"/>
      <c r="X165" s="5"/>
      <c r="Y165" s="5"/>
      <c r="Z165" s="5"/>
      <c r="AA165" s="5"/>
      <c r="AB165" s="5"/>
      <c r="AC165" s="5"/>
      <c r="AD165" s="5"/>
      <c r="AE165" s="5"/>
      <c r="AF165" s="5"/>
    </row>
    <row r="166" spans="1:32" ht="12" customHeight="1">
      <c r="A166" s="1" t="s">
        <v>176</v>
      </c>
      <c r="B166" s="2" t="s">
        <v>156</v>
      </c>
      <c r="C166" s="8">
        <v>18</v>
      </c>
      <c r="D166" s="2" t="s">
        <v>87</v>
      </c>
      <c r="E166" s="8">
        <v>4810</v>
      </c>
      <c r="F166" s="16"/>
      <c r="G166" s="15" t="s">
        <v>31</v>
      </c>
      <c r="H166" s="15" t="s">
        <v>31</v>
      </c>
      <c r="I166" s="15" t="s">
        <v>31</v>
      </c>
      <c r="J166" s="15" t="s">
        <v>31</v>
      </c>
      <c r="K166" s="15" t="s">
        <v>31</v>
      </c>
      <c r="L166" s="15" t="s">
        <v>31</v>
      </c>
      <c r="M166" s="13"/>
      <c r="N166" s="17"/>
      <c r="O166" s="5"/>
      <c r="P166" s="5"/>
      <c r="Q166" s="5"/>
      <c r="R166" s="5"/>
      <c r="S166" s="5"/>
      <c r="T166" s="5"/>
      <c r="U166" s="5"/>
      <c r="V166" s="5"/>
      <c r="W166" s="5"/>
      <c r="X166" s="5"/>
      <c r="Y166" s="5"/>
      <c r="Z166" s="5"/>
      <c r="AA166" s="5"/>
      <c r="AB166" s="5"/>
      <c r="AC166" s="5"/>
      <c r="AD166" s="5"/>
      <c r="AE166" s="5"/>
      <c r="AF166" s="5"/>
    </row>
    <row r="167" spans="1:32" ht="12" customHeight="1">
      <c r="A167" s="1" t="s">
        <v>177</v>
      </c>
      <c r="B167" s="2" t="s">
        <v>156</v>
      </c>
      <c r="C167" s="8">
        <v>19</v>
      </c>
      <c r="D167" s="2" t="s">
        <v>87</v>
      </c>
      <c r="E167" s="8">
        <v>4890</v>
      </c>
      <c r="F167" s="16"/>
      <c r="G167" s="15" t="s">
        <v>31</v>
      </c>
      <c r="H167" s="15" t="s">
        <v>31</v>
      </c>
      <c r="I167" s="15" t="s">
        <v>31</v>
      </c>
      <c r="J167" s="15" t="s">
        <v>31</v>
      </c>
      <c r="K167" s="15" t="s">
        <v>31</v>
      </c>
      <c r="L167" s="15" t="s">
        <v>31</v>
      </c>
      <c r="M167" s="13"/>
      <c r="N167" s="17"/>
      <c r="O167" s="5"/>
      <c r="P167" s="5"/>
      <c r="Q167" s="5"/>
      <c r="R167" s="5"/>
      <c r="S167" s="5"/>
      <c r="T167" s="5"/>
      <c r="U167" s="5"/>
      <c r="V167" s="5"/>
      <c r="W167" s="5"/>
      <c r="X167" s="5"/>
      <c r="Y167" s="5"/>
      <c r="Z167" s="5"/>
      <c r="AA167" s="5"/>
      <c r="AB167" s="5"/>
      <c r="AC167" s="5"/>
      <c r="AD167" s="5"/>
      <c r="AE167" s="5"/>
      <c r="AF167" s="5"/>
    </row>
    <row r="168" spans="1:32" ht="12" customHeight="1">
      <c r="A168" s="33" t="s">
        <v>178</v>
      </c>
      <c r="B168" s="2"/>
      <c r="C168" s="8"/>
      <c r="D168" s="2"/>
      <c r="E168" s="8"/>
      <c r="F168" s="15" t="s">
        <v>31</v>
      </c>
      <c r="G168" s="15" t="s">
        <v>31</v>
      </c>
      <c r="H168" s="15" t="s">
        <v>31</v>
      </c>
      <c r="I168" s="15" t="s">
        <v>31</v>
      </c>
      <c r="J168" s="15" t="s">
        <v>31</v>
      </c>
      <c r="K168" s="15" t="s">
        <v>31</v>
      </c>
      <c r="L168" s="15" t="s">
        <v>31</v>
      </c>
      <c r="M168" s="13"/>
      <c r="N168" s="17"/>
      <c r="O168" s="5"/>
      <c r="P168" s="5"/>
      <c r="Q168" s="5"/>
      <c r="R168" s="5"/>
      <c r="S168" s="5"/>
      <c r="T168" s="5"/>
      <c r="U168" s="5"/>
      <c r="V168" s="5"/>
      <c r="W168" s="5"/>
      <c r="X168" s="5"/>
      <c r="Y168" s="5"/>
      <c r="Z168" s="5"/>
      <c r="AA168" s="5"/>
      <c r="AB168" s="5"/>
      <c r="AC168" s="5"/>
      <c r="AD168" s="5"/>
      <c r="AE168" s="5"/>
      <c r="AF168" s="5"/>
    </row>
    <row r="169" spans="1:32" ht="12" customHeight="1">
      <c r="A169" s="1" t="s">
        <v>179</v>
      </c>
      <c r="B169" s="2" t="s">
        <v>156</v>
      </c>
      <c r="C169" s="8">
        <v>20</v>
      </c>
      <c r="D169" s="2" t="s">
        <v>87</v>
      </c>
      <c r="E169" s="8">
        <v>4900</v>
      </c>
      <c r="F169" s="16"/>
      <c r="G169" s="16"/>
      <c r="H169" s="16"/>
      <c r="I169" s="15" t="s">
        <v>31</v>
      </c>
      <c r="J169" s="15" t="s">
        <v>31</v>
      </c>
      <c r="K169" s="15" t="s">
        <v>31</v>
      </c>
      <c r="L169" s="15" t="s">
        <v>31</v>
      </c>
      <c r="M169" s="13"/>
      <c r="N169" s="17"/>
      <c r="O169" s="5"/>
      <c r="P169" s="5"/>
      <c r="Q169" s="5"/>
      <c r="R169" s="5"/>
      <c r="S169" s="5"/>
      <c r="T169" s="5"/>
      <c r="U169" s="5"/>
      <c r="V169" s="5"/>
      <c r="W169" s="5"/>
      <c r="X169" s="5"/>
      <c r="Y169" s="5"/>
      <c r="Z169" s="5"/>
      <c r="AA169" s="5"/>
      <c r="AB169" s="5"/>
      <c r="AC169" s="5"/>
      <c r="AD169" s="5"/>
      <c r="AE169" s="5"/>
      <c r="AF169" s="5"/>
    </row>
    <row r="170" spans="1:32" ht="12" customHeight="1">
      <c r="A170" s="19" t="s">
        <v>180</v>
      </c>
      <c r="B170" s="20" t="s">
        <v>156</v>
      </c>
      <c r="C170" s="21">
        <v>21</v>
      </c>
      <c r="D170" s="20" t="s">
        <v>87</v>
      </c>
      <c r="E170" s="40">
        <v>4000</v>
      </c>
      <c r="F170" s="22">
        <f t="shared" ref="F170:I170" si="16">F147+F163+SUM(F164:F169)</f>
        <v>0</v>
      </c>
      <c r="G170" s="22">
        <f t="shared" si="16"/>
        <v>53537.98</v>
      </c>
      <c r="H170" s="22">
        <f t="shared" si="16"/>
        <v>29264.6</v>
      </c>
      <c r="I170" s="22">
        <f t="shared" si="16"/>
        <v>0</v>
      </c>
      <c r="J170" s="23" t="s">
        <v>31</v>
      </c>
      <c r="K170" s="23" t="s">
        <v>31</v>
      </c>
      <c r="L170" s="23" t="s">
        <v>31</v>
      </c>
      <c r="M170" s="13"/>
      <c r="N170" s="17"/>
      <c r="O170" s="5"/>
      <c r="P170" s="5"/>
      <c r="Q170" s="5"/>
      <c r="R170" s="5"/>
      <c r="S170" s="5"/>
      <c r="T170" s="5"/>
      <c r="U170" s="5"/>
      <c r="V170" s="5"/>
      <c r="W170" s="5"/>
      <c r="X170" s="5"/>
      <c r="Y170" s="5"/>
      <c r="Z170" s="5"/>
      <c r="AA170" s="5"/>
      <c r="AB170" s="5"/>
      <c r="AC170" s="5"/>
      <c r="AD170" s="5"/>
      <c r="AE170" s="5"/>
      <c r="AF170" s="5"/>
    </row>
    <row r="171" spans="1:32" ht="12" customHeight="1">
      <c r="A171" s="14"/>
      <c r="B171" s="2"/>
      <c r="C171" s="10"/>
      <c r="D171" s="10"/>
      <c r="E171" s="10"/>
      <c r="F171" s="10" t="s">
        <v>18</v>
      </c>
      <c r="G171" s="10" t="s">
        <v>19</v>
      </c>
      <c r="H171" s="10" t="s">
        <v>20</v>
      </c>
      <c r="I171" s="10" t="s">
        <v>21</v>
      </c>
      <c r="J171" s="10" t="s">
        <v>22</v>
      </c>
      <c r="K171" s="28"/>
      <c r="L171" s="28"/>
      <c r="M171" s="13"/>
      <c r="N171" s="17"/>
      <c r="O171" s="5"/>
      <c r="P171" s="5"/>
      <c r="Q171" s="5"/>
      <c r="R171" s="5"/>
      <c r="S171" s="5"/>
      <c r="T171" s="5"/>
      <c r="U171" s="5"/>
      <c r="V171" s="5"/>
      <c r="W171" s="5"/>
      <c r="X171" s="5"/>
      <c r="Y171" s="5"/>
      <c r="Z171" s="5"/>
      <c r="AA171" s="5"/>
      <c r="AB171" s="5"/>
      <c r="AC171" s="5"/>
      <c r="AD171" s="5"/>
      <c r="AE171" s="5"/>
      <c r="AF171" s="5"/>
    </row>
    <row r="172" spans="1:32" ht="12" customHeight="1">
      <c r="A172" s="14" t="s">
        <v>181</v>
      </c>
      <c r="B172" s="5"/>
      <c r="C172" s="5"/>
      <c r="D172" s="5"/>
      <c r="E172" s="5"/>
      <c r="F172" s="10"/>
      <c r="G172" s="10"/>
      <c r="H172" s="12" t="s">
        <v>25</v>
      </c>
      <c r="I172" s="10"/>
      <c r="J172" s="10"/>
      <c r="K172" s="28"/>
      <c r="L172" s="28"/>
      <c r="M172" s="13"/>
      <c r="N172" s="17"/>
      <c r="O172" s="5"/>
      <c r="P172" s="5"/>
      <c r="Q172" s="5"/>
      <c r="R172" s="5"/>
      <c r="S172" s="5"/>
      <c r="T172" s="5"/>
      <c r="U172" s="5"/>
      <c r="V172" s="5"/>
      <c r="W172" s="5"/>
      <c r="X172" s="5"/>
      <c r="Y172" s="5"/>
      <c r="Z172" s="5"/>
      <c r="AA172" s="5"/>
      <c r="AB172" s="5"/>
      <c r="AC172" s="5"/>
      <c r="AD172" s="5"/>
      <c r="AE172" s="5"/>
      <c r="AF172" s="5"/>
    </row>
    <row r="173" spans="1:32" ht="12" customHeight="1">
      <c r="A173" s="30" t="s">
        <v>182</v>
      </c>
      <c r="B173" s="11"/>
      <c r="C173" s="11"/>
      <c r="D173" s="11"/>
      <c r="E173" s="11"/>
      <c r="F173" s="12" t="s">
        <v>23</v>
      </c>
      <c r="G173" s="12" t="s">
        <v>24</v>
      </c>
      <c r="H173" s="36" t="s">
        <v>29</v>
      </c>
      <c r="I173" s="12" t="s">
        <v>26</v>
      </c>
      <c r="J173" s="12" t="s">
        <v>27</v>
      </c>
      <c r="K173" s="28"/>
      <c r="L173" s="28"/>
      <c r="M173" s="13"/>
      <c r="N173" s="17"/>
      <c r="O173" s="5"/>
      <c r="P173" s="5"/>
      <c r="Q173" s="5"/>
      <c r="R173" s="5"/>
      <c r="S173" s="5"/>
      <c r="T173" s="5"/>
      <c r="U173" s="5"/>
      <c r="V173" s="5"/>
      <c r="W173" s="5"/>
      <c r="X173" s="5"/>
      <c r="Y173" s="5"/>
      <c r="Z173" s="5"/>
      <c r="AA173" s="5"/>
      <c r="AB173" s="5"/>
      <c r="AC173" s="5"/>
      <c r="AD173" s="5"/>
      <c r="AE173" s="5"/>
      <c r="AF173" s="5"/>
    </row>
    <row r="174" spans="1:32" ht="12" customHeight="1">
      <c r="A174" s="1" t="s">
        <v>183</v>
      </c>
      <c r="B174" s="2" t="s">
        <v>184</v>
      </c>
      <c r="C174" s="8">
        <v>1</v>
      </c>
      <c r="D174" s="2" t="s">
        <v>87</v>
      </c>
      <c r="E174" s="8">
        <v>5110</v>
      </c>
      <c r="F174" s="16"/>
      <c r="G174" s="15" t="s">
        <v>31</v>
      </c>
      <c r="H174" s="15" t="s">
        <v>31</v>
      </c>
      <c r="I174" s="16"/>
      <c r="J174" s="15" t="s">
        <v>31</v>
      </c>
      <c r="K174" s="15" t="s">
        <v>31</v>
      </c>
      <c r="L174" s="15" t="s">
        <v>31</v>
      </c>
      <c r="M174" s="13"/>
      <c r="N174" s="17"/>
      <c r="O174" s="5"/>
      <c r="P174" s="5"/>
      <c r="Q174" s="5"/>
      <c r="R174" s="5"/>
      <c r="S174" s="5"/>
      <c r="T174" s="5"/>
      <c r="U174" s="5"/>
      <c r="V174" s="5"/>
      <c r="W174" s="5"/>
      <c r="X174" s="5"/>
      <c r="Y174" s="5"/>
      <c r="Z174" s="5"/>
      <c r="AA174" s="5"/>
      <c r="AB174" s="5"/>
      <c r="AC174" s="5"/>
      <c r="AD174" s="5"/>
      <c r="AE174" s="5"/>
      <c r="AF174" s="5"/>
    </row>
    <row r="175" spans="1:32" ht="12" customHeight="1">
      <c r="A175" s="1" t="s">
        <v>185</v>
      </c>
      <c r="B175" s="8">
        <v>6</v>
      </c>
      <c r="C175" s="8">
        <v>2</v>
      </c>
      <c r="D175" s="2" t="s">
        <v>87</v>
      </c>
      <c r="E175" s="8">
        <v>5120</v>
      </c>
      <c r="F175" s="16"/>
      <c r="G175" s="15" t="s">
        <v>31</v>
      </c>
      <c r="H175" s="15" t="s">
        <v>31</v>
      </c>
      <c r="I175" s="16"/>
      <c r="J175" s="15" t="s">
        <v>31</v>
      </c>
      <c r="K175" s="15" t="s">
        <v>31</v>
      </c>
      <c r="L175" s="15" t="s">
        <v>31</v>
      </c>
      <c r="M175" s="13"/>
      <c r="N175" s="17"/>
      <c r="O175" s="5"/>
      <c r="P175" s="5"/>
      <c r="Q175" s="5"/>
      <c r="R175" s="5"/>
      <c r="S175" s="5"/>
      <c r="T175" s="5"/>
      <c r="U175" s="5"/>
      <c r="V175" s="5"/>
      <c r="W175" s="5"/>
      <c r="X175" s="5"/>
      <c r="Y175" s="5"/>
      <c r="Z175" s="5"/>
      <c r="AA175" s="5"/>
      <c r="AB175" s="5"/>
      <c r="AC175" s="5"/>
      <c r="AD175" s="5"/>
      <c r="AE175" s="5"/>
      <c r="AF175" s="5"/>
    </row>
    <row r="176" spans="1:32" ht="12" customHeight="1">
      <c r="A176" s="1" t="s">
        <v>186</v>
      </c>
      <c r="B176" s="2" t="s">
        <v>184</v>
      </c>
      <c r="C176" s="8">
        <v>3</v>
      </c>
      <c r="D176" s="2" t="s">
        <v>87</v>
      </c>
      <c r="E176" s="8">
        <v>5130</v>
      </c>
      <c r="F176" s="16"/>
      <c r="G176" s="15" t="s">
        <v>31</v>
      </c>
      <c r="H176" s="15" t="s">
        <v>31</v>
      </c>
      <c r="I176" s="16"/>
      <c r="J176" s="15" t="s">
        <v>31</v>
      </c>
      <c r="K176" s="15" t="s">
        <v>31</v>
      </c>
      <c r="L176" s="15" t="s">
        <v>31</v>
      </c>
      <c r="M176" s="13"/>
      <c r="N176" s="17"/>
      <c r="O176" s="5"/>
      <c r="P176" s="5"/>
      <c r="Q176" s="5"/>
      <c r="R176" s="5"/>
      <c r="S176" s="5"/>
      <c r="T176" s="5"/>
      <c r="U176" s="5"/>
      <c r="V176" s="5"/>
      <c r="W176" s="5"/>
      <c r="X176" s="5"/>
      <c r="Y176" s="5"/>
      <c r="Z176" s="5"/>
      <c r="AA176" s="5"/>
      <c r="AB176" s="5"/>
      <c r="AC176" s="5"/>
      <c r="AD176" s="5"/>
      <c r="AE176" s="5"/>
      <c r="AF176" s="5"/>
    </row>
    <row r="177" spans="1:32" ht="12" customHeight="1">
      <c r="A177" s="1" t="s">
        <v>187</v>
      </c>
      <c r="B177" s="2" t="s">
        <v>184</v>
      </c>
      <c r="C177" s="8">
        <v>4</v>
      </c>
      <c r="D177" s="2" t="s">
        <v>87</v>
      </c>
      <c r="E177" s="8">
        <v>5140</v>
      </c>
      <c r="F177" s="16"/>
      <c r="G177" s="15" t="s">
        <v>31</v>
      </c>
      <c r="H177" s="15" t="s">
        <v>31</v>
      </c>
      <c r="I177" s="16"/>
      <c r="J177" s="15" t="s">
        <v>31</v>
      </c>
      <c r="K177" s="15" t="s">
        <v>31</v>
      </c>
      <c r="L177" s="15" t="s">
        <v>31</v>
      </c>
      <c r="M177" s="13"/>
      <c r="N177" s="17"/>
      <c r="O177" s="5"/>
      <c r="P177" s="5"/>
      <c r="Q177" s="5"/>
      <c r="R177" s="5"/>
      <c r="S177" s="5"/>
      <c r="T177" s="5"/>
      <c r="U177" s="5"/>
      <c r="V177" s="5"/>
      <c r="W177" s="5"/>
      <c r="X177" s="5"/>
      <c r="Y177" s="5"/>
      <c r="Z177" s="5"/>
      <c r="AA177" s="5"/>
      <c r="AB177" s="5"/>
      <c r="AC177" s="5"/>
      <c r="AD177" s="5"/>
      <c r="AE177" s="5"/>
      <c r="AF177" s="5"/>
    </row>
    <row r="178" spans="1:32" ht="12" customHeight="1">
      <c r="A178" s="19" t="s">
        <v>188</v>
      </c>
      <c r="B178" s="20" t="s">
        <v>184</v>
      </c>
      <c r="C178" s="40">
        <v>5</v>
      </c>
      <c r="D178" s="20" t="s">
        <v>87</v>
      </c>
      <c r="E178" s="40">
        <v>5100</v>
      </c>
      <c r="F178" s="22">
        <f>SUM(F174:F177)</f>
        <v>0</v>
      </c>
      <c r="G178" s="22" t="s">
        <v>31</v>
      </c>
      <c r="H178" s="22" t="s">
        <v>31</v>
      </c>
      <c r="I178" s="22">
        <f>SUM(I174:I177)</f>
        <v>0</v>
      </c>
      <c r="J178" s="23" t="s">
        <v>31</v>
      </c>
      <c r="K178" s="23" t="s">
        <v>31</v>
      </c>
      <c r="L178" s="23" t="s">
        <v>31</v>
      </c>
      <c r="M178" s="13"/>
      <c r="N178" s="17"/>
      <c r="O178" s="5"/>
      <c r="P178" s="5"/>
      <c r="Q178" s="5"/>
      <c r="R178" s="5"/>
      <c r="S178" s="5"/>
      <c r="T178" s="5"/>
      <c r="U178" s="5"/>
      <c r="V178" s="5"/>
      <c r="W178" s="5"/>
      <c r="X178" s="5"/>
      <c r="Y178" s="5"/>
      <c r="Z178" s="5"/>
      <c r="AA178" s="5"/>
      <c r="AB178" s="5"/>
      <c r="AC178" s="5"/>
      <c r="AD178" s="5"/>
      <c r="AE178" s="5"/>
      <c r="AF178" s="5"/>
    </row>
    <row r="179" spans="1:32" ht="12" customHeight="1">
      <c r="A179" s="33" t="s">
        <v>189</v>
      </c>
      <c r="B179" s="2"/>
      <c r="C179" s="2"/>
      <c r="D179" s="2"/>
      <c r="E179" s="2"/>
      <c r="F179" s="15" t="s">
        <v>31</v>
      </c>
      <c r="G179" s="15" t="s">
        <v>31</v>
      </c>
      <c r="H179" s="15" t="s">
        <v>31</v>
      </c>
      <c r="I179" s="15" t="s">
        <v>31</v>
      </c>
      <c r="J179" s="15" t="s">
        <v>31</v>
      </c>
      <c r="K179" s="15" t="s">
        <v>31</v>
      </c>
      <c r="L179" s="15" t="s">
        <v>31</v>
      </c>
      <c r="M179" s="13"/>
      <c r="N179" s="17"/>
      <c r="O179" s="5"/>
      <c r="P179" s="5"/>
      <c r="Q179" s="5"/>
      <c r="R179" s="5"/>
      <c r="S179" s="5"/>
      <c r="T179" s="5"/>
      <c r="U179" s="5"/>
      <c r="V179" s="5"/>
      <c r="W179" s="5"/>
      <c r="X179" s="5"/>
      <c r="Y179" s="5"/>
      <c r="Z179" s="5"/>
      <c r="AA179" s="5"/>
      <c r="AB179" s="5"/>
      <c r="AC179" s="5"/>
      <c r="AD179" s="5"/>
      <c r="AE179" s="5"/>
      <c r="AF179" s="5"/>
    </row>
    <row r="180" spans="1:32" ht="12" customHeight="1">
      <c r="A180" s="1" t="s">
        <v>190</v>
      </c>
      <c r="B180" s="2" t="s">
        <v>184</v>
      </c>
      <c r="C180" s="8">
        <v>6</v>
      </c>
      <c r="D180" s="2" t="s">
        <v>87</v>
      </c>
      <c r="E180" s="8">
        <v>5210</v>
      </c>
      <c r="F180" s="15" t="s">
        <v>31</v>
      </c>
      <c r="G180" s="16">
        <v>11311.42</v>
      </c>
      <c r="H180" s="16"/>
      <c r="I180" s="16"/>
      <c r="J180" s="16">
        <v>50000</v>
      </c>
      <c r="K180" s="15" t="s">
        <v>31</v>
      </c>
      <c r="L180" s="15" t="s">
        <v>31</v>
      </c>
      <c r="M180" s="13"/>
      <c r="N180" s="17"/>
      <c r="O180" s="5"/>
      <c r="P180" s="5"/>
      <c r="Q180" s="5"/>
      <c r="R180" s="5"/>
      <c r="S180" s="5"/>
      <c r="T180" s="5"/>
      <c r="U180" s="5"/>
      <c r="V180" s="5"/>
      <c r="W180" s="5"/>
      <c r="X180" s="5"/>
      <c r="Y180" s="5"/>
      <c r="Z180" s="5"/>
      <c r="AA180" s="5"/>
      <c r="AB180" s="5"/>
      <c r="AC180" s="5"/>
      <c r="AD180" s="5"/>
      <c r="AE180" s="5"/>
      <c r="AF180" s="5"/>
    </row>
    <row r="181" spans="1:32" ht="12" customHeight="1">
      <c r="A181" s="1" t="s">
        <v>191</v>
      </c>
      <c r="B181" s="2" t="s">
        <v>184</v>
      </c>
      <c r="C181" s="8">
        <v>7</v>
      </c>
      <c r="D181" s="2" t="s">
        <v>87</v>
      </c>
      <c r="E181" s="8">
        <v>5221</v>
      </c>
      <c r="F181" s="16"/>
      <c r="G181" s="15" t="s">
        <v>31</v>
      </c>
      <c r="H181" s="16"/>
      <c r="I181" s="16"/>
      <c r="J181" s="16"/>
      <c r="K181" s="15" t="s">
        <v>31</v>
      </c>
      <c r="L181" s="15" t="s">
        <v>31</v>
      </c>
      <c r="M181" s="13"/>
      <c r="N181" s="17"/>
      <c r="O181" s="5"/>
      <c r="P181" s="5"/>
      <c r="Q181" s="5"/>
      <c r="R181" s="5"/>
      <c r="S181" s="5"/>
      <c r="T181" s="5"/>
      <c r="U181" s="5"/>
      <c r="V181" s="5"/>
      <c r="W181" s="5"/>
      <c r="X181" s="5"/>
      <c r="Y181" s="5"/>
      <c r="Z181" s="5"/>
      <c r="AA181" s="5"/>
      <c r="AB181" s="5"/>
      <c r="AC181" s="5"/>
      <c r="AD181" s="5"/>
      <c r="AE181" s="5"/>
      <c r="AF181" s="5"/>
    </row>
    <row r="182" spans="1:32" ht="12" customHeight="1">
      <c r="A182" s="5" t="s">
        <v>192</v>
      </c>
      <c r="B182" s="2" t="s">
        <v>184</v>
      </c>
      <c r="C182" s="8">
        <v>8</v>
      </c>
      <c r="D182" s="2" t="s">
        <v>87</v>
      </c>
      <c r="E182" s="8">
        <v>5222</v>
      </c>
      <c r="F182" s="16"/>
      <c r="G182" s="16"/>
      <c r="H182" s="15" t="s">
        <v>31</v>
      </c>
      <c r="I182" s="16"/>
      <c r="J182" s="16"/>
      <c r="K182" s="15" t="s">
        <v>31</v>
      </c>
      <c r="L182" s="15" t="s">
        <v>31</v>
      </c>
      <c r="M182" s="13"/>
      <c r="N182" s="17"/>
      <c r="O182" s="5"/>
      <c r="P182" s="5"/>
      <c r="Q182" s="5"/>
      <c r="R182" s="5"/>
      <c r="S182" s="5"/>
      <c r="T182" s="5"/>
      <c r="U182" s="5"/>
      <c r="V182" s="5"/>
      <c r="W182" s="5"/>
      <c r="X182" s="5"/>
      <c r="Y182" s="5"/>
      <c r="Z182" s="5"/>
      <c r="AA182" s="5"/>
      <c r="AB182" s="5"/>
      <c r="AC182" s="5"/>
      <c r="AD182" s="5"/>
      <c r="AE182" s="5"/>
      <c r="AF182" s="5"/>
    </row>
    <row r="183" spans="1:32" ht="12" customHeight="1">
      <c r="A183" s="5" t="s">
        <v>193</v>
      </c>
      <c r="B183" s="2" t="s">
        <v>184</v>
      </c>
      <c r="C183" s="8">
        <v>9</v>
      </c>
      <c r="D183" s="2" t="s">
        <v>87</v>
      </c>
      <c r="E183" s="8">
        <v>5230</v>
      </c>
      <c r="F183" s="16"/>
      <c r="G183" s="16"/>
      <c r="H183" s="16"/>
      <c r="I183" s="15" t="s">
        <v>31</v>
      </c>
      <c r="J183" s="16"/>
      <c r="K183" s="15" t="s">
        <v>31</v>
      </c>
      <c r="L183" s="15" t="s">
        <v>31</v>
      </c>
      <c r="M183" s="13"/>
      <c r="N183" s="17"/>
      <c r="O183" s="5"/>
      <c r="P183" s="5"/>
      <c r="Q183" s="5"/>
      <c r="R183" s="5"/>
      <c r="S183" s="5"/>
      <c r="T183" s="5"/>
      <c r="U183" s="5"/>
      <c r="V183" s="5"/>
      <c r="W183" s="5"/>
      <c r="X183" s="5"/>
      <c r="Y183" s="5"/>
      <c r="Z183" s="5"/>
      <c r="AA183" s="5"/>
      <c r="AB183" s="5"/>
      <c r="AC183" s="5"/>
      <c r="AD183" s="5"/>
      <c r="AE183" s="5"/>
      <c r="AF183" s="5"/>
    </row>
    <row r="184" spans="1:32" ht="12" customHeight="1">
      <c r="A184" s="19" t="s">
        <v>194</v>
      </c>
      <c r="B184" s="20" t="s">
        <v>184</v>
      </c>
      <c r="C184" s="40">
        <v>10</v>
      </c>
      <c r="D184" s="20" t="s">
        <v>87</v>
      </c>
      <c r="E184" s="40">
        <v>5200</v>
      </c>
      <c r="F184" s="22">
        <f t="shared" ref="F184:J184" si="17">SUM(F180:F183)</f>
        <v>0</v>
      </c>
      <c r="G184" s="22">
        <f t="shared" si="17"/>
        <v>11311.42</v>
      </c>
      <c r="H184" s="22">
        <f t="shared" si="17"/>
        <v>0</v>
      </c>
      <c r="I184" s="22">
        <f t="shared" si="17"/>
        <v>0</v>
      </c>
      <c r="J184" s="22">
        <f t="shared" si="17"/>
        <v>50000</v>
      </c>
      <c r="K184" s="23" t="s">
        <v>31</v>
      </c>
      <c r="L184" s="23" t="s">
        <v>31</v>
      </c>
      <c r="M184" s="13"/>
      <c r="N184" s="17"/>
      <c r="O184" s="5"/>
      <c r="P184" s="5"/>
      <c r="Q184" s="5"/>
      <c r="R184" s="5"/>
      <c r="S184" s="5"/>
      <c r="T184" s="5"/>
      <c r="U184" s="5"/>
      <c r="V184" s="5"/>
      <c r="W184" s="5"/>
      <c r="X184" s="5"/>
      <c r="Y184" s="5"/>
      <c r="Z184" s="5"/>
      <c r="AA184" s="5"/>
      <c r="AB184" s="5"/>
      <c r="AC184" s="5"/>
      <c r="AD184" s="5"/>
      <c r="AE184" s="5"/>
      <c r="AF184" s="5"/>
    </row>
    <row r="185" spans="1:32" ht="12" customHeight="1">
      <c r="A185" s="33" t="s">
        <v>195</v>
      </c>
      <c r="B185" s="2"/>
      <c r="C185" s="8"/>
      <c r="D185" s="8"/>
      <c r="E185" s="8"/>
      <c r="F185" s="15" t="s">
        <v>31</v>
      </c>
      <c r="G185" s="15" t="s">
        <v>31</v>
      </c>
      <c r="H185" s="15" t="s">
        <v>31</v>
      </c>
      <c r="I185" s="15" t="s">
        <v>31</v>
      </c>
      <c r="J185" s="15" t="s">
        <v>31</v>
      </c>
      <c r="K185" s="15" t="s">
        <v>31</v>
      </c>
      <c r="L185" s="15" t="s">
        <v>31</v>
      </c>
      <c r="M185" s="13"/>
      <c r="N185" s="17"/>
      <c r="O185" s="5"/>
      <c r="P185" s="5"/>
      <c r="Q185" s="5"/>
      <c r="R185" s="5"/>
      <c r="S185" s="5"/>
      <c r="T185" s="5"/>
      <c r="U185" s="5"/>
      <c r="V185" s="5"/>
      <c r="W185" s="5"/>
      <c r="X185" s="5"/>
      <c r="Y185" s="5"/>
      <c r="Z185" s="5"/>
      <c r="AA185" s="5"/>
      <c r="AB185" s="5"/>
      <c r="AC185" s="5"/>
      <c r="AD185" s="5"/>
      <c r="AE185" s="5"/>
      <c r="AF185" s="5"/>
    </row>
    <row r="186" spans="1:32" ht="12" customHeight="1">
      <c r="A186" s="1" t="s">
        <v>196</v>
      </c>
      <c r="B186" s="2" t="s">
        <v>184</v>
      </c>
      <c r="C186" s="8">
        <v>11</v>
      </c>
      <c r="D186" s="2" t="s">
        <v>87</v>
      </c>
      <c r="E186" s="8">
        <v>5251</v>
      </c>
      <c r="F186" s="16"/>
      <c r="G186" s="16"/>
      <c r="H186" s="16"/>
      <c r="I186" s="16"/>
      <c r="J186" s="15" t="s">
        <v>31</v>
      </c>
      <c r="K186" s="15" t="s">
        <v>31</v>
      </c>
      <c r="L186" s="15" t="s">
        <v>31</v>
      </c>
      <c r="M186" s="13"/>
      <c r="N186" s="17"/>
      <c r="O186" s="5"/>
      <c r="P186" s="5"/>
      <c r="Q186" s="5"/>
      <c r="R186" s="5"/>
      <c r="S186" s="5"/>
      <c r="T186" s="5"/>
      <c r="U186" s="5"/>
      <c r="V186" s="5"/>
      <c r="W186" s="5"/>
      <c r="X186" s="5"/>
      <c r="Y186" s="5"/>
      <c r="Z186" s="5"/>
      <c r="AA186" s="5"/>
      <c r="AB186" s="5"/>
      <c r="AC186" s="5"/>
      <c r="AD186" s="5"/>
      <c r="AE186" s="5"/>
      <c r="AF186" s="5"/>
    </row>
    <row r="187" spans="1:32" ht="12" customHeight="1">
      <c r="A187" s="1" t="s">
        <v>197</v>
      </c>
      <c r="B187" s="2" t="s">
        <v>184</v>
      </c>
      <c r="C187" s="8">
        <v>12</v>
      </c>
      <c r="D187" s="2" t="s">
        <v>87</v>
      </c>
      <c r="E187" s="8">
        <v>5252</v>
      </c>
      <c r="F187" s="16"/>
      <c r="G187" s="16"/>
      <c r="H187" s="16"/>
      <c r="I187" s="16"/>
      <c r="J187" s="15" t="s">
        <v>31</v>
      </c>
      <c r="K187" s="15" t="s">
        <v>31</v>
      </c>
      <c r="L187" s="15" t="s">
        <v>31</v>
      </c>
      <c r="N187" s="27"/>
    </row>
    <row r="188" spans="1:32" ht="12" customHeight="1">
      <c r="A188" s="1" t="s">
        <v>198</v>
      </c>
      <c r="B188" s="2" t="s">
        <v>184</v>
      </c>
      <c r="C188" s="8">
        <v>13</v>
      </c>
      <c r="D188" s="2" t="s">
        <v>87</v>
      </c>
      <c r="E188" s="8">
        <v>5253</v>
      </c>
      <c r="F188" s="16"/>
      <c r="G188" s="16"/>
      <c r="H188" s="16"/>
      <c r="I188" s="16"/>
      <c r="J188" s="15" t="s">
        <v>31</v>
      </c>
      <c r="K188" s="15" t="s">
        <v>31</v>
      </c>
      <c r="L188" s="15" t="s">
        <v>31</v>
      </c>
      <c r="N188" s="27"/>
    </row>
    <row r="189" spans="1:32" ht="12" customHeight="1">
      <c r="A189" s="19" t="s">
        <v>199</v>
      </c>
      <c r="B189" s="20" t="s">
        <v>184</v>
      </c>
      <c r="C189" s="21">
        <v>14</v>
      </c>
      <c r="D189" s="20" t="s">
        <v>87</v>
      </c>
      <c r="E189" s="40">
        <v>5250</v>
      </c>
      <c r="F189" s="22">
        <f t="shared" ref="F189:I189" si="18">SUM(F186:F188)</f>
        <v>0</v>
      </c>
      <c r="G189" s="22">
        <f t="shared" si="18"/>
        <v>0</v>
      </c>
      <c r="H189" s="22">
        <f t="shared" si="18"/>
        <v>0</v>
      </c>
      <c r="I189" s="22">
        <f t="shared" si="18"/>
        <v>0</v>
      </c>
      <c r="J189" s="23" t="s">
        <v>31</v>
      </c>
      <c r="K189" s="23" t="s">
        <v>31</v>
      </c>
      <c r="L189" s="23" t="s">
        <v>31</v>
      </c>
      <c r="M189" s="13"/>
      <c r="N189" s="17"/>
      <c r="O189" s="5"/>
      <c r="P189" s="5"/>
      <c r="Q189" s="5"/>
      <c r="R189" s="5"/>
      <c r="S189" s="5"/>
      <c r="T189" s="5"/>
      <c r="U189" s="5"/>
      <c r="V189" s="5"/>
      <c r="W189" s="5"/>
      <c r="X189" s="5"/>
      <c r="Y189" s="5"/>
      <c r="Z189" s="5"/>
      <c r="AA189" s="5"/>
      <c r="AB189" s="5"/>
      <c r="AC189" s="5"/>
      <c r="AD189" s="5"/>
      <c r="AE189" s="5"/>
      <c r="AF189" s="5"/>
    </row>
    <row r="190" spans="1:32" ht="12" customHeight="1">
      <c r="A190" s="5" t="s">
        <v>200</v>
      </c>
      <c r="B190" s="2" t="s">
        <v>184</v>
      </c>
      <c r="C190" s="8">
        <v>15</v>
      </c>
      <c r="D190" s="2" t="s">
        <v>87</v>
      </c>
      <c r="E190" s="8">
        <v>5300</v>
      </c>
      <c r="F190" s="16"/>
      <c r="G190" s="16"/>
      <c r="H190" s="16"/>
      <c r="I190" s="16"/>
      <c r="J190" s="15" t="s">
        <v>31</v>
      </c>
      <c r="K190" s="15" t="s">
        <v>31</v>
      </c>
      <c r="L190" s="15" t="s">
        <v>31</v>
      </c>
      <c r="M190" s="13"/>
      <c r="N190" s="17"/>
      <c r="O190" s="5"/>
      <c r="P190" s="5"/>
      <c r="Q190" s="5"/>
      <c r="R190" s="5"/>
      <c r="S190" s="5"/>
      <c r="T190" s="5"/>
      <c r="U190" s="5"/>
      <c r="V190" s="5"/>
      <c r="W190" s="5"/>
      <c r="X190" s="5"/>
      <c r="Y190" s="5"/>
      <c r="Z190" s="5"/>
      <c r="AA190" s="5"/>
      <c r="AB190" s="5"/>
      <c r="AC190" s="5"/>
      <c r="AD190" s="5"/>
      <c r="AE190" s="5"/>
      <c r="AF190" s="5"/>
    </row>
    <row r="191" spans="1:32" ht="12" customHeight="1">
      <c r="A191" s="5" t="s">
        <v>201</v>
      </c>
      <c r="B191" s="2" t="s">
        <v>184</v>
      </c>
      <c r="C191" s="8">
        <v>16</v>
      </c>
      <c r="D191" s="2" t="s">
        <v>87</v>
      </c>
      <c r="E191" s="8">
        <v>5500</v>
      </c>
      <c r="F191" s="16"/>
      <c r="G191" s="16"/>
      <c r="H191" s="16"/>
      <c r="I191" s="16"/>
      <c r="J191" s="15" t="s">
        <v>31</v>
      </c>
      <c r="K191" s="15" t="s">
        <v>31</v>
      </c>
      <c r="L191" s="15" t="s">
        <v>31</v>
      </c>
      <c r="M191" s="13"/>
      <c r="N191" s="17"/>
      <c r="O191" s="5"/>
      <c r="P191" s="5"/>
      <c r="Q191" s="5"/>
      <c r="R191" s="5"/>
      <c r="S191" s="5"/>
      <c r="T191" s="5"/>
      <c r="U191" s="5"/>
      <c r="V191" s="5"/>
      <c r="W191" s="5"/>
      <c r="X191" s="5"/>
      <c r="Y191" s="5"/>
      <c r="Z191" s="5"/>
      <c r="AA191" s="5"/>
      <c r="AB191" s="5"/>
      <c r="AC191" s="5"/>
      <c r="AD191" s="5"/>
      <c r="AE191" s="5"/>
      <c r="AF191" s="5"/>
    </row>
    <row r="192" spans="1:32" ht="12" customHeight="1">
      <c r="A192" s="1" t="s">
        <v>202</v>
      </c>
      <c r="B192" s="2" t="s">
        <v>184</v>
      </c>
      <c r="C192" s="8">
        <v>17</v>
      </c>
      <c r="D192" s="2" t="s">
        <v>87</v>
      </c>
      <c r="E192" s="8">
        <v>5600</v>
      </c>
      <c r="F192" s="16"/>
      <c r="G192" s="16"/>
      <c r="H192" s="16"/>
      <c r="I192" s="16"/>
      <c r="J192" s="15" t="s">
        <v>31</v>
      </c>
      <c r="K192" s="15" t="s">
        <v>31</v>
      </c>
      <c r="L192" s="15" t="s">
        <v>31</v>
      </c>
      <c r="M192" s="13"/>
      <c r="N192" s="17"/>
      <c r="O192" s="5"/>
      <c r="P192" s="5"/>
      <c r="Q192" s="5"/>
      <c r="R192" s="5"/>
      <c r="S192" s="5"/>
      <c r="T192" s="5"/>
      <c r="U192" s="5"/>
      <c r="V192" s="5"/>
      <c r="W192" s="5"/>
      <c r="X192" s="5"/>
      <c r="Y192" s="5"/>
      <c r="Z192" s="5"/>
      <c r="AA192" s="5"/>
      <c r="AB192" s="5"/>
      <c r="AC192" s="5"/>
      <c r="AD192" s="5"/>
      <c r="AE192" s="5"/>
      <c r="AF192" s="5"/>
    </row>
    <row r="193" spans="1:32" ht="12" customHeight="1">
      <c r="A193" s="19" t="s">
        <v>203</v>
      </c>
      <c r="B193" s="20" t="s">
        <v>184</v>
      </c>
      <c r="C193" s="21">
        <v>18</v>
      </c>
      <c r="D193" s="41" t="s">
        <v>87</v>
      </c>
      <c r="E193" s="26">
        <v>5000</v>
      </c>
      <c r="F193" s="22">
        <f>F178+F184+SUM(F189:F192)</f>
        <v>0</v>
      </c>
      <c r="G193" s="22">
        <f>G184+SUM(G189:G192)</f>
        <v>11311.42</v>
      </c>
      <c r="H193" s="22">
        <f>+H184+SUM(H189:H192)</f>
        <v>0</v>
      </c>
      <c r="I193" s="22">
        <f>I178+I184+SUM(I189:I192)</f>
        <v>0</v>
      </c>
      <c r="J193" s="22">
        <f>J184</f>
        <v>50000</v>
      </c>
      <c r="K193" s="23" t="s">
        <v>31</v>
      </c>
      <c r="L193" s="23" t="s">
        <v>31</v>
      </c>
      <c r="M193" s="13"/>
      <c r="N193" s="17"/>
      <c r="O193" s="5"/>
      <c r="P193" s="5"/>
      <c r="Q193" s="5"/>
      <c r="R193" s="5"/>
      <c r="S193" s="5"/>
      <c r="T193" s="5"/>
      <c r="U193" s="5"/>
      <c r="V193" s="5"/>
      <c r="W193" s="5"/>
      <c r="X193" s="5"/>
      <c r="Y193" s="5"/>
      <c r="Z193" s="5"/>
      <c r="AA193" s="5"/>
      <c r="AB193" s="5"/>
      <c r="AC193" s="5"/>
      <c r="AD193" s="5"/>
      <c r="AE193" s="5"/>
      <c r="AF193" s="5"/>
    </row>
    <row r="194" spans="1:32" ht="12" customHeight="1">
      <c r="A194" s="42" t="s">
        <v>204</v>
      </c>
      <c r="B194" s="20" t="s">
        <v>184</v>
      </c>
      <c r="C194" s="21">
        <v>19</v>
      </c>
      <c r="D194" s="43" t="s">
        <v>87</v>
      </c>
      <c r="E194" s="40"/>
      <c r="F194" s="22">
        <f t="shared" ref="F194:I194" si="19">F112+F140+F170+F193</f>
        <v>2880658.67</v>
      </c>
      <c r="G194" s="22">
        <f t="shared" si="19"/>
        <v>76238.62000000001</v>
      </c>
      <c r="H194" s="22">
        <f t="shared" si="19"/>
        <v>29264.6</v>
      </c>
      <c r="I194" s="22">
        <f t="shared" si="19"/>
        <v>0</v>
      </c>
      <c r="J194" s="22">
        <f>J112+J140+J193</f>
        <v>50268.27</v>
      </c>
      <c r="K194" s="23" t="s">
        <v>31</v>
      </c>
      <c r="L194" s="23" t="s">
        <v>31</v>
      </c>
      <c r="M194" s="13"/>
      <c r="N194" s="17"/>
      <c r="O194" s="5"/>
      <c r="P194" s="5"/>
      <c r="Q194" s="5"/>
      <c r="R194" s="5"/>
      <c r="S194" s="5"/>
      <c r="T194" s="5"/>
      <c r="U194" s="5"/>
      <c r="V194" s="5"/>
      <c r="W194" s="5"/>
      <c r="X194" s="5"/>
      <c r="Y194" s="5"/>
      <c r="Z194" s="5"/>
      <c r="AA194" s="5"/>
      <c r="AB194" s="5"/>
      <c r="AC194" s="5"/>
      <c r="AD194" s="5"/>
      <c r="AE194" s="5"/>
      <c r="AF194" s="5"/>
    </row>
    <row r="195" spans="1:32" ht="12" customHeight="1">
      <c r="A195" s="44" t="s">
        <v>205</v>
      </c>
      <c r="B195" s="2"/>
      <c r="C195" s="5"/>
      <c r="D195" s="5"/>
      <c r="E195" s="5"/>
      <c r="F195" s="4" t="s">
        <v>206</v>
      </c>
      <c r="G195" s="4" t="s">
        <v>207</v>
      </c>
      <c r="H195" s="4" t="s">
        <v>208</v>
      </c>
      <c r="I195" s="4" t="s">
        <v>209</v>
      </c>
      <c r="J195" s="4" t="s">
        <v>210</v>
      </c>
      <c r="K195" s="4" t="s">
        <v>211</v>
      </c>
      <c r="L195" s="3"/>
      <c r="M195" s="13"/>
      <c r="N195" s="17"/>
      <c r="O195" s="5"/>
      <c r="P195" s="5"/>
      <c r="Q195" s="5"/>
      <c r="R195" s="5"/>
      <c r="S195" s="5"/>
      <c r="T195" s="5"/>
      <c r="U195" s="5"/>
      <c r="V195" s="5"/>
      <c r="W195" s="5"/>
      <c r="X195" s="5"/>
      <c r="Y195" s="5"/>
      <c r="Z195" s="5"/>
      <c r="AA195" s="5"/>
      <c r="AB195" s="5"/>
      <c r="AC195" s="5"/>
      <c r="AD195" s="5"/>
      <c r="AE195" s="5"/>
      <c r="AF195" s="5"/>
    </row>
    <row r="196" spans="1:32" ht="12" customHeight="1">
      <c r="A196" s="14" t="s">
        <v>212</v>
      </c>
      <c r="B196" s="5"/>
      <c r="C196" s="5"/>
      <c r="D196" s="5"/>
      <c r="E196" s="5"/>
      <c r="F196" s="45" t="s">
        <v>213</v>
      </c>
      <c r="G196" s="45" t="s">
        <v>214</v>
      </c>
      <c r="H196" s="45" t="s">
        <v>215</v>
      </c>
      <c r="I196" s="45" t="s">
        <v>216</v>
      </c>
      <c r="J196" s="45" t="s">
        <v>217</v>
      </c>
      <c r="K196" s="45" t="s">
        <v>218</v>
      </c>
      <c r="L196" s="45" t="s">
        <v>219</v>
      </c>
      <c r="M196" s="13"/>
      <c r="N196" s="17"/>
      <c r="O196" s="5"/>
      <c r="P196" s="5"/>
      <c r="Q196" s="5"/>
      <c r="R196" s="5"/>
      <c r="S196" s="5"/>
      <c r="T196" s="5"/>
      <c r="U196" s="5"/>
      <c r="V196" s="5"/>
      <c r="W196" s="5"/>
      <c r="X196" s="5"/>
      <c r="Y196" s="5"/>
      <c r="Z196" s="5"/>
      <c r="AA196" s="5"/>
      <c r="AB196" s="5"/>
      <c r="AC196" s="5"/>
      <c r="AD196" s="5"/>
      <c r="AE196" s="5"/>
      <c r="AF196" s="5"/>
    </row>
    <row r="197" spans="1:32" ht="12" customHeight="1">
      <c r="A197" s="33" t="s">
        <v>220</v>
      </c>
      <c r="B197" s="5"/>
      <c r="C197" s="5"/>
      <c r="D197" s="5"/>
      <c r="E197" s="5"/>
      <c r="F197" s="15" t="s">
        <v>31</v>
      </c>
      <c r="G197" s="15" t="s">
        <v>31</v>
      </c>
      <c r="H197" s="15" t="s">
        <v>31</v>
      </c>
      <c r="I197" s="15" t="s">
        <v>31</v>
      </c>
      <c r="J197" s="15" t="s">
        <v>31</v>
      </c>
      <c r="K197" s="15" t="s">
        <v>31</v>
      </c>
      <c r="L197" s="15" t="s">
        <v>31</v>
      </c>
      <c r="M197" s="13"/>
      <c r="N197" s="17"/>
      <c r="O197" s="5"/>
      <c r="P197" s="5"/>
      <c r="Q197" s="5"/>
      <c r="R197" s="5"/>
      <c r="S197" s="5"/>
      <c r="T197" s="5"/>
      <c r="U197" s="5"/>
      <c r="V197" s="5"/>
      <c r="W197" s="5"/>
      <c r="X197" s="5"/>
      <c r="Y197" s="5"/>
      <c r="Z197" s="5"/>
      <c r="AA197" s="5"/>
      <c r="AB197" s="5"/>
      <c r="AC197" s="5"/>
      <c r="AD197" s="5"/>
      <c r="AE197" s="5"/>
      <c r="AF197" s="5"/>
    </row>
    <row r="198" spans="1:32" ht="12" customHeight="1">
      <c r="A198" s="1" t="s">
        <v>221</v>
      </c>
      <c r="B198" s="2" t="s">
        <v>222</v>
      </c>
      <c r="C198" s="2" t="s">
        <v>223</v>
      </c>
      <c r="D198" s="2" t="s">
        <v>224</v>
      </c>
      <c r="E198" s="8">
        <v>1100</v>
      </c>
      <c r="F198" s="16">
        <f>370829.89+57917.65+1577.6</f>
        <v>430325.14</v>
      </c>
      <c r="G198" s="16">
        <f>467.18+1286.93+24582.36+5433.06+64176.34-188.11+746.73+3571+835.11+55.25+12.92+63418.16+3012.67+6000</f>
        <v>173409.6</v>
      </c>
      <c r="H198" s="5"/>
      <c r="I198" s="16">
        <f>23608.53+6118.02+3969.81+15085.66</f>
        <v>48782.020000000004</v>
      </c>
      <c r="J198" s="16">
        <f>11387.41+24808.52</f>
        <v>36195.93</v>
      </c>
      <c r="K198" s="16">
        <f>2532.34</f>
        <v>2532.34</v>
      </c>
      <c r="L198" s="3">
        <f t="shared" ref="L198:L201" si="20">SUM(F198:K198)</f>
        <v>691245.03</v>
      </c>
      <c r="M198" s="13"/>
      <c r="N198" s="17"/>
      <c r="O198" s="5"/>
      <c r="P198" s="5"/>
      <c r="Q198" s="5"/>
      <c r="R198" s="5"/>
      <c r="S198" s="5"/>
      <c r="T198" s="5"/>
      <c r="U198" s="5"/>
      <c r="V198" s="5"/>
      <c r="W198" s="5"/>
      <c r="X198" s="5"/>
      <c r="Y198" s="5"/>
      <c r="Z198" s="5"/>
      <c r="AA198" s="5"/>
      <c r="AB198" s="5"/>
      <c r="AC198" s="5"/>
      <c r="AD198" s="5"/>
      <c r="AE198" s="5"/>
      <c r="AF198" s="5"/>
    </row>
    <row r="199" spans="1:32" ht="12" customHeight="1">
      <c r="A199" s="1" t="s">
        <v>225</v>
      </c>
      <c r="B199" s="2" t="s">
        <v>222</v>
      </c>
      <c r="C199" s="2" t="s">
        <v>226</v>
      </c>
      <c r="D199" s="2" t="s">
        <v>224</v>
      </c>
      <c r="E199" s="8">
        <v>1200</v>
      </c>
      <c r="F199" s="16">
        <f>577.5+39992.94+52228.97+1930.5+28049.98</f>
        <v>122779.89</v>
      </c>
      <c r="G199" s="16">
        <f>0.74+2.9+5679.32+1328.28+154.58+166+62.49+14.61+1735.76+405.86+6000</f>
        <v>15550.539999999999</v>
      </c>
      <c r="H199" s="16">
        <f>750</f>
        <v>750</v>
      </c>
      <c r="I199" s="16">
        <f>1446.89+668.8</f>
        <v>2115.69</v>
      </c>
      <c r="J199" s="16"/>
      <c r="K199" s="16">
        <f>523</f>
        <v>523</v>
      </c>
      <c r="L199" s="3">
        <f t="shared" si="20"/>
        <v>141719.12</v>
      </c>
      <c r="M199" s="13"/>
      <c r="N199" s="17"/>
      <c r="O199" s="5"/>
      <c r="P199" s="5"/>
      <c r="Q199" s="5"/>
      <c r="R199" s="5"/>
      <c r="S199" s="5"/>
      <c r="T199" s="5"/>
      <c r="U199" s="5"/>
      <c r="V199" s="5"/>
      <c r="W199" s="5"/>
      <c r="X199" s="5"/>
      <c r="Y199" s="5"/>
      <c r="Z199" s="5"/>
      <c r="AA199" s="5"/>
      <c r="AB199" s="5"/>
      <c r="AC199" s="5"/>
      <c r="AD199" s="5"/>
      <c r="AE199" s="5"/>
      <c r="AF199" s="5"/>
    </row>
    <row r="200" spans="1:32" ht="12" customHeight="1">
      <c r="A200" s="1" t="s">
        <v>227</v>
      </c>
      <c r="B200" s="2" t="s">
        <v>222</v>
      </c>
      <c r="C200" s="2" t="s">
        <v>228</v>
      </c>
      <c r="D200" s="2" t="s">
        <v>224</v>
      </c>
      <c r="E200" s="8">
        <v>1300</v>
      </c>
      <c r="F200" s="16"/>
      <c r="G200" s="16"/>
      <c r="H200" s="16"/>
      <c r="I200" s="16"/>
      <c r="J200" s="16"/>
      <c r="K200" s="16"/>
      <c r="L200" s="3">
        <f t="shared" si="20"/>
        <v>0</v>
      </c>
      <c r="M200" s="13"/>
      <c r="N200" s="17"/>
      <c r="O200" s="5"/>
      <c r="P200" s="5"/>
      <c r="Q200" s="5"/>
      <c r="R200" s="5"/>
      <c r="S200" s="5"/>
      <c r="T200" s="5"/>
      <c r="U200" s="5"/>
      <c r="V200" s="5"/>
      <c r="W200" s="5"/>
      <c r="X200" s="5"/>
      <c r="Y200" s="5"/>
      <c r="Z200" s="5"/>
      <c r="AA200" s="5"/>
      <c r="AB200" s="5"/>
      <c r="AC200" s="5"/>
      <c r="AD200" s="5"/>
      <c r="AE200" s="5"/>
      <c r="AF200" s="5"/>
    </row>
    <row r="201" spans="1:32" ht="12" customHeight="1">
      <c r="A201" s="1" t="s">
        <v>229</v>
      </c>
      <c r="B201" s="2" t="s">
        <v>222</v>
      </c>
      <c r="C201" s="2" t="s">
        <v>230</v>
      </c>
      <c r="D201" s="2" t="s">
        <v>224</v>
      </c>
      <c r="E201" s="8">
        <v>1400</v>
      </c>
      <c r="F201" s="16"/>
      <c r="G201" s="16"/>
      <c r="H201" s="16"/>
      <c r="I201" s="16"/>
      <c r="J201" s="16"/>
      <c r="K201" s="16"/>
      <c r="L201" s="3">
        <f t="shared" si="20"/>
        <v>0</v>
      </c>
      <c r="M201" s="13"/>
      <c r="N201" s="17"/>
      <c r="O201" s="5"/>
      <c r="P201" s="5"/>
      <c r="Q201" s="5"/>
      <c r="R201" s="5"/>
      <c r="S201" s="5"/>
      <c r="T201" s="5"/>
      <c r="U201" s="5"/>
      <c r="V201" s="5"/>
      <c r="W201" s="5"/>
      <c r="X201" s="5"/>
      <c r="Y201" s="5"/>
      <c r="Z201" s="5"/>
      <c r="AA201" s="5"/>
      <c r="AB201" s="5"/>
      <c r="AC201" s="5"/>
      <c r="AD201" s="5"/>
      <c r="AE201" s="5"/>
      <c r="AF201" s="5"/>
    </row>
    <row r="202" spans="1:32" ht="12" customHeight="1">
      <c r="A202" s="33" t="s">
        <v>231</v>
      </c>
      <c r="B202" s="5"/>
      <c r="C202" s="5"/>
      <c r="D202" s="5"/>
      <c r="E202" s="8"/>
      <c r="F202" s="15" t="s">
        <v>31</v>
      </c>
      <c r="G202" s="15" t="s">
        <v>31</v>
      </c>
      <c r="H202" s="15" t="s">
        <v>31</v>
      </c>
      <c r="I202" s="15" t="s">
        <v>31</v>
      </c>
      <c r="J202" s="15" t="s">
        <v>31</v>
      </c>
      <c r="K202" s="15" t="s">
        <v>31</v>
      </c>
      <c r="L202" s="15" t="s">
        <v>31</v>
      </c>
      <c r="M202" s="13"/>
      <c r="N202" s="17"/>
      <c r="O202" s="5"/>
      <c r="P202" s="5"/>
      <c r="Q202" s="5"/>
      <c r="R202" s="5"/>
      <c r="S202" s="5"/>
      <c r="T202" s="5"/>
      <c r="U202" s="5"/>
      <c r="V202" s="5"/>
      <c r="W202" s="5"/>
      <c r="X202" s="5"/>
      <c r="Y202" s="5"/>
      <c r="Z202" s="5"/>
      <c r="AA202" s="5"/>
      <c r="AB202" s="5"/>
      <c r="AC202" s="5"/>
      <c r="AD202" s="5"/>
      <c r="AE202" s="5"/>
      <c r="AF202" s="5"/>
    </row>
    <row r="203" spans="1:32" ht="12" customHeight="1">
      <c r="A203" s="1" t="s">
        <v>232</v>
      </c>
      <c r="B203" s="2" t="s">
        <v>222</v>
      </c>
      <c r="C203" s="2" t="s">
        <v>233</v>
      </c>
      <c r="D203" s="2" t="s">
        <v>224</v>
      </c>
      <c r="E203" s="8">
        <v>2100</v>
      </c>
      <c r="F203" s="16">
        <f>43813.1</f>
        <v>43813.1</v>
      </c>
      <c r="G203" s="16">
        <f>64.74+160.68+2716.42+635.21+9096.1+85+150+658.74+143+333.84+3624.47+847.67+12863.95+820.16+191.8+47+11560.09+435.16+9884.55+329.7</f>
        <v>54648.28</v>
      </c>
      <c r="H203" s="16">
        <f>16212.5+40798.94+19698.75+13227.69</f>
        <v>89937.88</v>
      </c>
      <c r="I203" s="16">
        <v>54.95</v>
      </c>
      <c r="J203" s="16"/>
      <c r="K203" s="16">
        <v>196</v>
      </c>
      <c r="L203" s="3">
        <f t="shared" ref="L203:L210" si="21">SUM(F203:K203)</f>
        <v>188650.21000000002</v>
      </c>
      <c r="M203" s="13"/>
      <c r="N203" s="17"/>
      <c r="O203" s="5"/>
      <c r="P203" s="5"/>
      <c r="Q203" s="5"/>
      <c r="R203" s="5"/>
      <c r="S203" s="5"/>
      <c r="T203" s="5"/>
      <c r="U203" s="5"/>
      <c r="V203" s="5"/>
      <c r="W203" s="5"/>
      <c r="X203" s="5"/>
      <c r="Y203" s="5"/>
      <c r="Z203" s="5"/>
      <c r="AA203" s="5"/>
      <c r="AB203" s="5"/>
      <c r="AC203" s="5"/>
      <c r="AD203" s="5"/>
      <c r="AE203" s="5"/>
      <c r="AF203" s="5"/>
    </row>
    <row r="204" spans="1:32" ht="12" customHeight="1">
      <c r="A204" s="1" t="s">
        <v>234</v>
      </c>
      <c r="B204" s="2" t="s">
        <v>222</v>
      </c>
      <c r="C204" s="2" t="s">
        <v>235</v>
      </c>
      <c r="D204" s="2" t="s">
        <v>224</v>
      </c>
      <c r="E204" s="8">
        <v>2200</v>
      </c>
      <c r="F204" s="16">
        <f>43394+40878.94</f>
        <v>84272.94</v>
      </c>
      <c r="G204" s="16">
        <f>76.75+4.01+0.62+1.59+22.87+5.35+84.08+1329+300+67.6+2536.04+593.06+9121.58+85+1208.15+282.55+4287.99+80+13284.19+535.58+13284.9+535.58+9884.55+329.7</f>
        <v>57940.740000000005</v>
      </c>
      <c r="H204" s="16">
        <f>199+179</f>
        <v>378</v>
      </c>
      <c r="I204" s="16"/>
      <c r="J204" s="16"/>
      <c r="K204" s="16">
        <f>1447.36+75</f>
        <v>1522.36</v>
      </c>
      <c r="L204" s="3">
        <f t="shared" si="21"/>
        <v>144114.03999999998</v>
      </c>
      <c r="M204" s="13"/>
      <c r="N204" s="17"/>
      <c r="O204" s="5"/>
      <c r="P204" s="5"/>
      <c r="Q204" s="5"/>
      <c r="R204" s="5"/>
      <c r="S204" s="5"/>
      <c r="T204" s="5"/>
      <c r="U204" s="5"/>
      <c r="V204" s="5"/>
      <c r="W204" s="5"/>
      <c r="X204" s="5"/>
      <c r="Y204" s="5"/>
      <c r="Z204" s="5"/>
      <c r="AA204" s="5"/>
      <c r="AB204" s="5"/>
      <c r="AC204" s="5"/>
      <c r="AD204" s="5"/>
      <c r="AE204" s="5"/>
      <c r="AF204" s="5"/>
    </row>
    <row r="205" spans="1:32" ht="12" customHeight="1">
      <c r="A205" s="1" t="s">
        <v>236</v>
      </c>
      <c r="B205" s="2" t="s">
        <v>222</v>
      </c>
      <c r="C205" s="2" t="s">
        <v>237</v>
      </c>
      <c r="D205" s="2" t="s">
        <v>224</v>
      </c>
      <c r="E205" s="8">
        <v>2300</v>
      </c>
      <c r="F205" s="16"/>
      <c r="G205" s="16"/>
      <c r="H205" s="16">
        <f>421+525+550+700+120+102.5+8795+271+40+564</f>
        <v>12088.5</v>
      </c>
      <c r="I205" s="16">
        <f>41.98</f>
        <v>41.98</v>
      </c>
      <c r="J205" s="16"/>
      <c r="K205" s="16">
        <f>2999.78+456.55</f>
        <v>3456.3300000000004</v>
      </c>
      <c r="L205" s="3">
        <f t="shared" si="21"/>
        <v>15586.81</v>
      </c>
      <c r="M205" s="13"/>
      <c r="N205" s="17"/>
      <c r="O205" s="5"/>
      <c r="P205" s="5"/>
      <c r="Q205" s="5"/>
      <c r="R205" s="5"/>
      <c r="S205" s="5"/>
      <c r="T205" s="5"/>
      <c r="U205" s="5"/>
      <c r="V205" s="5"/>
      <c r="W205" s="5"/>
      <c r="X205" s="5"/>
      <c r="Y205" s="5"/>
      <c r="Z205" s="5"/>
      <c r="AA205" s="5"/>
      <c r="AB205" s="5"/>
      <c r="AC205" s="5"/>
      <c r="AD205" s="5"/>
      <c r="AE205" s="5"/>
      <c r="AF205" s="5"/>
    </row>
    <row r="206" spans="1:32" ht="12" customHeight="1">
      <c r="A206" s="1" t="s">
        <v>238</v>
      </c>
      <c r="B206" s="2" t="s">
        <v>222</v>
      </c>
      <c r="C206" s="2" t="s">
        <v>239</v>
      </c>
      <c r="D206" s="2" t="s">
        <v>224</v>
      </c>
      <c r="E206" s="8">
        <v>2400</v>
      </c>
      <c r="F206" s="16">
        <f>43394+43261.92</f>
        <v>86655.92</v>
      </c>
      <c r="G206" s="16">
        <f>67.34+2535.78+593.06+9121.58+85+73.84+186.42+2766.54+561.09+6082.7+84+13284.19+535.58+13284.9+535.58</f>
        <v>49797.600000000006</v>
      </c>
      <c r="H206" s="16">
        <f>9721.97+306.55+211.89</f>
        <v>10240.409999999998</v>
      </c>
      <c r="I206" s="16">
        <f>1241.88+4640.59</f>
        <v>5882.47</v>
      </c>
      <c r="J206" s="16"/>
      <c r="K206" s="16">
        <f>785.1+129.7</f>
        <v>914.8</v>
      </c>
      <c r="L206" s="3">
        <f t="shared" si="21"/>
        <v>153491.20000000001</v>
      </c>
      <c r="M206" s="13"/>
      <c r="N206" s="17"/>
      <c r="O206" s="5"/>
      <c r="P206" s="5"/>
      <c r="Q206" s="5"/>
      <c r="R206" s="5"/>
      <c r="S206" s="5"/>
      <c r="T206" s="5"/>
      <c r="U206" s="5"/>
      <c r="V206" s="5"/>
      <c r="W206" s="5"/>
      <c r="X206" s="5"/>
      <c r="Y206" s="5"/>
      <c r="Z206" s="5"/>
      <c r="AA206" s="5"/>
      <c r="AB206" s="5"/>
      <c r="AC206" s="5"/>
      <c r="AD206" s="5"/>
      <c r="AE206" s="5"/>
      <c r="AF206" s="5"/>
    </row>
    <row r="207" spans="1:32" ht="12" customHeight="1">
      <c r="A207" s="1" t="s">
        <v>240</v>
      </c>
      <c r="B207" s="2" t="s">
        <v>222</v>
      </c>
      <c r="C207" s="2" t="s">
        <v>241</v>
      </c>
      <c r="D207" s="2" t="s">
        <v>224</v>
      </c>
      <c r="E207" s="8">
        <v>2500</v>
      </c>
      <c r="F207" s="16"/>
      <c r="G207" s="16"/>
      <c r="H207" s="16">
        <f>33990.1</f>
        <v>33990.1</v>
      </c>
      <c r="I207" s="16"/>
      <c r="J207" s="16"/>
      <c r="K207" s="16"/>
      <c r="L207" s="3">
        <f t="shared" si="21"/>
        <v>33990.1</v>
      </c>
      <c r="M207" s="13"/>
      <c r="N207" s="17"/>
      <c r="O207" s="5"/>
      <c r="P207" s="5"/>
      <c r="Q207" s="5"/>
      <c r="R207" s="5"/>
      <c r="S207" s="5"/>
      <c r="T207" s="5"/>
      <c r="U207" s="5"/>
      <c r="V207" s="5"/>
      <c r="W207" s="5"/>
      <c r="X207" s="5"/>
      <c r="Y207" s="5"/>
      <c r="Z207" s="5"/>
      <c r="AA207" s="5"/>
      <c r="AB207" s="5"/>
      <c r="AC207" s="5"/>
      <c r="AD207" s="5"/>
      <c r="AE207" s="5"/>
      <c r="AF207" s="5"/>
    </row>
    <row r="208" spans="1:32" ht="12" customHeight="1">
      <c r="A208" s="1" t="s">
        <v>242</v>
      </c>
      <c r="B208" s="2" t="s">
        <v>222</v>
      </c>
      <c r="C208" s="2" t="s">
        <v>243</v>
      </c>
      <c r="D208" s="2" t="s">
        <v>224</v>
      </c>
      <c r="E208" s="8">
        <v>2600</v>
      </c>
      <c r="F208" s="16">
        <f>47220.83+4537.57</f>
        <v>51758.400000000001</v>
      </c>
      <c r="G208" s="16">
        <f>75.66+188.5+2996.33+700.62+6299.02+739+26568.47+1071.17</f>
        <v>38638.770000000004</v>
      </c>
      <c r="H208" s="16">
        <f>9873.48+3357.5+2186.25+1279+2827.94+4515.77</f>
        <v>24039.94</v>
      </c>
      <c r="I208" s="16">
        <f>3636.33+25966.82+21658.18</f>
        <v>51261.33</v>
      </c>
      <c r="J208" s="16">
        <f>31343.8+249.98+1263.91</f>
        <v>32857.69</v>
      </c>
      <c r="K208" s="16"/>
      <c r="L208" s="3">
        <f t="shared" si="21"/>
        <v>198556.13</v>
      </c>
      <c r="M208" s="13"/>
      <c r="N208" s="17"/>
      <c r="O208" s="5"/>
      <c r="P208" s="5"/>
      <c r="Q208" s="5"/>
      <c r="R208" s="5"/>
      <c r="S208" s="5"/>
      <c r="T208" s="5"/>
      <c r="U208" s="5"/>
      <c r="V208" s="5"/>
      <c r="W208" s="5"/>
      <c r="X208" s="5"/>
      <c r="Y208" s="5"/>
      <c r="Z208" s="5"/>
      <c r="AA208" s="5"/>
      <c r="AB208" s="5"/>
      <c r="AC208" s="5"/>
      <c r="AD208" s="5"/>
      <c r="AE208" s="5"/>
      <c r="AF208" s="5"/>
    </row>
    <row r="209" spans="1:32" ht="12" customHeight="1">
      <c r="A209" s="1" t="s">
        <v>244</v>
      </c>
      <c r="B209" s="2" t="s">
        <v>222</v>
      </c>
      <c r="C209" s="2" t="s">
        <v>245</v>
      </c>
      <c r="D209" s="2" t="s">
        <v>224</v>
      </c>
      <c r="E209" s="8">
        <v>2700</v>
      </c>
      <c r="F209" s="16"/>
      <c r="G209" s="16"/>
      <c r="H209" s="16">
        <f>78585</f>
        <v>78585</v>
      </c>
      <c r="I209" s="16"/>
      <c r="J209" s="16"/>
      <c r="K209" s="16"/>
      <c r="L209" s="3">
        <f t="shared" si="21"/>
        <v>78585</v>
      </c>
      <c r="M209" s="13"/>
      <c r="N209" s="17"/>
      <c r="O209" s="5"/>
      <c r="P209" s="5"/>
      <c r="Q209" s="5"/>
      <c r="R209" s="5"/>
      <c r="S209" s="5"/>
      <c r="T209" s="5"/>
      <c r="U209" s="5"/>
      <c r="V209" s="5"/>
      <c r="W209" s="5"/>
      <c r="X209" s="5"/>
      <c r="Y209" s="5"/>
      <c r="Z209" s="5"/>
      <c r="AA209" s="5"/>
      <c r="AB209" s="5"/>
      <c r="AC209" s="5"/>
      <c r="AD209" s="5"/>
      <c r="AE209" s="5"/>
      <c r="AF209" s="5"/>
    </row>
    <row r="210" spans="1:32" ht="12" customHeight="1">
      <c r="A210" s="1" t="s">
        <v>246</v>
      </c>
      <c r="B210" s="2" t="s">
        <v>222</v>
      </c>
      <c r="C210" s="2" t="s">
        <v>247</v>
      </c>
      <c r="D210" s="2" t="s">
        <v>224</v>
      </c>
      <c r="E210" s="8">
        <v>2800</v>
      </c>
      <c r="F210" s="16"/>
      <c r="G210" s="16"/>
      <c r="H210" s="16">
        <f>7090</f>
        <v>7090</v>
      </c>
      <c r="I210" s="16"/>
      <c r="J210" s="16"/>
      <c r="K210" s="16">
        <f>2006</f>
        <v>2006</v>
      </c>
      <c r="L210" s="3">
        <f t="shared" si="21"/>
        <v>9096</v>
      </c>
      <c r="M210" s="13"/>
      <c r="N210" s="17"/>
      <c r="O210" s="5"/>
      <c r="P210" s="5"/>
      <c r="Q210" s="5"/>
      <c r="R210" s="5"/>
      <c r="S210" s="5"/>
      <c r="T210" s="5"/>
      <c r="U210" s="5"/>
      <c r="V210" s="5"/>
      <c r="W210" s="5"/>
      <c r="X210" s="5"/>
      <c r="Y210" s="5"/>
      <c r="Z210" s="5"/>
      <c r="AA210" s="5"/>
      <c r="AB210" s="5"/>
      <c r="AC210" s="5"/>
      <c r="AD210" s="5"/>
      <c r="AE210" s="5"/>
      <c r="AF210" s="5"/>
    </row>
    <row r="211" spans="1:32" ht="12" customHeight="1">
      <c r="A211" s="1" t="s">
        <v>248</v>
      </c>
      <c r="B211" s="2" t="s">
        <v>222</v>
      </c>
      <c r="C211" s="2" t="s">
        <v>249</v>
      </c>
      <c r="D211" s="2" t="s">
        <v>224</v>
      </c>
      <c r="E211" s="8">
        <v>2900</v>
      </c>
      <c r="F211" s="15" t="s">
        <v>31</v>
      </c>
      <c r="G211" s="15" t="s">
        <v>31</v>
      </c>
      <c r="H211" s="15" t="s">
        <v>31</v>
      </c>
      <c r="I211" s="15" t="s">
        <v>31</v>
      </c>
      <c r="J211" s="15" t="s">
        <v>31</v>
      </c>
      <c r="K211" s="15" t="s">
        <v>31</v>
      </c>
      <c r="L211" s="15" t="s">
        <v>31</v>
      </c>
      <c r="M211" s="13"/>
      <c r="N211" s="17"/>
      <c r="O211" s="5"/>
      <c r="P211" s="5"/>
      <c r="Q211" s="5"/>
      <c r="R211" s="5"/>
      <c r="S211" s="5"/>
      <c r="T211" s="5"/>
      <c r="U211" s="5"/>
      <c r="V211" s="5"/>
      <c r="W211" s="5"/>
      <c r="X211" s="5"/>
      <c r="Y211" s="5"/>
      <c r="Z211" s="5"/>
      <c r="AA211" s="5"/>
      <c r="AB211" s="5"/>
      <c r="AC211" s="5"/>
      <c r="AD211" s="5"/>
      <c r="AE211" s="5"/>
      <c r="AF211" s="5"/>
    </row>
    <row r="212" spans="1:32" ht="12" customHeight="1">
      <c r="A212" s="19" t="s">
        <v>250</v>
      </c>
      <c r="B212" s="20" t="s">
        <v>222</v>
      </c>
      <c r="C212" s="20" t="s">
        <v>251</v>
      </c>
      <c r="D212" s="20" t="s">
        <v>224</v>
      </c>
      <c r="E212" s="20"/>
      <c r="F212" s="22">
        <f t="shared" ref="F212:L212" si="22">SUM(F198:F211)</f>
        <v>819605.39000000013</v>
      </c>
      <c r="G212" s="22">
        <f t="shared" si="22"/>
        <v>389985.53</v>
      </c>
      <c r="H212" s="22">
        <f t="shared" si="22"/>
        <v>257099.83000000002</v>
      </c>
      <c r="I212" s="22">
        <f t="shared" si="22"/>
        <v>108138.44</v>
      </c>
      <c r="J212" s="22">
        <f t="shared" si="22"/>
        <v>69053.62</v>
      </c>
      <c r="K212" s="22">
        <f t="shared" si="22"/>
        <v>11150.83</v>
      </c>
      <c r="L212" s="22">
        <f t="shared" si="22"/>
        <v>1655033.6400000001</v>
      </c>
      <c r="M212" s="13"/>
      <c r="N212" s="17"/>
      <c r="O212" s="5"/>
      <c r="P212" s="5"/>
      <c r="Q212" s="5"/>
      <c r="R212" s="5"/>
      <c r="S212" s="5"/>
      <c r="T212" s="5"/>
      <c r="U212" s="5"/>
      <c r="V212" s="5"/>
      <c r="W212" s="5"/>
      <c r="X212" s="5"/>
      <c r="Y212" s="5"/>
      <c r="Z212" s="5"/>
      <c r="AA212" s="5"/>
      <c r="AB212" s="5"/>
      <c r="AC212" s="5"/>
      <c r="AD212" s="5"/>
      <c r="AE212" s="5"/>
      <c r="AF212" s="5"/>
    </row>
    <row r="213" spans="1:32" ht="12" customHeight="1">
      <c r="A213" s="44" t="s">
        <v>205</v>
      </c>
      <c r="B213" s="2"/>
      <c r="C213" s="2"/>
      <c r="D213" s="2"/>
      <c r="E213" s="2"/>
      <c r="F213" s="4" t="s">
        <v>206</v>
      </c>
      <c r="G213" s="4" t="s">
        <v>207</v>
      </c>
      <c r="H213" s="4" t="s">
        <v>208</v>
      </c>
      <c r="I213" s="4" t="s">
        <v>209</v>
      </c>
      <c r="J213" s="4" t="s">
        <v>210</v>
      </c>
      <c r="K213" s="4" t="s">
        <v>211</v>
      </c>
      <c r="L213" s="3"/>
      <c r="M213" s="13"/>
      <c r="N213" s="17"/>
      <c r="O213" s="5"/>
      <c r="P213" s="5"/>
      <c r="Q213" s="5"/>
      <c r="R213" s="5"/>
      <c r="S213" s="5"/>
      <c r="T213" s="5"/>
      <c r="U213" s="5"/>
      <c r="V213" s="5"/>
      <c r="W213" s="5"/>
      <c r="X213" s="5"/>
      <c r="Y213" s="5"/>
      <c r="Z213" s="5"/>
      <c r="AA213" s="5"/>
      <c r="AB213" s="5"/>
      <c r="AC213" s="5"/>
      <c r="AD213" s="5"/>
      <c r="AE213" s="5"/>
      <c r="AF213" s="5"/>
    </row>
    <row r="214" spans="1:32" ht="12" customHeight="1">
      <c r="A214" s="14" t="s">
        <v>252</v>
      </c>
      <c r="B214" s="11"/>
      <c r="C214" s="11"/>
      <c r="D214" s="11"/>
      <c r="E214" s="11"/>
      <c r="F214" s="45" t="s">
        <v>213</v>
      </c>
      <c r="G214" s="45" t="s">
        <v>214</v>
      </c>
      <c r="H214" s="45" t="s">
        <v>215</v>
      </c>
      <c r="I214" s="45" t="s">
        <v>216</v>
      </c>
      <c r="J214" s="45" t="s">
        <v>217</v>
      </c>
      <c r="K214" s="45" t="s">
        <v>218</v>
      </c>
      <c r="L214" s="45" t="s">
        <v>219</v>
      </c>
      <c r="M214" s="13"/>
      <c r="N214" s="17"/>
      <c r="O214" s="5"/>
      <c r="P214" s="5"/>
      <c r="Q214" s="5"/>
      <c r="R214" s="5"/>
      <c r="S214" s="5"/>
      <c r="T214" s="5"/>
      <c r="U214" s="5"/>
      <c r="V214" s="5"/>
      <c r="W214" s="5"/>
      <c r="X214" s="5"/>
      <c r="Y214" s="5"/>
      <c r="Z214" s="5"/>
      <c r="AA214" s="5"/>
      <c r="AB214" s="5"/>
      <c r="AC214" s="5"/>
      <c r="AD214" s="5"/>
      <c r="AE214" s="5"/>
      <c r="AF214" s="5"/>
    </row>
    <row r="215" spans="1:32" ht="12" customHeight="1">
      <c r="A215" s="33" t="s">
        <v>220</v>
      </c>
      <c r="B215" s="5"/>
      <c r="C215" s="5"/>
      <c r="D215" s="5"/>
      <c r="E215" s="5"/>
      <c r="F215" s="15" t="s">
        <v>31</v>
      </c>
      <c r="G215" s="15" t="s">
        <v>31</v>
      </c>
      <c r="H215" s="15" t="s">
        <v>31</v>
      </c>
      <c r="I215" s="15" t="s">
        <v>31</v>
      </c>
      <c r="J215" s="15" t="s">
        <v>31</v>
      </c>
      <c r="K215" s="15" t="s">
        <v>31</v>
      </c>
      <c r="L215" s="15" t="s">
        <v>31</v>
      </c>
      <c r="M215" s="13"/>
      <c r="N215" s="17"/>
      <c r="O215" s="5"/>
      <c r="P215" s="5"/>
      <c r="Q215" s="5"/>
      <c r="R215" s="5"/>
      <c r="S215" s="5"/>
      <c r="T215" s="5"/>
      <c r="U215" s="5"/>
      <c r="V215" s="5"/>
      <c r="W215" s="5"/>
      <c r="X215" s="5"/>
      <c r="Y215" s="5"/>
      <c r="Z215" s="5"/>
      <c r="AA215" s="5"/>
      <c r="AB215" s="5"/>
      <c r="AC215" s="5"/>
      <c r="AD215" s="5"/>
      <c r="AE215" s="5"/>
      <c r="AF215" s="5"/>
    </row>
    <row r="216" spans="1:32" ht="12" customHeight="1">
      <c r="A216" s="1" t="s">
        <v>221</v>
      </c>
      <c r="B216" s="2" t="s">
        <v>253</v>
      </c>
      <c r="C216" s="2" t="s">
        <v>223</v>
      </c>
      <c r="D216" s="2" t="s">
        <v>224</v>
      </c>
      <c r="E216" s="8">
        <v>1100</v>
      </c>
      <c r="F216" s="16"/>
      <c r="G216" s="16"/>
      <c r="H216" s="16">
        <v>316615.5</v>
      </c>
      <c r="I216" s="16"/>
      <c r="J216" s="16"/>
      <c r="K216" s="16"/>
      <c r="L216" s="3">
        <f t="shared" ref="L216:L219" si="23">SUM(F216:K216)</f>
        <v>316615.5</v>
      </c>
      <c r="M216" s="13"/>
      <c r="N216" s="17"/>
      <c r="O216" s="5"/>
      <c r="P216" s="5"/>
      <c r="Q216" s="5"/>
      <c r="R216" s="5"/>
      <c r="S216" s="5"/>
      <c r="T216" s="5"/>
      <c r="U216" s="5"/>
      <c r="V216" s="5"/>
      <c r="W216" s="5"/>
      <c r="X216" s="5"/>
      <c r="Y216" s="5"/>
      <c r="Z216" s="5"/>
      <c r="AA216" s="5"/>
      <c r="AB216" s="5"/>
      <c r="AC216" s="5"/>
      <c r="AD216" s="5"/>
      <c r="AE216" s="5"/>
      <c r="AF216" s="5"/>
    </row>
    <row r="217" spans="1:32" ht="12" customHeight="1">
      <c r="A217" s="1" t="s">
        <v>225</v>
      </c>
      <c r="B217" s="2" t="s">
        <v>253</v>
      </c>
      <c r="C217" s="2" t="s">
        <v>226</v>
      </c>
      <c r="D217" s="2" t="s">
        <v>224</v>
      </c>
      <c r="E217" s="8">
        <v>1200</v>
      </c>
      <c r="F217" s="16"/>
      <c r="G217" s="16"/>
      <c r="H217" s="16">
        <v>38489.89</v>
      </c>
      <c r="I217" s="16"/>
      <c r="J217" s="16"/>
      <c r="K217" s="16"/>
      <c r="L217" s="3">
        <f t="shared" si="23"/>
        <v>38489.89</v>
      </c>
      <c r="M217" s="13"/>
      <c r="N217" s="17"/>
      <c r="O217" s="5"/>
      <c r="P217" s="5"/>
      <c r="Q217" s="5"/>
      <c r="R217" s="5"/>
      <c r="S217" s="5"/>
      <c r="T217" s="5"/>
      <c r="U217" s="5"/>
      <c r="V217" s="5"/>
      <c r="W217" s="5"/>
      <c r="X217" s="5"/>
      <c r="Y217" s="5"/>
      <c r="Z217" s="5"/>
      <c r="AA217" s="5"/>
      <c r="AB217" s="5"/>
      <c r="AC217" s="5"/>
      <c r="AD217" s="5"/>
      <c r="AE217" s="5"/>
      <c r="AF217" s="5"/>
    </row>
    <row r="218" spans="1:32" ht="12" customHeight="1">
      <c r="A218" s="1" t="s">
        <v>227</v>
      </c>
      <c r="B218" s="2" t="s">
        <v>253</v>
      </c>
      <c r="C218" s="2" t="s">
        <v>228</v>
      </c>
      <c r="D218" s="2" t="s">
        <v>224</v>
      </c>
      <c r="E218" s="8">
        <v>1300</v>
      </c>
      <c r="F218" s="16"/>
      <c r="G218" s="16"/>
      <c r="H218" s="16"/>
      <c r="I218" s="16"/>
      <c r="J218" s="16"/>
      <c r="K218" s="16"/>
      <c r="L218" s="3">
        <f t="shared" si="23"/>
        <v>0</v>
      </c>
      <c r="M218" s="13"/>
      <c r="N218" s="17"/>
      <c r="O218" s="5"/>
      <c r="P218" s="5"/>
      <c r="Q218" s="5"/>
      <c r="R218" s="5"/>
      <c r="S218" s="5"/>
      <c r="T218" s="5"/>
      <c r="U218" s="5"/>
      <c r="V218" s="5"/>
      <c r="W218" s="5"/>
      <c r="X218" s="5"/>
      <c r="Y218" s="5"/>
      <c r="Z218" s="5"/>
      <c r="AA218" s="5"/>
      <c r="AB218" s="5"/>
      <c r="AC218" s="5"/>
      <c r="AD218" s="5"/>
      <c r="AE218" s="5"/>
      <c r="AF218" s="5"/>
    </row>
    <row r="219" spans="1:32" ht="12" customHeight="1">
      <c r="A219" s="1" t="s">
        <v>229</v>
      </c>
      <c r="B219" s="2" t="s">
        <v>253</v>
      </c>
      <c r="C219" s="2" t="s">
        <v>230</v>
      </c>
      <c r="D219" s="2" t="s">
        <v>224</v>
      </c>
      <c r="E219" s="8">
        <v>1400</v>
      </c>
      <c r="F219" s="16"/>
      <c r="G219" s="16"/>
      <c r="H219" s="16"/>
      <c r="I219" s="16"/>
      <c r="J219" s="16"/>
      <c r="K219" s="16"/>
      <c r="L219" s="3">
        <f t="shared" si="23"/>
        <v>0</v>
      </c>
      <c r="M219" s="13"/>
      <c r="N219" s="17"/>
      <c r="O219" s="5"/>
      <c r="P219" s="5"/>
      <c r="Q219" s="5"/>
      <c r="R219" s="5"/>
      <c r="S219" s="5"/>
      <c r="T219" s="5"/>
      <c r="U219" s="5"/>
      <c r="V219" s="5"/>
      <c r="W219" s="5"/>
      <c r="X219" s="5"/>
      <c r="Y219" s="5"/>
      <c r="Z219" s="5"/>
      <c r="AA219" s="5"/>
      <c r="AB219" s="5"/>
      <c r="AC219" s="5"/>
      <c r="AD219" s="5"/>
      <c r="AE219" s="5"/>
      <c r="AF219" s="5"/>
    </row>
    <row r="220" spans="1:32" ht="12" customHeight="1">
      <c r="A220" s="33" t="s">
        <v>231</v>
      </c>
      <c r="B220" s="1" t="s">
        <v>60</v>
      </c>
      <c r="C220" s="5"/>
      <c r="D220" s="5"/>
      <c r="E220" s="8"/>
      <c r="F220" s="15" t="s">
        <v>31</v>
      </c>
      <c r="G220" s="15" t="s">
        <v>31</v>
      </c>
      <c r="H220" s="15" t="s">
        <v>31</v>
      </c>
      <c r="I220" s="15" t="s">
        <v>31</v>
      </c>
      <c r="J220" s="15" t="s">
        <v>31</v>
      </c>
      <c r="K220" s="15" t="s">
        <v>31</v>
      </c>
      <c r="L220" s="15" t="s">
        <v>31</v>
      </c>
      <c r="M220" s="13"/>
      <c r="N220" s="17"/>
      <c r="O220" s="5"/>
      <c r="P220" s="5"/>
      <c r="Q220" s="5"/>
      <c r="R220" s="5"/>
      <c r="S220" s="5"/>
      <c r="T220" s="5"/>
      <c r="U220" s="5"/>
      <c r="V220" s="5"/>
      <c r="W220" s="5"/>
      <c r="X220" s="5"/>
      <c r="Y220" s="5"/>
      <c r="Z220" s="5"/>
      <c r="AA220" s="5"/>
      <c r="AB220" s="5"/>
      <c r="AC220" s="5"/>
      <c r="AD220" s="5"/>
      <c r="AE220" s="5"/>
      <c r="AF220" s="5"/>
    </row>
    <row r="221" spans="1:32" ht="12" customHeight="1">
      <c r="A221" s="1" t="s">
        <v>232</v>
      </c>
      <c r="B221" s="2" t="s">
        <v>253</v>
      </c>
      <c r="C221" s="2" t="s">
        <v>233</v>
      </c>
      <c r="D221" s="2" t="s">
        <v>224</v>
      </c>
      <c r="E221" s="8">
        <v>2100</v>
      </c>
      <c r="F221" s="16"/>
      <c r="G221" s="16"/>
      <c r="H221" s="16"/>
      <c r="I221" s="16"/>
      <c r="J221" s="16"/>
      <c r="K221" s="16"/>
      <c r="L221" s="3">
        <f t="shared" ref="L221:L228" si="24">SUM(F221:K221)</f>
        <v>0</v>
      </c>
      <c r="M221" s="13"/>
      <c r="N221" s="17"/>
      <c r="O221" s="5"/>
      <c r="P221" s="5"/>
      <c r="Q221" s="5"/>
      <c r="R221" s="5"/>
      <c r="S221" s="5"/>
      <c r="T221" s="5"/>
      <c r="U221" s="5"/>
      <c r="V221" s="5"/>
      <c r="W221" s="5"/>
      <c r="X221" s="5"/>
      <c r="Y221" s="5"/>
      <c r="Z221" s="5"/>
      <c r="AA221" s="5"/>
      <c r="AB221" s="5"/>
      <c r="AC221" s="5"/>
      <c r="AD221" s="5"/>
      <c r="AE221" s="5"/>
      <c r="AF221" s="5"/>
    </row>
    <row r="222" spans="1:32" ht="12" customHeight="1">
      <c r="A222" s="1" t="s">
        <v>234</v>
      </c>
      <c r="B222" s="2" t="s">
        <v>253</v>
      </c>
      <c r="C222" s="2" t="s">
        <v>235</v>
      </c>
      <c r="D222" s="2" t="s">
        <v>224</v>
      </c>
      <c r="E222" s="8">
        <v>2200</v>
      </c>
      <c r="F222" s="16"/>
      <c r="G222" s="16"/>
      <c r="H222" s="16"/>
      <c r="I222" s="16"/>
      <c r="J222" s="16"/>
      <c r="K222" s="16"/>
      <c r="L222" s="3">
        <f t="shared" si="24"/>
        <v>0</v>
      </c>
      <c r="M222" s="13"/>
      <c r="N222" s="17"/>
      <c r="O222" s="5"/>
      <c r="P222" s="5"/>
      <c r="Q222" s="5"/>
      <c r="R222" s="5"/>
      <c r="S222" s="5"/>
      <c r="T222" s="5"/>
      <c r="U222" s="5"/>
      <c r="V222" s="5"/>
      <c r="W222" s="5"/>
      <c r="X222" s="5"/>
      <c r="Y222" s="5"/>
      <c r="Z222" s="5"/>
      <c r="AA222" s="5"/>
      <c r="AB222" s="5"/>
      <c r="AC222" s="5"/>
      <c r="AD222" s="5"/>
      <c r="AE222" s="5"/>
      <c r="AF222" s="5"/>
    </row>
    <row r="223" spans="1:32" ht="12" customHeight="1">
      <c r="A223" s="1" t="s">
        <v>236</v>
      </c>
      <c r="B223" s="2" t="s">
        <v>253</v>
      </c>
      <c r="C223" s="2" t="s">
        <v>237</v>
      </c>
      <c r="D223" s="2" t="s">
        <v>224</v>
      </c>
      <c r="E223" s="8">
        <v>2300</v>
      </c>
      <c r="F223" s="16"/>
      <c r="G223" s="16"/>
      <c r="H223" s="16"/>
      <c r="I223" s="16"/>
      <c r="J223" s="16"/>
      <c r="K223" s="16"/>
      <c r="L223" s="3">
        <f t="shared" si="24"/>
        <v>0</v>
      </c>
      <c r="M223" s="13"/>
      <c r="N223" s="17"/>
      <c r="O223" s="5"/>
      <c r="P223" s="5"/>
      <c r="Q223" s="5"/>
      <c r="R223" s="5"/>
      <c r="S223" s="5"/>
      <c r="T223" s="5"/>
      <c r="U223" s="5"/>
      <c r="V223" s="5"/>
      <c r="W223" s="5"/>
      <c r="X223" s="5"/>
      <c r="Y223" s="5"/>
      <c r="Z223" s="5"/>
      <c r="AA223" s="5"/>
      <c r="AB223" s="5"/>
      <c r="AC223" s="5"/>
      <c r="AD223" s="5"/>
      <c r="AE223" s="5"/>
      <c r="AF223" s="5"/>
    </row>
    <row r="224" spans="1:32" ht="12" customHeight="1">
      <c r="A224" s="1" t="s">
        <v>238</v>
      </c>
      <c r="B224" s="2" t="s">
        <v>253</v>
      </c>
      <c r="C224" s="2" t="s">
        <v>239</v>
      </c>
      <c r="D224" s="2" t="s">
        <v>224</v>
      </c>
      <c r="E224" s="8">
        <v>2400</v>
      </c>
      <c r="F224" s="16"/>
      <c r="G224" s="16"/>
      <c r="H224" s="16"/>
      <c r="I224" s="16"/>
      <c r="J224" s="16"/>
      <c r="K224" s="16"/>
      <c r="L224" s="3">
        <f t="shared" si="24"/>
        <v>0</v>
      </c>
      <c r="M224" s="13"/>
      <c r="N224" s="17"/>
      <c r="O224" s="5"/>
      <c r="P224" s="5"/>
      <c r="Q224" s="5"/>
      <c r="R224" s="5"/>
      <c r="S224" s="5"/>
      <c r="T224" s="5"/>
      <c r="U224" s="5"/>
      <c r="V224" s="5"/>
      <c r="W224" s="5"/>
      <c r="X224" s="5"/>
      <c r="Y224" s="5"/>
      <c r="Z224" s="5"/>
      <c r="AA224" s="5"/>
      <c r="AB224" s="5"/>
      <c r="AC224" s="5"/>
      <c r="AD224" s="5"/>
      <c r="AE224" s="5"/>
      <c r="AF224" s="5"/>
    </row>
    <row r="225" spans="1:32" ht="12" customHeight="1">
      <c r="A225" s="1" t="s">
        <v>240</v>
      </c>
      <c r="B225" s="2" t="s">
        <v>253</v>
      </c>
      <c r="C225" s="2" t="s">
        <v>241</v>
      </c>
      <c r="D225" s="2" t="s">
        <v>224</v>
      </c>
      <c r="E225" s="8">
        <v>2500</v>
      </c>
      <c r="F225" s="16"/>
      <c r="G225" s="16"/>
      <c r="H225" s="16"/>
      <c r="I225" s="16"/>
      <c r="J225" s="16"/>
      <c r="K225" s="16"/>
      <c r="L225" s="3">
        <f t="shared" si="24"/>
        <v>0</v>
      </c>
      <c r="M225" s="13"/>
      <c r="N225" s="17"/>
      <c r="O225" s="5"/>
      <c r="P225" s="5"/>
      <c r="Q225" s="5"/>
      <c r="R225" s="5"/>
      <c r="S225" s="5"/>
      <c r="T225" s="5"/>
      <c r="U225" s="5"/>
      <c r="V225" s="5"/>
      <c r="W225" s="5"/>
      <c r="X225" s="5"/>
      <c r="Y225" s="5"/>
      <c r="Z225" s="5"/>
      <c r="AA225" s="5"/>
      <c r="AB225" s="5"/>
      <c r="AC225" s="5"/>
      <c r="AD225" s="5"/>
      <c r="AE225" s="5"/>
      <c r="AF225" s="5"/>
    </row>
    <row r="226" spans="1:32" ht="12" customHeight="1">
      <c r="A226" s="1" t="s">
        <v>242</v>
      </c>
      <c r="B226" s="2" t="s">
        <v>253</v>
      </c>
      <c r="C226" s="2" t="s">
        <v>243</v>
      </c>
      <c r="D226" s="2" t="s">
        <v>224</v>
      </c>
      <c r="E226" s="8">
        <v>2600</v>
      </c>
      <c r="F226" s="16"/>
      <c r="G226" s="16"/>
      <c r="H226" s="16"/>
      <c r="I226" s="16"/>
      <c r="J226" s="16"/>
      <c r="K226" s="16"/>
      <c r="L226" s="3">
        <f t="shared" si="24"/>
        <v>0</v>
      </c>
      <c r="M226" s="13"/>
      <c r="N226" s="17"/>
      <c r="O226" s="5"/>
      <c r="P226" s="5"/>
      <c r="Q226" s="5"/>
      <c r="R226" s="5"/>
      <c r="S226" s="5"/>
      <c r="T226" s="5"/>
      <c r="U226" s="5"/>
      <c r="V226" s="5"/>
      <c r="W226" s="5"/>
      <c r="X226" s="5"/>
      <c r="Y226" s="5"/>
      <c r="Z226" s="5"/>
      <c r="AA226" s="5"/>
      <c r="AB226" s="5"/>
      <c r="AC226" s="5"/>
      <c r="AD226" s="5"/>
      <c r="AE226" s="5"/>
      <c r="AF226" s="5"/>
    </row>
    <row r="227" spans="1:32" ht="12" customHeight="1">
      <c r="A227" s="1" t="s">
        <v>244</v>
      </c>
      <c r="B227" s="2" t="s">
        <v>253</v>
      </c>
      <c r="C227" s="2" t="s">
        <v>245</v>
      </c>
      <c r="D227" s="2" t="s">
        <v>224</v>
      </c>
      <c r="E227" s="8">
        <v>2700</v>
      </c>
      <c r="F227" s="16"/>
      <c r="G227" s="16"/>
      <c r="H227" s="16">
        <f>20500</f>
        <v>20500</v>
      </c>
      <c r="I227" s="16"/>
      <c r="J227" s="16"/>
      <c r="K227" s="16"/>
      <c r="L227" s="3">
        <f t="shared" si="24"/>
        <v>20500</v>
      </c>
      <c r="M227" s="13"/>
      <c r="N227" s="17"/>
      <c r="O227" s="5"/>
      <c r="P227" s="5"/>
      <c r="Q227" s="5"/>
      <c r="R227" s="5"/>
      <c r="S227" s="5"/>
      <c r="T227" s="5"/>
      <c r="U227" s="5"/>
      <c r="V227" s="5"/>
      <c r="W227" s="5"/>
      <c r="X227" s="5"/>
      <c r="Y227" s="5"/>
      <c r="Z227" s="5"/>
      <c r="AA227" s="5"/>
      <c r="AB227" s="5"/>
      <c r="AC227" s="5"/>
      <c r="AD227" s="5"/>
      <c r="AE227" s="5"/>
      <c r="AF227" s="5"/>
    </row>
    <row r="228" spans="1:32" ht="12" customHeight="1">
      <c r="A228" s="1" t="s">
        <v>246</v>
      </c>
      <c r="B228" s="2" t="s">
        <v>253</v>
      </c>
      <c r="C228" s="2" t="s">
        <v>247</v>
      </c>
      <c r="D228" s="2" t="s">
        <v>224</v>
      </c>
      <c r="E228" s="8">
        <v>2800</v>
      </c>
      <c r="F228" s="16"/>
      <c r="G228" s="16"/>
      <c r="H228" s="16"/>
      <c r="I228" s="16"/>
      <c r="J228" s="16"/>
      <c r="K228" s="16"/>
      <c r="L228" s="3">
        <f t="shared" si="24"/>
        <v>0</v>
      </c>
      <c r="M228" s="13"/>
      <c r="N228" s="17"/>
      <c r="O228" s="5"/>
      <c r="P228" s="5"/>
      <c r="Q228" s="5"/>
      <c r="R228" s="5"/>
      <c r="S228" s="5"/>
      <c r="T228" s="5"/>
      <c r="U228" s="5"/>
      <c r="V228" s="5"/>
      <c r="W228" s="5"/>
      <c r="X228" s="5"/>
      <c r="Y228" s="5"/>
      <c r="Z228" s="5"/>
      <c r="AA228" s="5"/>
      <c r="AB228" s="5"/>
      <c r="AC228" s="5"/>
      <c r="AD228" s="5"/>
      <c r="AE228" s="5"/>
      <c r="AF228" s="5"/>
    </row>
    <row r="229" spans="1:32" ht="12" customHeight="1">
      <c r="A229" s="1" t="s">
        <v>248</v>
      </c>
      <c r="B229" s="2" t="s">
        <v>253</v>
      </c>
      <c r="C229" s="2" t="s">
        <v>249</v>
      </c>
      <c r="D229" s="2" t="s">
        <v>224</v>
      </c>
      <c r="E229" s="8">
        <v>2900</v>
      </c>
      <c r="F229" s="15" t="s">
        <v>31</v>
      </c>
      <c r="G229" s="15" t="s">
        <v>31</v>
      </c>
      <c r="H229" s="15" t="s">
        <v>31</v>
      </c>
      <c r="I229" s="15" t="s">
        <v>31</v>
      </c>
      <c r="J229" s="15" t="s">
        <v>31</v>
      </c>
      <c r="K229" s="15" t="s">
        <v>31</v>
      </c>
      <c r="L229" s="15" t="s">
        <v>31</v>
      </c>
      <c r="M229" s="13"/>
      <c r="N229" s="17"/>
      <c r="O229" s="5"/>
      <c r="P229" s="5"/>
      <c r="Q229" s="5"/>
      <c r="R229" s="5"/>
      <c r="S229" s="5"/>
      <c r="T229" s="5"/>
      <c r="U229" s="5"/>
      <c r="V229" s="5"/>
      <c r="W229" s="5"/>
      <c r="X229" s="5"/>
      <c r="Y229" s="5"/>
      <c r="Z229" s="5"/>
      <c r="AA229" s="5"/>
      <c r="AB229" s="5"/>
      <c r="AC229" s="5"/>
      <c r="AD229" s="5"/>
      <c r="AE229" s="5"/>
      <c r="AF229" s="5"/>
    </row>
    <row r="230" spans="1:32" ht="12" customHeight="1">
      <c r="A230" s="19" t="s">
        <v>254</v>
      </c>
      <c r="B230" s="20" t="s">
        <v>253</v>
      </c>
      <c r="C230" s="20" t="s">
        <v>251</v>
      </c>
      <c r="D230" s="20" t="s">
        <v>224</v>
      </c>
      <c r="E230" s="40"/>
      <c r="F230" s="22">
        <f t="shared" ref="F230:L230" si="25">SUM(F216:F229)</f>
        <v>0</v>
      </c>
      <c r="G230" s="22">
        <f t="shared" si="25"/>
        <v>0</v>
      </c>
      <c r="H230" s="22">
        <f t="shared" si="25"/>
        <v>375605.39</v>
      </c>
      <c r="I230" s="22">
        <f t="shared" si="25"/>
        <v>0</v>
      </c>
      <c r="J230" s="22">
        <f t="shared" si="25"/>
        <v>0</v>
      </c>
      <c r="K230" s="22">
        <f t="shared" si="25"/>
        <v>0</v>
      </c>
      <c r="L230" s="22">
        <f t="shared" si="25"/>
        <v>375605.39</v>
      </c>
      <c r="M230" s="13"/>
      <c r="N230" s="17"/>
      <c r="O230" s="5"/>
      <c r="P230" s="5"/>
      <c r="Q230" s="5"/>
      <c r="R230" s="5"/>
      <c r="S230" s="5"/>
      <c r="T230" s="5"/>
      <c r="U230" s="5"/>
      <c r="V230" s="5"/>
      <c r="W230" s="5"/>
      <c r="X230" s="5"/>
      <c r="Y230" s="5"/>
      <c r="Z230" s="5"/>
      <c r="AA230" s="5"/>
      <c r="AB230" s="5"/>
      <c r="AC230" s="5"/>
      <c r="AD230" s="5"/>
      <c r="AE230" s="5"/>
      <c r="AF230" s="5"/>
    </row>
    <row r="231" spans="1:32" ht="12" customHeight="1">
      <c r="A231" s="44" t="s">
        <v>205</v>
      </c>
      <c r="B231" s="2"/>
      <c r="C231" s="10"/>
      <c r="D231" s="10"/>
      <c r="E231" s="10"/>
      <c r="F231" s="4" t="s">
        <v>206</v>
      </c>
      <c r="G231" s="4" t="s">
        <v>207</v>
      </c>
      <c r="H231" s="4" t="s">
        <v>208</v>
      </c>
      <c r="I231" s="4" t="s">
        <v>209</v>
      </c>
      <c r="J231" s="4" t="s">
        <v>210</v>
      </c>
      <c r="K231" s="4" t="s">
        <v>211</v>
      </c>
      <c r="L231" s="3"/>
      <c r="M231" s="13"/>
      <c r="N231" s="17"/>
      <c r="O231" s="5"/>
      <c r="P231" s="5"/>
      <c r="Q231" s="5"/>
      <c r="R231" s="5"/>
      <c r="S231" s="5"/>
      <c r="T231" s="5"/>
      <c r="U231" s="5"/>
      <c r="V231" s="5"/>
      <c r="W231" s="5"/>
      <c r="X231" s="5"/>
      <c r="Y231" s="5"/>
      <c r="Z231" s="5"/>
      <c r="AA231" s="5"/>
      <c r="AB231" s="5"/>
      <c r="AC231" s="5"/>
      <c r="AD231" s="5"/>
      <c r="AE231" s="5"/>
      <c r="AF231" s="5"/>
    </row>
    <row r="232" spans="1:32" ht="12" customHeight="1">
      <c r="A232" s="14" t="s">
        <v>255</v>
      </c>
      <c r="B232" s="5"/>
      <c r="C232" s="5"/>
      <c r="D232" s="5"/>
      <c r="E232" s="5"/>
      <c r="F232" s="45" t="s">
        <v>213</v>
      </c>
      <c r="G232" s="45" t="s">
        <v>214</v>
      </c>
      <c r="H232" s="45" t="s">
        <v>215</v>
      </c>
      <c r="I232" s="45" t="s">
        <v>216</v>
      </c>
      <c r="J232" s="45" t="s">
        <v>217</v>
      </c>
      <c r="K232" s="45" t="s">
        <v>218</v>
      </c>
      <c r="L232" s="45" t="s">
        <v>219</v>
      </c>
      <c r="M232" s="13"/>
      <c r="N232" s="17"/>
      <c r="O232" s="5"/>
      <c r="P232" s="5"/>
      <c r="Q232" s="5"/>
      <c r="R232" s="5"/>
      <c r="S232" s="5"/>
      <c r="T232" s="5"/>
      <c r="U232" s="5"/>
      <c r="V232" s="5"/>
      <c r="W232" s="5"/>
      <c r="X232" s="5"/>
      <c r="Y232" s="5"/>
      <c r="Z232" s="5"/>
      <c r="AA232" s="5"/>
      <c r="AB232" s="5"/>
      <c r="AC232" s="5"/>
      <c r="AD232" s="5"/>
      <c r="AE232" s="5"/>
      <c r="AF232" s="5"/>
    </row>
    <row r="233" spans="1:32" ht="12" customHeight="1">
      <c r="A233" s="33" t="s">
        <v>256</v>
      </c>
      <c r="B233" s="5"/>
      <c r="C233" s="5"/>
      <c r="D233" s="5"/>
      <c r="E233" s="5"/>
      <c r="F233" s="15" t="s">
        <v>31</v>
      </c>
      <c r="G233" s="15" t="s">
        <v>31</v>
      </c>
      <c r="H233" s="15" t="s">
        <v>31</v>
      </c>
      <c r="I233" s="15" t="s">
        <v>31</v>
      </c>
      <c r="J233" s="15" t="s">
        <v>31</v>
      </c>
      <c r="K233" s="15" t="s">
        <v>31</v>
      </c>
      <c r="L233" s="15" t="s">
        <v>31</v>
      </c>
      <c r="M233" s="13"/>
      <c r="N233" s="17"/>
      <c r="O233" s="5"/>
      <c r="P233" s="5"/>
      <c r="Q233" s="5"/>
      <c r="R233" s="5"/>
      <c r="S233" s="5"/>
      <c r="T233" s="5"/>
      <c r="U233" s="5"/>
      <c r="V233" s="5"/>
      <c r="W233" s="5"/>
      <c r="X233" s="5"/>
      <c r="Y233" s="5"/>
      <c r="Z233" s="5"/>
      <c r="AA233" s="5"/>
      <c r="AB233" s="5"/>
      <c r="AC233" s="5"/>
      <c r="AD233" s="5"/>
      <c r="AE233" s="5"/>
      <c r="AF233" s="5"/>
    </row>
    <row r="234" spans="1:32" ht="12" customHeight="1">
      <c r="A234" s="1" t="s">
        <v>221</v>
      </c>
      <c r="B234" s="2" t="s">
        <v>257</v>
      </c>
      <c r="C234" s="2" t="s">
        <v>223</v>
      </c>
      <c r="D234" s="2" t="s">
        <v>224</v>
      </c>
      <c r="E234" s="8">
        <v>1100</v>
      </c>
      <c r="F234" s="16"/>
      <c r="G234" s="16"/>
      <c r="H234" s="16">
        <v>525447</v>
      </c>
      <c r="I234" s="16"/>
      <c r="J234" s="16"/>
      <c r="K234" s="16"/>
      <c r="L234" s="3">
        <f t="shared" ref="L234:L237" si="26">SUM(F234:K234)</f>
        <v>525447</v>
      </c>
      <c r="M234" s="13"/>
      <c r="N234" s="17"/>
      <c r="O234" s="5"/>
      <c r="P234" s="5"/>
      <c r="Q234" s="5"/>
      <c r="R234" s="5"/>
      <c r="S234" s="5"/>
      <c r="T234" s="5"/>
      <c r="U234" s="5"/>
      <c r="V234" s="5"/>
      <c r="W234" s="5"/>
      <c r="X234" s="5"/>
      <c r="Y234" s="5"/>
      <c r="Z234" s="5"/>
      <c r="AA234" s="5"/>
      <c r="AB234" s="5"/>
      <c r="AC234" s="5"/>
      <c r="AD234" s="5"/>
      <c r="AE234" s="5"/>
      <c r="AF234" s="5"/>
    </row>
    <row r="235" spans="1:32" ht="12" customHeight="1">
      <c r="A235" s="1" t="s">
        <v>225</v>
      </c>
      <c r="B235" s="2" t="s">
        <v>257</v>
      </c>
      <c r="C235" s="2" t="s">
        <v>226</v>
      </c>
      <c r="D235" s="2" t="s">
        <v>224</v>
      </c>
      <c r="E235" s="8">
        <v>1200</v>
      </c>
      <c r="F235" s="16"/>
      <c r="G235" s="16"/>
      <c r="H235" s="16">
        <v>10629.75</v>
      </c>
      <c r="I235" s="16"/>
      <c r="J235" s="16"/>
      <c r="K235" s="16"/>
      <c r="L235" s="3">
        <f t="shared" si="26"/>
        <v>10629.75</v>
      </c>
      <c r="M235" s="13"/>
      <c r="N235" s="17"/>
      <c r="O235" s="5"/>
      <c r="P235" s="5"/>
      <c r="Q235" s="5"/>
      <c r="R235" s="5"/>
      <c r="S235" s="5"/>
      <c r="T235" s="5"/>
      <c r="U235" s="5"/>
      <c r="V235" s="5"/>
      <c r="W235" s="5"/>
      <c r="X235" s="5"/>
      <c r="Y235" s="5"/>
      <c r="Z235" s="5"/>
      <c r="AA235" s="5"/>
      <c r="AB235" s="5"/>
      <c r="AC235" s="5"/>
      <c r="AD235" s="5"/>
      <c r="AE235" s="5"/>
      <c r="AF235" s="5"/>
    </row>
    <row r="236" spans="1:32" ht="12" customHeight="1">
      <c r="A236" s="1" t="s">
        <v>227</v>
      </c>
      <c r="B236" s="2" t="s">
        <v>257</v>
      </c>
      <c r="C236" s="2" t="s">
        <v>228</v>
      </c>
      <c r="D236" s="2" t="s">
        <v>224</v>
      </c>
      <c r="E236" s="8">
        <v>1300</v>
      </c>
      <c r="F236" s="16"/>
      <c r="G236" s="16"/>
      <c r="H236" s="16"/>
      <c r="I236" s="16"/>
      <c r="J236" s="16"/>
      <c r="K236" s="16"/>
      <c r="L236" s="3">
        <f t="shared" si="26"/>
        <v>0</v>
      </c>
      <c r="M236" s="13"/>
      <c r="N236" s="17"/>
      <c r="O236" s="5"/>
      <c r="P236" s="5"/>
      <c r="Q236" s="5"/>
      <c r="R236" s="5"/>
      <c r="S236" s="5"/>
      <c r="T236" s="5"/>
      <c r="U236" s="5"/>
      <c r="V236" s="5"/>
      <c r="W236" s="5"/>
      <c r="X236" s="5"/>
      <c r="Y236" s="5"/>
      <c r="Z236" s="5"/>
      <c r="AA236" s="5"/>
      <c r="AB236" s="5"/>
      <c r="AC236" s="5"/>
      <c r="AD236" s="5"/>
      <c r="AE236" s="5"/>
      <c r="AF236" s="5"/>
    </row>
    <row r="237" spans="1:32" ht="12" customHeight="1">
      <c r="A237" s="1" t="s">
        <v>229</v>
      </c>
      <c r="B237" s="2" t="s">
        <v>257</v>
      </c>
      <c r="C237" s="2" t="s">
        <v>230</v>
      </c>
      <c r="D237" s="2" t="s">
        <v>224</v>
      </c>
      <c r="E237" s="8">
        <v>1400</v>
      </c>
      <c r="F237" s="16"/>
      <c r="G237" s="16"/>
      <c r="H237" s="16"/>
      <c r="I237" s="16"/>
      <c r="J237" s="16"/>
      <c r="K237" s="16"/>
      <c r="L237" s="3">
        <f t="shared" si="26"/>
        <v>0</v>
      </c>
      <c r="M237" s="13"/>
      <c r="N237" s="17"/>
      <c r="O237" s="5"/>
      <c r="P237" s="5"/>
      <c r="Q237" s="5"/>
      <c r="R237" s="5"/>
      <c r="S237" s="5"/>
      <c r="T237" s="5"/>
      <c r="U237" s="5"/>
      <c r="V237" s="5"/>
      <c r="W237" s="5"/>
      <c r="X237" s="5"/>
      <c r="Y237" s="5"/>
      <c r="Z237" s="5"/>
      <c r="AA237" s="5"/>
      <c r="AB237" s="5"/>
      <c r="AC237" s="5"/>
      <c r="AD237" s="5"/>
      <c r="AE237" s="5"/>
      <c r="AF237" s="5"/>
    </row>
    <row r="238" spans="1:32" ht="12" customHeight="1">
      <c r="A238" s="33" t="s">
        <v>231</v>
      </c>
      <c r="B238" s="5"/>
      <c r="C238" s="10"/>
      <c r="D238" s="5"/>
      <c r="E238" s="8"/>
      <c r="F238" s="15" t="s">
        <v>31</v>
      </c>
      <c r="G238" s="15" t="s">
        <v>31</v>
      </c>
      <c r="H238" s="15" t="s">
        <v>31</v>
      </c>
      <c r="I238" s="15" t="s">
        <v>31</v>
      </c>
      <c r="J238" s="15" t="s">
        <v>31</v>
      </c>
      <c r="K238" s="15" t="s">
        <v>31</v>
      </c>
      <c r="L238" s="15" t="s">
        <v>31</v>
      </c>
      <c r="M238" s="13"/>
      <c r="N238" s="17"/>
      <c r="O238" s="5"/>
      <c r="P238" s="5"/>
      <c r="Q238" s="5"/>
      <c r="R238" s="5"/>
      <c r="S238" s="5"/>
      <c r="T238" s="5"/>
      <c r="U238" s="5"/>
      <c r="V238" s="5"/>
      <c r="W238" s="5"/>
      <c r="X238" s="5"/>
      <c r="Y238" s="5"/>
      <c r="Z238" s="5"/>
      <c r="AA238" s="5"/>
      <c r="AB238" s="5"/>
      <c r="AC238" s="5"/>
      <c r="AD238" s="5"/>
      <c r="AE238" s="5"/>
      <c r="AF238" s="5"/>
    </row>
    <row r="239" spans="1:32" ht="12" customHeight="1">
      <c r="A239" s="1" t="s">
        <v>232</v>
      </c>
      <c r="B239" s="2" t="s">
        <v>257</v>
      </c>
      <c r="C239" s="2" t="s">
        <v>233</v>
      </c>
      <c r="D239" s="2" t="s">
        <v>224</v>
      </c>
      <c r="E239" s="8">
        <v>2100</v>
      </c>
      <c r="F239" s="16"/>
      <c r="G239" s="16"/>
      <c r="H239" s="16"/>
      <c r="I239" s="16"/>
      <c r="J239" s="16"/>
      <c r="K239" s="16"/>
      <c r="L239" s="3">
        <f t="shared" ref="L239:L246" si="27">SUM(F239:K239)</f>
        <v>0</v>
      </c>
      <c r="M239" s="13"/>
      <c r="N239" s="17"/>
      <c r="O239" s="5"/>
      <c r="P239" s="5"/>
      <c r="Q239" s="5"/>
      <c r="R239" s="5"/>
      <c r="S239" s="5"/>
      <c r="T239" s="5"/>
      <c r="U239" s="5"/>
      <c r="V239" s="5"/>
      <c r="W239" s="5"/>
      <c r="X239" s="5"/>
      <c r="Y239" s="5"/>
      <c r="Z239" s="5"/>
      <c r="AA239" s="5"/>
      <c r="AB239" s="5"/>
      <c r="AC239" s="5"/>
      <c r="AD239" s="5"/>
      <c r="AE239" s="5"/>
      <c r="AF239" s="5"/>
    </row>
    <row r="240" spans="1:32" ht="12" customHeight="1">
      <c r="A240" s="1" t="s">
        <v>234</v>
      </c>
      <c r="B240" s="2" t="s">
        <v>257</v>
      </c>
      <c r="C240" s="2" t="s">
        <v>235</v>
      </c>
      <c r="D240" s="2" t="s">
        <v>224</v>
      </c>
      <c r="E240" s="8">
        <v>2200</v>
      </c>
      <c r="F240" s="16"/>
      <c r="G240" s="16"/>
      <c r="H240" s="16"/>
      <c r="I240" s="16"/>
      <c r="J240" s="16"/>
      <c r="K240" s="16"/>
      <c r="L240" s="3">
        <f t="shared" si="27"/>
        <v>0</v>
      </c>
      <c r="M240" s="13"/>
      <c r="N240" s="17"/>
      <c r="O240" s="5"/>
      <c r="P240" s="5"/>
      <c r="Q240" s="5"/>
      <c r="R240" s="5"/>
      <c r="S240" s="5"/>
      <c r="T240" s="5"/>
      <c r="U240" s="5"/>
      <c r="V240" s="5"/>
      <c r="W240" s="5"/>
      <c r="X240" s="5"/>
      <c r="Y240" s="5"/>
      <c r="Z240" s="5"/>
      <c r="AA240" s="5"/>
      <c r="AB240" s="5"/>
      <c r="AC240" s="5"/>
      <c r="AD240" s="5"/>
      <c r="AE240" s="5"/>
      <c r="AF240" s="5"/>
    </row>
    <row r="241" spans="1:32" ht="12" customHeight="1">
      <c r="A241" s="1" t="s">
        <v>236</v>
      </c>
      <c r="B241" s="2" t="s">
        <v>257</v>
      </c>
      <c r="C241" s="2" t="s">
        <v>237</v>
      </c>
      <c r="D241" s="2" t="s">
        <v>224</v>
      </c>
      <c r="E241" s="8">
        <v>2300</v>
      </c>
      <c r="F241" s="16"/>
      <c r="G241" s="16"/>
      <c r="H241" s="16"/>
      <c r="I241" s="16"/>
      <c r="J241" s="16"/>
      <c r="K241" s="16"/>
      <c r="L241" s="3">
        <f t="shared" si="27"/>
        <v>0</v>
      </c>
      <c r="M241" s="13"/>
      <c r="N241" s="17"/>
      <c r="O241" s="5"/>
      <c r="P241" s="5"/>
      <c r="Q241" s="5"/>
      <c r="R241" s="5"/>
      <c r="S241" s="5"/>
      <c r="T241" s="5"/>
      <c r="U241" s="5"/>
      <c r="V241" s="5"/>
      <c r="W241" s="5"/>
      <c r="X241" s="5"/>
      <c r="Y241" s="5"/>
      <c r="Z241" s="5"/>
      <c r="AA241" s="5"/>
      <c r="AB241" s="5"/>
      <c r="AC241" s="5"/>
      <c r="AD241" s="5"/>
      <c r="AE241" s="5"/>
      <c r="AF241" s="5"/>
    </row>
    <row r="242" spans="1:32" ht="12" customHeight="1">
      <c r="A242" s="1" t="s">
        <v>238</v>
      </c>
      <c r="B242" s="2" t="s">
        <v>257</v>
      </c>
      <c r="C242" s="2" t="s">
        <v>239</v>
      </c>
      <c r="D242" s="2" t="s">
        <v>224</v>
      </c>
      <c r="E242" s="8">
        <v>2400</v>
      </c>
      <c r="F242" s="16"/>
      <c r="G242" s="16"/>
      <c r="H242" s="16"/>
      <c r="I242" s="16"/>
      <c r="J242" s="16"/>
      <c r="K242" s="16"/>
      <c r="L242" s="3">
        <f t="shared" si="27"/>
        <v>0</v>
      </c>
      <c r="M242" s="13"/>
      <c r="N242" s="17"/>
      <c r="O242" s="5"/>
      <c r="P242" s="5"/>
      <c r="Q242" s="5"/>
      <c r="R242" s="5"/>
      <c r="S242" s="5"/>
      <c r="T242" s="5"/>
      <c r="U242" s="5"/>
      <c r="V242" s="5"/>
      <c r="W242" s="5"/>
      <c r="X242" s="5"/>
      <c r="Y242" s="5"/>
      <c r="Z242" s="5"/>
      <c r="AA242" s="5"/>
      <c r="AB242" s="5"/>
      <c r="AC242" s="5"/>
      <c r="AD242" s="5"/>
      <c r="AE242" s="5"/>
      <c r="AF242" s="5"/>
    </row>
    <row r="243" spans="1:32" ht="12" customHeight="1">
      <c r="A243" s="1" t="s">
        <v>240</v>
      </c>
      <c r="B243" s="2" t="s">
        <v>257</v>
      </c>
      <c r="C243" s="2" t="s">
        <v>241</v>
      </c>
      <c r="D243" s="2" t="s">
        <v>224</v>
      </c>
      <c r="E243" s="8">
        <v>2500</v>
      </c>
      <c r="F243" s="16"/>
      <c r="G243" s="16"/>
      <c r="H243" s="16"/>
      <c r="I243" s="16"/>
      <c r="J243" s="16"/>
      <c r="K243" s="16"/>
      <c r="L243" s="3">
        <f t="shared" si="27"/>
        <v>0</v>
      </c>
      <c r="M243" s="13"/>
      <c r="N243" s="17"/>
      <c r="O243" s="5"/>
      <c r="P243" s="5"/>
      <c r="Q243" s="5"/>
      <c r="R243" s="5"/>
      <c r="S243" s="5"/>
      <c r="T243" s="5"/>
      <c r="U243" s="5"/>
      <c r="V243" s="5"/>
      <c r="W243" s="5"/>
      <c r="X243" s="5"/>
      <c r="Y243" s="5"/>
      <c r="Z243" s="5"/>
      <c r="AA243" s="5"/>
      <c r="AB243" s="5"/>
      <c r="AC243" s="5"/>
      <c r="AD243" s="5"/>
      <c r="AE243" s="5"/>
      <c r="AF243" s="5"/>
    </row>
    <row r="244" spans="1:32" ht="12" customHeight="1">
      <c r="A244" s="1" t="s">
        <v>242</v>
      </c>
      <c r="B244" s="2" t="s">
        <v>257</v>
      </c>
      <c r="C244" s="2" t="s">
        <v>243</v>
      </c>
      <c r="D244" s="2" t="s">
        <v>224</v>
      </c>
      <c r="E244" s="8">
        <v>2600</v>
      </c>
      <c r="F244" s="16"/>
      <c r="G244" s="16"/>
      <c r="H244" s="16"/>
      <c r="I244" s="16"/>
      <c r="J244" s="16"/>
      <c r="K244" s="16"/>
      <c r="L244" s="3">
        <f t="shared" si="27"/>
        <v>0</v>
      </c>
      <c r="M244" s="13"/>
      <c r="N244" s="17"/>
      <c r="O244" s="5"/>
      <c r="P244" s="5"/>
      <c r="Q244" s="5"/>
      <c r="R244" s="5"/>
      <c r="S244" s="5"/>
      <c r="T244" s="5"/>
      <c r="U244" s="5"/>
      <c r="V244" s="5"/>
      <c r="W244" s="5"/>
      <c r="X244" s="5"/>
      <c r="Y244" s="5"/>
      <c r="Z244" s="5"/>
      <c r="AA244" s="5"/>
      <c r="AB244" s="5"/>
      <c r="AC244" s="5"/>
      <c r="AD244" s="5"/>
      <c r="AE244" s="5"/>
      <c r="AF244" s="5"/>
    </row>
    <row r="245" spans="1:32" ht="12" customHeight="1">
      <c r="A245" s="1" t="s">
        <v>244</v>
      </c>
      <c r="B245" s="2" t="s">
        <v>257</v>
      </c>
      <c r="C245" s="2" t="s">
        <v>245</v>
      </c>
      <c r="D245" s="2" t="s">
        <v>224</v>
      </c>
      <c r="E245" s="8">
        <v>2700</v>
      </c>
      <c r="F245" s="16"/>
      <c r="G245" s="16"/>
      <c r="H245" s="16">
        <f>33315</f>
        <v>33315</v>
      </c>
      <c r="I245" s="16"/>
      <c r="J245" s="16"/>
      <c r="K245" s="16"/>
      <c r="L245" s="3">
        <f t="shared" si="27"/>
        <v>33315</v>
      </c>
      <c r="M245" s="13"/>
      <c r="N245" s="17"/>
      <c r="O245" s="5"/>
      <c r="P245" s="5"/>
      <c r="Q245" s="5"/>
      <c r="R245" s="5"/>
      <c r="S245" s="5"/>
      <c r="T245" s="5"/>
      <c r="U245" s="5"/>
      <c r="V245" s="5"/>
      <c r="W245" s="5"/>
      <c r="X245" s="5"/>
      <c r="Y245" s="5"/>
      <c r="Z245" s="5"/>
      <c r="AA245" s="5"/>
      <c r="AB245" s="5"/>
      <c r="AC245" s="5"/>
      <c r="AD245" s="5"/>
      <c r="AE245" s="5"/>
      <c r="AF245" s="5"/>
    </row>
    <row r="246" spans="1:32" ht="12" customHeight="1">
      <c r="A246" s="1" t="s">
        <v>246</v>
      </c>
      <c r="B246" s="2" t="s">
        <v>257</v>
      </c>
      <c r="C246" s="2" t="s">
        <v>247</v>
      </c>
      <c r="D246" s="2" t="s">
        <v>224</v>
      </c>
      <c r="E246" s="8">
        <v>2800</v>
      </c>
      <c r="F246" s="16"/>
      <c r="G246" s="16"/>
      <c r="H246" s="16"/>
      <c r="I246" s="16"/>
      <c r="J246" s="16"/>
      <c r="K246" s="16"/>
      <c r="L246" s="3">
        <f t="shared" si="27"/>
        <v>0</v>
      </c>
      <c r="M246" s="13"/>
      <c r="N246" s="17"/>
      <c r="O246" s="5"/>
      <c r="P246" s="5"/>
      <c r="Q246" s="5"/>
      <c r="R246" s="5"/>
      <c r="S246" s="5"/>
      <c r="T246" s="5"/>
      <c r="U246" s="5"/>
      <c r="V246" s="5"/>
      <c r="W246" s="5"/>
      <c r="X246" s="5"/>
      <c r="Y246" s="5"/>
      <c r="Z246" s="5"/>
      <c r="AA246" s="5"/>
      <c r="AB246" s="5"/>
      <c r="AC246" s="5"/>
      <c r="AD246" s="5"/>
      <c r="AE246" s="5"/>
      <c r="AF246" s="5"/>
    </row>
    <row r="247" spans="1:32" ht="12" customHeight="1">
      <c r="A247" s="1" t="s">
        <v>248</v>
      </c>
      <c r="B247" s="2" t="s">
        <v>257</v>
      </c>
      <c r="C247" s="2" t="s">
        <v>249</v>
      </c>
      <c r="D247" s="2" t="s">
        <v>224</v>
      </c>
      <c r="E247" s="8">
        <v>2900</v>
      </c>
      <c r="F247" s="15" t="s">
        <v>31</v>
      </c>
      <c r="G247" s="15" t="s">
        <v>31</v>
      </c>
      <c r="H247" s="15" t="s">
        <v>31</v>
      </c>
      <c r="I247" s="15" t="s">
        <v>31</v>
      </c>
      <c r="J247" s="15" t="s">
        <v>31</v>
      </c>
      <c r="K247" s="15" t="s">
        <v>31</v>
      </c>
      <c r="L247" s="15" t="s">
        <v>31</v>
      </c>
      <c r="M247" s="13"/>
      <c r="N247" s="17"/>
      <c r="O247" s="5"/>
      <c r="P247" s="5"/>
      <c r="Q247" s="5"/>
      <c r="R247" s="5"/>
      <c r="S247" s="5"/>
      <c r="T247" s="5"/>
      <c r="U247" s="5"/>
      <c r="V247" s="5"/>
      <c r="W247" s="5"/>
      <c r="X247" s="5"/>
      <c r="Y247" s="5"/>
      <c r="Z247" s="5"/>
      <c r="AA247" s="5"/>
      <c r="AB247" s="5"/>
      <c r="AC247" s="5"/>
      <c r="AD247" s="5"/>
      <c r="AE247" s="5"/>
      <c r="AF247" s="5"/>
    </row>
    <row r="248" spans="1:32" ht="12" customHeight="1">
      <c r="A248" s="19" t="s">
        <v>258</v>
      </c>
      <c r="B248" s="20" t="s">
        <v>257</v>
      </c>
      <c r="C248" s="21">
        <v>14</v>
      </c>
      <c r="D248" s="20" t="s">
        <v>224</v>
      </c>
      <c r="E248" s="21"/>
      <c r="F248" s="22">
        <f t="shared" ref="F248:L248" si="28">SUM(F234:F247)</f>
        <v>0</v>
      </c>
      <c r="G248" s="22">
        <f t="shared" si="28"/>
        <v>0</v>
      </c>
      <c r="H248" s="22">
        <f t="shared" si="28"/>
        <v>569391.75</v>
      </c>
      <c r="I248" s="22">
        <f t="shared" si="28"/>
        <v>0</v>
      </c>
      <c r="J248" s="22">
        <f t="shared" si="28"/>
        <v>0</v>
      </c>
      <c r="K248" s="22">
        <f t="shared" si="28"/>
        <v>0</v>
      </c>
      <c r="L248" s="22">
        <f t="shared" si="28"/>
        <v>569391.75</v>
      </c>
      <c r="M248" s="13"/>
      <c r="N248" s="17"/>
      <c r="O248" s="5"/>
      <c r="P248" s="5"/>
      <c r="Q248" s="5"/>
      <c r="R248" s="5"/>
      <c r="S248" s="5"/>
      <c r="T248" s="5"/>
      <c r="U248" s="5"/>
      <c r="V248" s="5"/>
      <c r="W248" s="5"/>
      <c r="X248" s="5"/>
      <c r="Y248" s="5"/>
      <c r="Z248" s="5"/>
      <c r="AA248" s="5"/>
      <c r="AB248" s="5"/>
      <c r="AC248" s="5"/>
      <c r="AD248" s="5"/>
      <c r="AE248" s="5"/>
      <c r="AF248" s="5"/>
    </row>
    <row r="249" spans="1:32" ht="12" customHeight="1">
      <c r="A249" s="14"/>
      <c r="B249" s="2"/>
      <c r="C249" s="8"/>
      <c r="D249" s="8"/>
      <c r="E249" s="8"/>
      <c r="F249" s="4" t="s">
        <v>206</v>
      </c>
      <c r="G249" s="4" t="s">
        <v>207</v>
      </c>
      <c r="H249" s="4" t="s">
        <v>208</v>
      </c>
      <c r="I249" s="4" t="s">
        <v>209</v>
      </c>
      <c r="J249" s="4" t="s">
        <v>210</v>
      </c>
      <c r="K249" s="4" t="s">
        <v>211</v>
      </c>
      <c r="L249" s="3"/>
      <c r="M249" s="13"/>
      <c r="N249" s="17"/>
      <c r="O249" s="5"/>
      <c r="P249" s="5"/>
      <c r="Q249" s="5"/>
      <c r="R249" s="5"/>
      <c r="S249" s="5"/>
      <c r="T249" s="5"/>
      <c r="U249" s="5"/>
      <c r="V249" s="5"/>
      <c r="W249" s="5"/>
      <c r="X249" s="5"/>
      <c r="Y249" s="5"/>
      <c r="Z249" s="5"/>
      <c r="AA249" s="5"/>
      <c r="AB249" s="5"/>
      <c r="AC249" s="5"/>
      <c r="AD249" s="5"/>
      <c r="AE249" s="5"/>
      <c r="AF249" s="5"/>
    </row>
    <row r="250" spans="1:32" ht="12" customHeight="1">
      <c r="A250" s="14" t="s">
        <v>259</v>
      </c>
      <c r="B250" s="11"/>
      <c r="C250" s="11"/>
      <c r="D250" s="11"/>
      <c r="E250" s="11"/>
      <c r="F250" s="45" t="s">
        <v>213</v>
      </c>
      <c r="G250" s="45" t="s">
        <v>214</v>
      </c>
      <c r="H250" s="45" t="s">
        <v>215</v>
      </c>
      <c r="I250" s="45" t="s">
        <v>216</v>
      </c>
      <c r="J250" s="45" t="s">
        <v>217</v>
      </c>
      <c r="K250" s="45" t="s">
        <v>218</v>
      </c>
      <c r="L250" s="45" t="s">
        <v>219</v>
      </c>
      <c r="M250" s="13"/>
      <c r="N250" s="17"/>
      <c r="O250" s="5"/>
      <c r="P250" s="5"/>
      <c r="Q250" s="5"/>
      <c r="R250" s="5"/>
      <c r="S250" s="5"/>
      <c r="T250" s="5"/>
      <c r="U250" s="5"/>
      <c r="V250" s="5"/>
      <c r="W250" s="5"/>
      <c r="X250" s="5"/>
      <c r="Y250" s="5"/>
      <c r="Z250" s="5"/>
      <c r="AA250" s="5"/>
      <c r="AB250" s="5"/>
      <c r="AC250" s="5"/>
      <c r="AD250" s="5"/>
      <c r="AE250" s="5"/>
      <c r="AF250" s="5"/>
    </row>
    <row r="251" spans="1:32" ht="12" customHeight="1">
      <c r="A251" s="1" t="s">
        <v>260</v>
      </c>
      <c r="B251" s="2" t="s">
        <v>261</v>
      </c>
      <c r="C251" s="2" t="s">
        <v>33</v>
      </c>
      <c r="D251" s="2" t="s">
        <v>224</v>
      </c>
      <c r="E251" s="8">
        <v>1500</v>
      </c>
      <c r="F251" s="16"/>
      <c r="G251" s="16"/>
      <c r="H251" s="16"/>
      <c r="I251" s="16"/>
      <c r="J251" s="16"/>
      <c r="K251" s="16"/>
      <c r="L251" s="3">
        <f t="shared" ref="L251:L257" si="29">SUM(F251:K251)</f>
        <v>0</v>
      </c>
      <c r="M251" s="13"/>
      <c r="N251" s="17"/>
      <c r="O251" s="5"/>
      <c r="P251" s="5"/>
      <c r="Q251" s="5"/>
      <c r="R251" s="5"/>
      <c r="S251" s="5"/>
      <c r="T251" s="5"/>
      <c r="U251" s="5"/>
      <c r="V251" s="5"/>
      <c r="W251" s="5"/>
      <c r="X251" s="5"/>
      <c r="Y251" s="5"/>
      <c r="Z251" s="5"/>
      <c r="AA251" s="5"/>
      <c r="AB251" s="5"/>
      <c r="AC251" s="5"/>
      <c r="AD251" s="5"/>
      <c r="AE251" s="5"/>
      <c r="AF251" s="5"/>
    </row>
    <row r="252" spans="1:32" ht="12" customHeight="1">
      <c r="A252" s="1" t="s">
        <v>262</v>
      </c>
      <c r="B252" s="2" t="s">
        <v>261</v>
      </c>
      <c r="C252" s="2" t="s">
        <v>86</v>
      </c>
      <c r="D252" s="2" t="s">
        <v>224</v>
      </c>
      <c r="E252" s="8">
        <v>1600</v>
      </c>
      <c r="F252" s="16"/>
      <c r="G252" s="16"/>
      <c r="H252" s="16"/>
      <c r="I252" s="16"/>
      <c r="J252" s="16"/>
      <c r="K252" s="16"/>
      <c r="L252" s="3">
        <f t="shared" si="29"/>
        <v>0</v>
      </c>
      <c r="M252" s="13"/>
      <c r="N252" s="17"/>
      <c r="O252" s="5"/>
      <c r="P252" s="5"/>
      <c r="Q252" s="5"/>
      <c r="R252" s="5"/>
      <c r="S252" s="5"/>
      <c r="T252" s="5"/>
      <c r="U252" s="5"/>
      <c r="V252" s="5"/>
      <c r="W252" s="5"/>
      <c r="X252" s="5"/>
      <c r="Y252" s="5"/>
      <c r="Z252" s="5"/>
      <c r="AA252" s="5"/>
      <c r="AB252" s="5"/>
      <c r="AC252" s="5"/>
      <c r="AD252" s="5"/>
      <c r="AE252" s="5"/>
      <c r="AF252" s="5"/>
    </row>
    <row r="253" spans="1:32" ht="12" customHeight="1">
      <c r="A253" s="1" t="s">
        <v>263</v>
      </c>
      <c r="B253" s="2" t="s">
        <v>261</v>
      </c>
      <c r="C253" s="2" t="s">
        <v>106</v>
      </c>
      <c r="D253" s="2" t="s">
        <v>224</v>
      </c>
      <c r="E253" s="8">
        <v>1700</v>
      </c>
      <c r="F253" s="16"/>
      <c r="G253" s="16"/>
      <c r="H253" s="16"/>
      <c r="I253" s="16"/>
      <c r="J253" s="16"/>
      <c r="K253" s="16"/>
      <c r="L253" s="3">
        <f t="shared" si="29"/>
        <v>0</v>
      </c>
      <c r="M253" s="13"/>
      <c r="N253" s="17"/>
      <c r="O253" s="5"/>
      <c r="P253" s="5"/>
      <c r="Q253" s="5"/>
      <c r="R253" s="5"/>
      <c r="S253" s="5"/>
      <c r="T253" s="5"/>
      <c r="U253" s="5"/>
      <c r="V253" s="5"/>
      <c r="W253" s="5"/>
      <c r="X253" s="5"/>
      <c r="Y253" s="5"/>
      <c r="Z253" s="5"/>
      <c r="AA253" s="5"/>
      <c r="AB253" s="5"/>
      <c r="AC253" s="5"/>
      <c r="AD253" s="5"/>
      <c r="AE253" s="5"/>
      <c r="AF253" s="5"/>
    </row>
    <row r="254" spans="1:32" ht="12" customHeight="1">
      <c r="A254" s="1" t="s">
        <v>264</v>
      </c>
      <c r="B254" s="2" t="s">
        <v>261</v>
      </c>
      <c r="C254" s="2" t="s">
        <v>132</v>
      </c>
      <c r="D254" s="2" t="s">
        <v>224</v>
      </c>
      <c r="E254" s="8">
        <v>1800</v>
      </c>
      <c r="F254" s="16"/>
      <c r="G254" s="16"/>
      <c r="H254" s="16"/>
      <c r="I254" s="16"/>
      <c r="J254" s="16"/>
      <c r="K254" s="16"/>
      <c r="L254" s="3">
        <f t="shared" si="29"/>
        <v>0</v>
      </c>
      <c r="M254" s="13"/>
      <c r="N254" s="17"/>
      <c r="O254" s="5"/>
      <c r="P254" s="5"/>
      <c r="Q254" s="5"/>
      <c r="R254" s="5"/>
      <c r="S254" s="5"/>
      <c r="T254" s="5"/>
      <c r="U254" s="5"/>
      <c r="V254" s="5"/>
      <c r="W254" s="5"/>
      <c r="X254" s="5"/>
      <c r="Y254" s="5"/>
      <c r="Z254" s="5"/>
      <c r="AA254" s="5"/>
      <c r="AB254" s="5"/>
      <c r="AC254" s="5"/>
      <c r="AD254" s="5"/>
      <c r="AE254" s="5"/>
      <c r="AF254" s="5"/>
    </row>
    <row r="255" spans="1:32" ht="12" customHeight="1">
      <c r="A255" s="1" t="s">
        <v>265</v>
      </c>
      <c r="B255" s="2" t="s">
        <v>261</v>
      </c>
      <c r="C255" s="2" t="s">
        <v>156</v>
      </c>
      <c r="D255" s="2" t="s">
        <v>224</v>
      </c>
      <c r="E255" s="8">
        <v>2750</v>
      </c>
      <c r="F255" s="16"/>
      <c r="G255" s="16"/>
      <c r="H255" s="16"/>
      <c r="I255" s="16"/>
      <c r="J255" s="16"/>
      <c r="K255" s="16"/>
      <c r="L255" s="3">
        <f t="shared" si="29"/>
        <v>0</v>
      </c>
      <c r="M255" s="13"/>
      <c r="N255" s="17"/>
      <c r="O255" s="5"/>
      <c r="P255" s="5"/>
      <c r="Q255" s="5"/>
      <c r="R255" s="5"/>
      <c r="S255" s="5"/>
      <c r="T255" s="5"/>
      <c r="U255" s="5"/>
      <c r="V255" s="5"/>
      <c r="W255" s="5"/>
      <c r="X255" s="5"/>
      <c r="Y255" s="5"/>
      <c r="Z255" s="5"/>
      <c r="AA255" s="5"/>
      <c r="AB255" s="5"/>
      <c r="AC255" s="5"/>
      <c r="AD255" s="5"/>
      <c r="AE255" s="5"/>
      <c r="AF255" s="5"/>
    </row>
    <row r="256" spans="1:32" ht="12" customHeight="1">
      <c r="A256" s="1" t="s">
        <v>266</v>
      </c>
      <c r="B256" s="2" t="s">
        <v>261</v>
      </c>
      <c r="C256" s="8">
        <v>6</v>
      </c>
      <c r="D256" s="2" t="s">
        <v>224</v>
      </c>
      <c r="E256" s="8">
        <v>4000</v>
      </c>
      <c r="F256" s="16"/>
      <c r="G256" s="16"/>
      <c r="H256" s="16"/>
      <c r="I256" s="16"/>
      <c r="J256" s="16"/>
      <c r="K256" s="16"/>
      <c r="L256" s="3">
        <f t="shared" si="29"/>
        <v>0</v>
      </c>
      <c r="M256" s="13"/>
      <c r="N256" s="17"/>
      <c r="O256" s="5"/>
      <c r="P256" s="5"/>
      <c r="Q256" s="5"/>
      <c r="R256" s="5"/>
      <c r="S256" s="5"/>
      <c r="T256" s="5"/>
      <c r="U256" s="5"/>
      <c r="V256" s="5"/>
      <c r="W256" s="5"/>
      <c r="X256" s="5"/>
      <c r="Y256" s="5"/>
      <c r="Z256" s="5"/>
      <c r="AA256" s="5"/>
      <c r="AB256" s="5"/>
      <c r="AC256" s="5"/>
      <c r="AD256" s="5"/>
      <c r="AE256" s="5"/>
      <c r="AF256" s="5"/>
    </row>
    <row r="257" spans="1:32" ht="12" customHeight="1">
      <c r="A257" s="19" t="s">
        <v>267</v>
      </c>
      <c r="B257" s="21">
        <v>10</v>
      </c>
      <c r="C257" s="21">
        <v>7</v>
      </c>
      <c r="D257" s="20" t="s">
        <v>224</v>
      </c>
      <c r="E257" s="21"/>
      <c r="F257" s="22">
        <f t="shared" ref="F257:K257" si="30">SUM(F251:F256)</f>
        <v>0</v>
      </c>
      <c r="G257" s="22">
        <f t="shared" si="30"/>
        <v>0</v>
      </c>
      <c r="H257" s="22">
        <f t="shared" si="30"/>
        <v>0</v>
      </c>
      <c r="I257" s="22">
        <f t="shared" si="30"/>
        <v>0</v>
      </c>
      <c r="J257" s="22">
        <f t="shared" si="30"/>
        <v>0</v>
      </c>
      <c r="K257" s="22">
        <f t="shared" si="30"/>
        <v>0</v>
      </c>
      <c r="L257" s="22">
        <f t="shared" si="29"/>
        <v>0</v>
      </c>
      <c r="M257" s="13"/>
      <c r="N257" s="17"/>
      <c r="O257" s="5"/>
      <c r="P257" s="5"/>
      <c r="Q257" s="5"/>
      <c r="R257" s="5"/>
      <c r="S257" s="5"/>
      <c r="T257" s="5"/>
      <c r="U257" s="5"/>
      <c r="V257" s="5"/>
      <c r="W257" s="5"/>
      <c r="X257" s="5"/>
      <c r="Y257" s="5"/>
      <c r="Z257" s="5"/>
      <c r="AA257" s="5"/>
      <c r="AB257" s="5"/>
      <c r="AC257" s="5"/>
      <c r="AD257" s="5"/>
      <c r="AE257" s="5"/>
      <c r="AF257" s="5"/>
    </row>
    <row r="258" spans="1:32" ht="12" customHeight="1">
      <c r="A258" s="19" t="s">
        <v>268</v>
      </c>
      <c r="B258" s="21">
        <v>10</v>
      </c>
      <c r="C258" s="21">
        <v>8</v>
      </c>
      <c r="D258" s="20" t="s">
        <v>224</v>
      </c>
      <c r="E258" s="21"/>
      <c r="F258" s="22">
        <f t="shared" ref="F258:L258" si="31">F212+F230+F248+F257</f>
        <v>819605.39000000013</v>
      </c>
      <c r="G258" s="22">
        <f t="shared" si="31"/>
        <v>389985.53</v>
      </c>
      <c r="H258" s="22">
        <f t="shared" si="31"/>
        <v>1202096.97</v>
      </c>
      <c r="I258" s="22">
        <f t="shared" si="31"/>
        <v>108138.44</v>
      </c>
      <c r="J258" s="22">
        <f t="shared" si="31"/>
        <v>69053.62</v>
      </c>
      <c r="K258" s="22">
        <f t="shared" si="31"/>
        <v>11150.83</v>
      </c>
      <c r="L258" s="22">
        <f t="shared" si="31"/>
        <v>2600030.7800000003</v>
      </c>
      <c r="M258" s="13"/>
      <c r="N258" s="17"/>
      <c r="O258" s="5"/>
      <c r="P258" s="5"/>
      <c r="Q258" s="5"/>
      <c r="R258" s="5"/>
      <c r="S258" s="5"/>
      <c r="T258" s="5"/>
      <c r="U258" s="5"/>
      <c r="V258" s="5"/>
      <c r="W258" s="5"/>
      <c r="X258" s="5"/>
      <c r="Y258" s="5"/>
      <c r="Z258" s="5"/>
      <c r="AA258" s="5"/>
      <c r="AB258" s="5"/>
      <c r="AC258" s="5"/>
      <c r="AD258" s="5"/>
      <c r="AE258" s="5"/>
      <c r="AF258" s="5"/>
    </row>
    <row r="259" spans="1:32" ht="12" customHeight="1">
      <c r="A259" s="44" t="s">
        <v>269</v>
      </c>
      <c r="B259" s="5"/>
      <c r="C259" s="5"/>
      <c r="D259" s="5"/>
      <c r="E259" s="5"/>
      <c r="F259" s="3"/>
      <c r="G259" s="3"/>
      <c r="H259" s="3"/>
      <c r="I259" s="3"/>
      <c r="J259" s="3"/>
      <c r="K259" s="35" t="s">
        <v>61</v>
      </c>
      <c r="L259" s="35" t="s">
        <v>270</v>
      </c>
      <c r="M259" s="13"/>
      <c r="N259" s="17"/>
      <c r="O259" s="5"/>
      <c r="P259" s="5"/>
      <c r="Q259" s="5"/>
      <c r="R259" s="5"/>
      <c r="S259" s="5"/>
      <c r="T259" s="5"/>
      <c r="U259" s="5"/>
      <c r="V259" s="5"/>
      <c r="W259" s="5"/>
      <c r="X259" s="5"/>
      <c r="Y259" s="5"/>
      <c r="Z259" s="5"/>
      <c r="AA259" s="5"/>
      <c r="AB259" s="5"/>
      <c r="AC259" s="5"/>
      <c r="AD259" s="5"/>
      <c r="AE259" s="5"/>
      <c r="AF259" s="5"/>
    </row>
    <row r="260" spans="1:32" ht="12" customHeight="1">
      <c r="A260" s="33" t="s">
        <v>271</v>
      </c>
      <c r="B260" s="5"/>
      <c r="C260" s="5"/>
      <c r="D260" s="5"/>
      <c r="E260" s="8">
        <v>5100</v>
      </c>
      <c r="F260" s="15" t="s">
        <v>31</v>
      </c>
      <c r="G260" s="15" t="s">
        <v>31</v>
      </c>
      <c r="H260" s="15" t="s">
        <v>31</v>
      </c>
      <c r="I260" s="15" t="s">
        <v>31</v>
      </c>
      <c r="J260" s="15" t="s">
        <v>31</v>
      </c>
      <c r="K260" s="15" t="s">
        <v>31</v>
      </c>
      <c r="L260" s="15" t="s">
        <v>31</v>
      </c>
      <c r="M260" s="13"/>
      <c r="N260" s="17"/>
      <c r="O260" s="5"/>
      <c r="P260" s="5"/>
      <c r="Q260" s="5"/>
      <c r="R260" s="5"/>
      <c r="S260" s="5"/>
      <c r="T260" s="5"/>
      <c r="U260" s="5"/>
      <c r="V260" s="5"/>
      <c r="W260" s="5"/>
      <c r="X260" s="5"/>
      <c r="Y260" s="5"/>
      <c r="Z260" s="5"/>
      <c r="AA260" s="5"/>
      <c r="AB260" s="5"/>
      <c r="AC260" s="5"/>
      <c r="AD260" s="5"/>
      <c r="AE260" s="5"/>
      <c r="AF260" s="5"/>
    </row>
    <row r="261" spans="1:32" ht="12" customHeight="1">
      <c r="A261" s="1" t="s">
        <v>183</v>
      </c>
      <c r="B261" s="2" t="s">
        <v>261</v>
      </c>
      <c r="C261" s="8">
        <v>9</v>
      </c>
      <c r="D261" s="2" t="s">
        <v>224</v>
      </c>
      <c r="E261" s="8">
        <v>5110</v>
      </c>
      <c r="F261" s="15" t="s">
        <v>31</v>
      </c>
      <c r="G261" s="15" t="s">
        <v>31</v>
      </c>
      <c r="H261" s="15" t="s">
        <v>31</v>
      </c>
      <c r="I261" s="15" t="s">
        <v>31</v>
      </c>
      <c r="J261" s="15" t="s">
        <v>31</v>
      </c>
      <c r="K261" s="16">
        <v>245000</v>
      </c>
      <c r="L261" s="3">
        <f t="shared" ref="L261:L262" si="32">SUM(F261:K261)</f>
        <v>245000</v>
      </c>
      <c r="N261" s="27"/>
    </row>
    <row r="262" spans="1:32" ht="12" customHeight="1">
      <c r="A262" s="1" t="s">
        <v>272</v>
      </c>
      <c r="B262" s="2" t="s">
        <v>261</v>
      </c>
      <c r="C262" s="8">
        <v>10</v>
      </c>
      <c r="D262" s="2" t="s">
        <v>224</v>
      </c>
      <c r="E262" s="8">
        <v>5120</v>
      </c>
      <c r="F262" s="15" t="s">
        <v>31</v>
      </c>
      <c r="G262" s="15" t="s">
        <v>31</v>
      </c>
      <c r="H262" s="15" t="s">
        <v>31</v>
      </c>
      <c r="I262" s="15" t="s">
        <v>31</v>
      </c>
      <c r="J262" s="15" t="s">
        <v>31</v>
      </c>
      <c r="K262" s="16">
        <v>82048.25</v>
      </c>
      <c r="L262" s="3">
        <f t="shared" si="32"/>
        <v>82048.25</v>
      </c>
      <c r="N262" s="27"/>
    </row>
    <row r="263" spans="1:32" ht="12" customHeight="1">
      <c r="A263" s="33" t="s">
        <v>273</v>
      </c>
      <c r="B263" s="5"/>
      <c r="C263" s="5"/>
      <c r="D263" s="5"/>
      <c r="E263" s="8">
        <v>5200</v>
      </c>
      <c r="F263" s="15" t="s">
        <v>31</v>
      </c>
      <c r="G263" s="15" t="s">
        <v>31</v>
      </c>
      <c r="H263" s="15" t="s">
        <v>31</v>
      </c>
      <c r="I263" s="15" t="s">
        <v>31</v>
      </c>
      <c r="J263" s="15" t="s">
        <v>31</v>
      </c>
      <c r="K263" s="15" t="s">
        <v>31</v>
      </c>
      <c r="L263" s="15" t="s">
        <v>31</v>
      </c>
      <c r="N263" s="27"/>
    </row>
    <row r="264" spans="1:32" ht="12" customHeight="1">
      <c r="A264" s="5" t="s">
        <v>274</v>
      </c>
      <c r="B264" s="8">
        <v>10</v>
      </c>
      <c r="C264" s="8">
        <v>11</v>
      </c>
      <c r="D264" s="2" t="s">
        <v>224</v>
      </c>
      <c r="E264" s="8">
        <v>5221</v>
      </c>
      <c r="F264" s="15" t="s">
        <v>31</v>
      </c>
      <c r="G264" s="15" t="s">
        <v>31</v>
      </c>
      <c r="H264" s="15" t="s">
        <v>31</v>
      </c>
      <c r="I264" s="15" t="s">
        <v>31</v>
      </c>
      <c r="J264" s="15" t="s">
        <v>31</v>
      </c>
      <c r="K264" s="16">
        <v>11311.42</v>
      </c>
      <c r="L264" s="3">
        <f t="shared" ref="L264:L267" si="33">SUM(F264:K264)</f>
        <v>11311.42</v>
      </c>
      <c r="N264" s="27"/>
    </row>
    <row r="265" spans="1:32" ht="12" customHeight="1">
      <c r="A265" s="5" t="s">
        <v>275</v>
      </c>
      <c r="B265" s="8">
        <v>10</v>
      </c>
      <c r="C265" s="8">
        <v>12</v>
      </c>
      <c r="D265" s="2" t="s">
        <v>224</v>
      </c>
      <c r="E265" s="8">
        <v>5222</v>
      </c>
      <c r="F265" s="15" t="s">
        <v>31</v>
      </c>
      <c r="G265" s="15" t="s">
        <v>31</v>
      </c>
      <c r="H265" s="15" t="s">
        <v>31</v>
      </c>
      <c r="I265" s="15" t="s">
        <v>31</v>
      </c>
      <c r="J265" s="15" t="s">
        <v>31</v>
      </c>
      <c r="K265" s="16"/>
      <c r="L265" s="3">
        <f t="shared" si="33"/>
        <v>0</v>
      </c>
      <c r="N265" s="27"/>
    </row>
    <row r="266" spans="1:32" ht="12" customHeight="1">
      <c r="A266" s="5" t="s">
        <v>276</v>
      </c>
      <c r="B266" s="8">
        <v>10</v>
      </c>
      <c r="C266" s="8">
        <v>13</v>
      </c>
      <c r="D266" s="2" t="s">
        <v>224</v>
      </c>
      <c r="E266" s="8">
        <v>5230</v>
      </c>
      <c r="F266" s="15" t="s">
        <v>31</v>
      </c>
      <c r="G266" s="15" t="s">
        <v>31</v>
      </c>
      <c r="H266" s="15" t="s">
        <v>31</v>
      </c>
      <c r="I266" s="15" t="s">
        <v>31</v>
      </c>
      <c r="J266" s="15" t="s">
        <v>31</v>
      </c>
      <c r="K266" s="16"/>
      <c r="L266" s="3">
        <f t="shared" si="33"/>
        <v>0</v>
      </c>
      <c r="N266" s="27"/>
    </row>
    <row r="267" spans="1:32" ht="12" customHeight="1">
      <c r="A267" s="5" t="s">
        <v>277</v>
      </c>
      <c r="B267" s="8">
        <v>10</v>
      </c>
      <c r="C267" s="8">
        <v>14</v>
      </c>
      <c r="D267" s="2" t="s">
        <v>224</v>
      </c>
      <c r="E267" s="8">
        <v>5250</v>
      </c>
      <c r="F267" s="15" t="s">
        <v>31</v>
      </c>
      <c r="G267" s="15" t="s">
        <v>31</v>
      </c>
      <c r="H267" s="15" t="s">
        <v>31</v>
      </c>
      <c r="I267" s="15" t="s">
        <v>31</v>
      </c>
      <c r="J267" s="15" t="s">
        <v>31</v>
      </c>
      <c r="K267" s="16">
        <v>50000</v>
      </c>
      <c r="L267" s="3">
        <f t="shared" si="33"/>
        <v>50000</v>
      </c>
      <c r="N267" s="27"/>
    </row>
    <row r="268" spans="1:32" ht="12" customHeight="1">
      <c r="A268" s="30" t="s">
        <v>278</v>
      </c>
      <c r="B268" s="8"/>
      <c r="C268" s="8"/>
      <c r="D268" s="8"/>
      <c r="E268" s="8">
        <v>5300</v>
      </c>
      <c r="F268" s="15" t="s">
        <v>31</v>
      </c>
      <c r="G268" s="15" t="s">
        <v>31</v>
      </c>
      <c r="H268" s="15" t="s">
        <v>31</v>
      </c>
      <c r="I268" s="15" t="s">
        <v>31</v>
      </c>
      <c r="J268" s="15" t="s">
        <v>31</v>
      </c>
      <c r="K268" s="15" t="s">
        <v>31</v>
      </c>
      <c r="L268" s="15" t="s">
        <v>31</v>
      </c>
      <c r="N268" s="27"/>
    </row>
    <row r="269" spans="1:32" ht="12" customHeight="1">
      <c r="A269" s="5" t="s">
        <v>279</v>
      </c>
      <c r="B269" s="8">
        <v>10</v>
      </c>
      <c r="C269" s="8">
        <v>15</v>
      </c>
      <c r="D269" s="2" t="s">
        <v>224</v>
      </c>
      <c r="E269" s="8">
        <v>5310</v>
      </c>
      <c r="F269" s="15" t="s">
        <v>31</v>
      </c>
      <c r="G269" s="15" t="s">
        <v>31</v>
      </c>
      <c r="H269" s="15" t="s">
        <v>31</v>
      </c>
      <c r="I269" s="15" t="s">
        <v>31</v>
      </c>
      <c r="J269" s="15" t="s">
        <v>31</v>
      </c>
      <c r="K269" s="16"/>
      <c r="L269" s="3">
        <f t="shared" ref="L269:L271" si="34">SUM(F269:K269)</f>
        <v>0</v>
      </c>
      <c r="N269" s="27"/>
    </row>
    <row r="270" spans="1:32" ht="12" customHeight="1">
      <c r="A270" s="5" t="s">
        <v>280</v>
      </c>
      <c r="B270" s="8">
        <v>10</v>
      </c>
      <c r="C270" s="8">
        <v>16</v>
      </c>
      <c r="D270" s="2" t="s">
        <v>224</v>
      </c>
      <c r="E270" s="8">
        <v>5390</v>
      </c>
      <c r="F270" s="15" t="s">
        <v>31</v>
      </c>
      <c r="G270" s="15" t="s">
        <v>31</v>
      </c>
      <c r="H270" s="15" t="s">
        <v>31</v>
      </c>
      <c r="I270" s="15" t="s">
        <v>31</v>
      </c>
      <c r="J270" s="15" t="s">
        <v>31</v>
      </c>
      <c r="K270" s="16"/>
      <c r="L270" s="3">
        <f t="shared" si="34"/>
        <v>0</v>
      </c>
      <c r="N270" s="27"/>
    </row>
    <row r="271" spans="1:32" ht="12" customHeight="1">
      <c r="A271" s="46" t="s">
        <v>281</v>
      </c>
      <c r="B271" s="21">
        <v>10</v>
      </c>
      <c r="C271" s="21">
        <v>17</v>
      </c>
      <c r="D271" s="20" t="s">
        <v>224</v>
      </c>
      <c r="E271" s="21"/>
      <c r="F271" s="47">
        <f t="shared" ref="F271:K271" si="35">SUM(F261:F270)</f>
        <v>0</v>
      </c>
      <c r="G271" s="47">
        <f t="shared" si="35"/>
        <v>0</v>
      </c>
      <c r="H271" s="47">
        <f t="shared" si="35"/>
        <v>0</v>
      </c>
      <c r="I271" s="47">
        <f t="shared" si="35"/>
        <v>0</v>
      </c>
      <c r="J271" s="47">
        <f t="shared" si="35"/>
        <v>0</v>
      </c>
      <c r="K271" s="47">
        <f t="shared" si="35"/>
        <v>388359.67</v>
      </c>
      <c r="L271" s="22">
        <f t="shared" si="34"/>
        <v>388359.67</v>
      </c>
      <c r="M271" s="13"/>
      <c r="N271" s="17"/>
      <c r="O271" s="5"/>
      <c r="P271" s="5"/>
      <c r="Q271" s="5"/>
      <c r="R271" s="5"/>
      <c r="S271" s="5"/>
      <c r="T271" s="5"/>
      <c r="U271" s="5"/>
      <c r="V271" s="5"/>
      <c r="W271" s="5"/>
      <c r="X271" s="5"/>
      <c r="Y271" s="5"/>
      <c r="Z271" s="5"/>
      <c r="AA271" s="5"/>
      <c r="AB271" s="5"/>
      <c r="AC271" s="5"/>
      <c r="AD271" s="5"/>
      <c r="AE271" s="5"/>
      <c r="AF271" s="5"/>
    </row>
    <row r="272" spans="1:32" ht="12" customHeight="1">
      <c r="A272" s="46" t="s">
        <v>282</v>
      </c>
      <c r="B272" s="21">
        <v>10</v>
      </c>
      <c r="C272" s="21">
        <v>18</v>
      </c>
      <c r="D272" s="20" t="s">
        <v>224</v>
      </c>
      <c r="E272" s="21"/>
      <c r="F272" s="47">
        <f t="shared" ref="F272:L272" si="36">F258+F271</f>
        <v>819605.39000000013</v>
      </c>
      <c r="G272" s="47">
        <f t="shared" si="36"/>
        <v>389985.53</v>
      </c>
      <c r="H272" s="47">
        <f t="shared" si="36"/>
        <v>1202096.97</v>
      </c>
      <c r="I272" s="47">
        <f t="shared" si="36"/>
        <v>108138.44</v>
      </c>
      <c r="J272" s="47">
        <f t="shared" si="36"/>
        <v>69053.62</v>
      </c>
      <c r="K272" s="47">
        <f t="shared" si="36"/>
        <v>399510.5</v>
      </c>
      <c r="L272" s="47">
        <f t="shared" si="36"/>
        <v>2988390.45</v>
      </c>
      <c r="M272" s="48"/>
      <c r="N272" s="17"/>
      <c r="O272" s="44"/>
      <c r="P272" s="44"/>
      <c r="Q272" s="44"/>
      <c r="R272" s="44"/>
      <c r="S272" s="44"/>
      <c r="T272" s="44"/>
      <c r="U272" s="44"/>
      <c r="V272" s="44"/>
      <c r="W272" s="44"/>
      <c r="X272" s="44"/>
      <c r="Y272" s="44"/>
      <c r="Z272" s="44"/>
      <c r="AA272" s="44"/>
      <c r="AB272" s="44"/>
      <c r="AC272" s="44"/>
      <c r="AD272" s="44"/>
      <c r="AE272" s="44"/>
      <c r="AF272" s="44"/>
    </row>
    <row r="273" spans="1:32" ht="12" customHeight="1">
      <c r="A273" s="49"/>
      <c r="B273" s="8"/>
      <c r="C273" s="8"/>
      <c r="D273" s="8"/>
      <c r="E273" s="8"/>
      <c r="F273" s="28"/>
      <c r="G273" s="28"/>
      <c r="H273" s="28"/>
      <c r="I273" s="28"/>
      <c r="J273" s="28"/>
      <c r="K273" s="28"/>
      <c r="L273" s="28"/>
      <c r="M273" s="13"/>
      <c r="N273" s="17"/>
      <c r="O273" s="5"/>
      <c r="P273" s="5"/>
      <c r="Q273" s="5"/>
      <c r="R273" s="5"/>
      <c r="S273" s="5"/>
      <c r="T273" s="5"/>
      <c r="U273" s="5"/>
      <c r="V273" s="5"/>
      <c r="W273" s="5"/>
      <c r="X273" s="5"/>
      <c r="Y273" s="5"/>
      <c r="Z273" s="5"/>
      <c r="AA273" s="5"/>
      <c r="AB273" s="5"/>
      <c r="AC273" s="5"/>
      <c r="AD273" s="5"/>
      <c r="AE273" s="5"/>
      <c r="AF273" s="5"/>
    </row>
    <row r="274" spans="1:32" ht="12" customHeight="1">
      <c r="A274" s="14" t="s">
        <v>283</v>
      </c>
      <c r="B274" s="5"/>
      <c r="C274" s="5"/>
      <c r="D274" s="5"/>
      <c r="E274" s="5"/>
      <c r="F274" s="4" t="s">
        <v>206</v>
      </c>
      <c r="G274" s="4" t="s">
        <v>207</v>
      </c>
      <c r="H274" s="4" t="s">
        <v>208</v>
      </c>
      <c r="I274" s="4" t="s">
        <v>209</v>
      </c>
      <c r="J274" s="4" t="s">
        <v>210</v>
      </c>
      <c r="K274" s="4" t="s">
        <v>211</v>
      </c>
      <c r="L274" s="5"/>
      <c r="M274" s="13"/>
      <c r="N274" s="17"/>
      <c r="O274" s="5"/>
      <c r="P274" s="5"/>
      <c r="Q274" s="5"/>
      <c r="R274" s="5"/>
      <c r="S274" s="5"/>
      <c r="T274" s="5"/>
      <c r="U274" s="5"/>
      <c r="V274" s="5"/>
      <c r="W274" s="5"/>
      <c r="X274" s="5"/>
      <c r="Y274" s="5"/>
      <c r="Z274" s="5"/>
      <c r="AA274" s="5"/>
      <c r="AB274" s="5"/>
      <c r="AC274" s="5"/>
      <c r="AD274" s="5"/>
      <c r="AE274" s="5"/>
      <c r="AF274" s="5"/>
    </row>
    <row r="275" spans="1:32" ht="12" customHeight="1">
      <c r="A275" s="14" t="s">
        <v>212</v>
      </c>
      <c r="B275" s="44"/>
      <c r="C275" s="44"/>
      <c r="D275" s="44"/>
      <c r="E275" s="44"/>
      <c r="F275" s="45" t="s">
        <v>213</v>
      </c>
      <c r="G275" s="45" t="s">
        <v>214</v>
      </c>
      <c r="H275" s="45" t="s">
        <v>215</v>
      </c>
      <c r="I275" s="45" t="s">
        <v>216</v>
      </c>
      <c r="J275" s="45" t="s">
        <v>217</v>
      </c>
      <c r="K275" s="45" t="s">
        <v>218</v>
      </c>
      <c r="L275" s="45" t="s">
        <v>219</v>
      </c>
      <c r="M275" s="13"/>
      <c r="N275" s="17"/>
      <c r="O275" s="5"/>
      <c r="P275" s="5"/>
      <c r="Q275" s="5"/>
      <c r="R275" s="5"/>
      <c r="S275" s="5"/>
      <c r="T275" s="5"/>
      <c r="U275" s="5"/>
      <c r="V275" s="5"/>
      <c r="W275" s="5"/>
      <c r="X275" s="5"/>
      <c r="Y275" s="5"/>
      <c r="Z275" s="5"/>
      <c r="AA275" s="5"/>
      <c r="AB275" s="5"/>
      <c r="AC275" s="5"/>
      <c r="AD275" s="5"/>
      <c r="AE275" s="5"/>
      <c r="AF275" s="5"/>
    </row>
    <row r="276" spans="1:32" ht="12" customHeight="1">
      <c r="A276" s="33" t="s">
        <v>256</v>
      </c>
      <c r="B276" s="5"/>
      <c r="C276" s="5"/>
      <c r="D276" s="5"/>
      <c r="E276" s="5"/>
      <c r="F276" s="15" t="s">
        <v>31</v>
      </c>
      <c r="G276" s="15" t="s">
        <v>31</v>
      </c>
      <c r="H276" s="15" t="s">
        <v>31</v>
      </c>
      <c r="I276" s="15" t="s">
        <v>31</v>
      </c>
      <c r="J276" s="15" t="s">
        <v>31</v>
      </c>
      <c r="K276" s="15" t="s">
        <v>31</v>
      </c>
      <c r="L276" s="15" t="s">
        <v>31</v>
      </c>
      <c r="M276" s="13"/>
      <c r="N276" s="17"/>
      <c r="O276" s="5"/>
      <c r="P276" s="5"/>
      <c r="Q276" s="5"/>
      <c r="R276" s="5"/>
      <c r="S276" s="5"/>
      <c r="T276" s="5"/>
      <c r="U276" s="5"/>
      <c r="V276" s="5"/>
      <c r="W276" s="5"/>
      <c r="X276" s="5"/>
      <c r="Y276" s="5"/>
      <c r="Z276" s="5"/>
      <c r="AA276" s="5"/>
      <c r="AB276" s="5"/>
      <c r="AC276" s="5"/>
      <c r="AD276" s="5"/>
      <c r="AE276" s="5"/>
      <c r="AF276" s="5"/>
    </row>
    <row r="277" spans="1:32" ht="12" customHeight="1">
      <c r="A277" s="1" t="s">
        <v>221</v>
      </c>
      <c r="B277" s="2" t="s">
        <v>284</v>
      </c>
      <c r="C277" s="2" t="s">
        <v>223</v>
      </c>
      <c r="D277" s="2" t="s">
        <v>224</v>
      </c>
      <c r="E277" s="8">
        <v>1100</v>
      </c>
      <c r="F277" s="16">
        <f>6147+1200</f>
        <v>7347</v>
      </c>
      <c r="G277" s="16"/>
      <c r="H277" s="16"/>
      <c r="I277" s="16">
        <f>58.37</f>
        <v>58.37</v>
      </c>
      <c r="J277" s="16"/>
      <c r="K277" s="16"/>
      <c r="L277" s="3">
        <f t="shared" ref="L277:L280" si="37">SUM(F277:K277)</f>
        <v>7405.37</v>
      </c>
      <c r="M277" s="13"/>
      <c r="N277" s="17"/>
      <c r="O277" s="5"/>
      <c r="P277" s="5"/>
      <c r="Q277" s="5"/>
      <c r="R277" s="5"/>
      <c r="S277" s="5"/>
      <c r="T277" s="5"/>
      <c r="U277" s="5"/>
      <c r="V277" s="5"/>
      <c r="W277" s="5"/>
      <c r="X277" s="5"/>
      <c r="Y277" s="5"/>
      <c r="Z277" s="5"/>
      <c r="AA277" s="5"/>
      <c r="AB277" s="5"/>
      <c r="AC277" s="5"/>
      <c r="AD277" s="5"/>
      <c r="AE277" s="5"/>
      <c r="AF277" s="5"/>
    </row>
    <row r="278" spans="1:32" ht="12" customHeight="1">
      <c r="A278" s="1" t="s">
        <v>225</v>
      </c>
      <c r="B278" s="2" t="s">
        <v>284</v>
      </c>
      <c r="C278" s="2" t="s">
        <v>226</v>
      </c>
      <c r="D278" s="2" t="s">
        <v>224</v>
      </c>
      <c r="E278" s="8">
        <v>1200</v>
      </c>
      <c r="F278" s="16"/>
      <c r="G278" s="16"/>
      <c r="H278" s="16"/>
      <c r="I278" s="16"/>
      <c r="J278" s="16"/>
      <c r="K278" s="16"/>
      <c r="L278" s="3">
        <f t="shared" si="37"/>
        <v>0</v>
      </c>
      <c r="M278" s="13"/>
      <c r="N278" s="17"/>
      <c r="O278" s="5"/>
      <c r="P278" s="5"/>
      <c r="Q278" s="5"/>
      <c r="R278" s="5"/>
      <c r="S278" s="5"/>
      <c r="T278" s="5"/>
      <c r="U278" s="5"/>
      <c r="V278" s="5"/>
      <c r="W278" s="5"/>
      <c r="X278" s="5"/>
      <c r="Y278" s="5"/>
      <c r="Z278" s="5"/>
      <c r="AA278" s="5"/>
      <c r="AB278" s="5"/>
      <c r="AC278" s="5"/>
      <c r="AD278" s="5"/>
      <c r="AE278" s="5"/>
      <c r="AF278" s="5"/>
    </row>
    <row r="279" spans="1:32" ht="12" customHeight="1">
      <c r="A279" s="1" t="s">
        <v>227</v>
      </c>
      <c r="B279" s="2" t="s">
        <v>284</v>
      </c>
      <c r="C279" s="2" t="s">
        <v>228</v>
      </c>
      <c r="D279" s="2" t="s">
        <v>224</v>
      </c>
      <c r="E279" s="8">
        <v>1300</v>
      </c>
      <c r="F279" s="16"/>
      <c r="G279" s="16"/>
      <c r="H279" s="16"/>
      <c r="I279" s="16"/>
      <c r="J279" s="16"/>
      <c r="K279" s="16"/>
      <c r="L279" s="3">
        <f t="shared" si="37"/>
        <v>0</v>
      </c>
      <c r="M279" s="13"/>
      <c r="N279" s="17"/>
      <c r="O279" s="5"/>
      <c r="P279" s="5"/>
      <c r="Q279" s="5"/>
      <c r="R279" s="5"/>
      <c r="S279" s="5"/>
      <c r="T279" s="5"/>
      <c r="U279" s="5"/>
      <c r="V279" s="5"/>
      <c r="W279" s="5"/>
      <c r="X279" s="5"/>
      <c r="Y279" s="5"/>
      <c r="Z279" s="5"/>
      <c r="AA279" s="5"/>
      <c r="AB279" s="5"/>
      <c r="AC279" s="5"/>
      <c r="AD279" s="5"/>
      <c r="AE279" s="5"/>
      <c r="AF279" s="5"/>
    </row>
    <row r="280" spans="1:32" ht="12" customHeight="1">
      <c r="A280" s="1" t="s">
        <v>229</v>
      </c>
      <c r="B280" s="2" t="s">
        <v>284</v>
      </c>
      <c r="C280" s="2" t="s">
        <v>230</v>
      </c>
      <c r="D280" s="2" t="s">
        <v>224</v>
      </c>
      <c r="E280" s="8">
        <v>1400</v>
      </c>
      <c r="F280" s="16"/>
      <c r="G280" s="16"/>
      <c r="H280" s="16"/>
      <c r="I280" s="16"/>
      <c r="J280" s="16"/>
      <c r="K280" s="16"/>
      <c r="L280" s="3">
        <f t="shared" si="37"/>
        <v>0</v>
      </c>
      <c r="M280" s="13"/>
      <c r="N280" s="17"/>
      <c r="O280" s="5"/>
      <c r="P280" s="5"/>
      <c r="Q280" s="5"/>
      <c r="R280" s="5"/>
      <c r="S280" s="5"/>
      <c r="T280" s="5"/>
      <c r="U280" s="5"/>
      <c r="V280" s="5"/>
      <c r="W280" s="5"/>
      <c r="X280" s="5"/>
      <c r="Y280" s="5"/>
      <c r="Z280" s="5"/>
      <c r="AA280" s="5"/>
      <c r="AB280" s="5"/>
      <c r="AC280" s="5"/>
      <c r="AD280" s="5"/>
      <c r="AE280" s="5"/>
      <c r="AF280" s="5"/>
    </row>
    <row r="281" spans="1:32" ht="12" customHeight="1">
      <c r="A281" s="33" t="s">
        <v>231</v>
      </c>
      <c r="B281" s="5"/>
      <c r="C281" s="5"/>
      <c r="D281" s="5"/>
      <c r="E281" s="8"/>
      <c r="F281" s="15" t="s">
        <v>31</v>
      </c>
      <c r="G281" s="15" t="s">
        <v>31</v>
      </c>
      <c r="H281" s="15" t="s">
        <v>31</v>
      </c>
      <c r="I281" s="15" t="s">
        <v>31</v>
      </c>
      <c r="J281" s="15" t="s">
        <v>31</v>
      </c>
      <c r="K281" s="15" t="s">
        <v>31</v>
      </c>
      <c r="L281" s="15" t="s">
        <v>31</v>
      </c>
      <c r="M281" s="13"/>
      <c r="N281" s="17"/>
      <c r="O281" s="5"/>
      <c r="P281" s="5"/>
      <c r="Q281" s="5"/>
      <c r="R281" s="5"/>
      <c r="S281" s="5"/>
      <c r="T281" s="5"/>
      <c r="U281" s="5"/>
      <c r="V281" s="5"/>
      <c r="W281" s="5"/>
      <c r="X281" s="5"/>
      <c r="Y281" s="5"/>
      <c r="Z281" s="5"/>
      <c r="AA281" s="5"/>
      <c r="AB281" s="5"/>
      <c r="AC281" s="5"/>
      <c r="AD281" s="5"/>
      <c r="AE281" s="5"/>
      <c r="AF281" s="5"/>
    </row>
    <row r="282" spans="1:32" ht="12" customHeight="1">
      <c r="A282" s="1" t="s">
        <v>232</v>
      </c>
      <c r="B282" s="2" t="s">
        <v>284</v>
      </c>
      <c r="C282" s="2" t="s">
        <v>233</v>
      </c>
      <c r="D282" s="2" t="s">
        <v>224</v>
      </c>
      <c r="E282" s="8">
        <v>2100</v>
      </c>
      <c r="F282" s="16"/>
      <c r="G282" s="16"/>
      <c r="H282" s="16">
        <f>6468.75</f>
        <v>6468.75</v>
      </c>
      <c r="I282" s="16"/>
      <c r="J282" s="16"/>
      <c r="K282" s="16"/>
      <c r="L282" s="3">
        <f t="shared" ref="L282:L289" si="38">SUM(F282:K282)</f>
        <v>6468.75</v>
      </c>
      <c r="M282" s="13"/>
      <c r="N282" s="17"/>
      <c r="O282" s="5"/>
      <c r="P282" s="5"/>
      <c r="Q282" s="5"/>
      <c r="R282" s="5"/>
      <c r="S282" s="5"/>
      <c r="T282" s="5"/>
      <c r="U282" s="5"/>
      <c r="V282" s="5"/>
      <c r="W282" s="5"/>
      <c r="X282" s="5"/>
      <c r="Y282" s="5"/>
      <c r="Z282" s="5"/>
      <c r="AA282" s="5"/>
      <c r="AB282" s="5"/>
      <c r="AC282" s="5"/>
      <c r="AD282" s="5"/>
      <c r="AE282" s="5"/>
      <c r="AF282" s="5"/>
    </row>
    <row r="283" spans="1:32" ht="12" customHeight="1">
      <c r="A283" s="1" t="s">
        <v>234</v>
      </c>
      <c r="B283" s="2" t="s">
        <v>284</v>
      </c>
      <c r="C283" s="2" t="s">
        <v>235</v>
      </c>
      <c r="D283" s="2" t="s">
        <v>224</v>
      </c>
      <c r="E283" s="8">
        <v>2200</v>
      </c>
      <c r="F283" s="16"/>
      <c r="G283" s="16"/>
      <c r="H283" s="16">
        <v>10103.200000000001</v>
      </c>
      <c r="I283" s="16"/>
      <c r="J283" s="16"/>
      <c r="K283" s="16"/>
      <c r="L283" s="3">
        <f t="shared" si="38"/>
        <v>10103.200000000001</v>
      </c>
      <c r="M283" s="13"/>
      <c r="N283" s="17"/>
      <c r="O283" s="5"/>
      <c r="P283" s="5"/>
      <c r="Q283" s="5"/>
      <c r="R283" s="5"/>
      <c r="S283" s="5"/>
      <c r="T283" s="5"/>
      <c r="U283" s="5"/>
      <c r="V283" s="5"/>
      <c r="W283" s="5"/>
      <c r="X283" s="5"/>
      <c r="Y283" s="5"/>
      <c r="Z283" s="5"/>
      <c r="AA283" s="5"/>
      <c r="AB283" s="5"/>
      <c r="AC283" s="5"/>
      <c r="AD283" s="5"/>
      <c r="AE283" s="5"/>
      <c r="AF283" s="5"/>
    </row>
    <row r="284" spans="1:32" ht="12" customHeight="1">
      <c r="A284" s="1" t="s">
        <v>236</v>
      </c>
      <c r="B284" s="2" t="s">
        <v>284</v>
      </c>
      <c r="C284" s="2" t="s">
        <v>237</v>
      </c>
      <c r="D284" s="2" t="s">
        <v>224</v>
      </c>
      <c r="E284" s="8">
        <v>2300</v>
      </c>
      <c r="F284" s="16"/>
      <c r="G284" s="16"/>
      <c r="H284" s="16"/>
      <c r="I284" s="16"/>
      <c r="J284" s="16"/>
      <c r="K284" s="16"/>
      <c r="L284" s="3">
        <f t="shared" si="38"/>
        <v>0</v>
      </c>
      <c r="M284" s="13"/>
      <c r="N284" s="17"/>
      <c r="O284" s="5"/>
      <c r="P284" s="5"/>
      <c r="Q284" s="5"/>
      <c r="R284" s="5"/>
      <c r="S284" s="5"/>
      <c r="T284" s="5"/>
      <c r="U284" s="5"/>
      <c r="V284" s="5"/>
      <c r="W284" s="5"/>
      <c r="X284" s="5"/>
      <c r="Y284" s="5"/>
      <c r="Z284" s="5"/>
      <c r="AA284" s="5"/>
      <c r="AB284" s="5"/>
      <c r="AC284" s="5"/>
      <c r="AD284" s="5"/>
      <c r="AE284" s="5"/>
      <c r="AF284" s="5"/>
    </row>
    <row r="285" spans="1:32" ht="12" customHeight="1">
      <c r="A285" s="1" t="s">
        <v>238</v>
      </c>
      <c r="B285" s="2" t="s">
        <v>284</v>
      </c>
      <c r="C285" s="2" t="s">
        <v>239</v>
      </c>
      <c r="D285" s="2" t="s">
        <v>224</v>
      </c>
      <c r="E285" s="8">
        <v>2400</v>
      </c>
      <c r="F285" s="16"/>
      <c r="G285" s="16"/>
      <c r="H285" s="16"/>
      <c r="I285" s="16"/>
      <c r="J285" s="16"/>
      <c r="K285" s="16"/>
      <c r="L285" s="3">
        <f t="shared" si="38"/>
        <v>0</v>
      </c>
      <c r="M285" s="13"/>
      <c r="N285" s="17"/>
      <c r="O285" s="5"/>
      <c r="P285" s="5"/>
      <c r="Q285" s="5"/>
      <c r="R285" s="5"/>
      <c r="S285" s="5"/>
      <c r="T285" s="5"/>
      <c r="U285" s="5"/>
      <c r="V285" s="5"/>
      <c r="W285" s="5"/>
      <c r="X285" s="5"/>
      <c r="Y285" s="5"/>
      <c r="Z285" s="5"/>
      <c r="AA285" s="5"/>
      <c r="AB285" s="5"/>
      <c r="AC285" s="5"/>
      <c r="AD285" s="5"/>
      <c r="AE285" s="5"/>
      <c r="AF285" s="5"/>
    </row>
    <row r="286" spans="1:32" ht="12" customHeight="1">
      <c r="A286" s="1" t="s">
        <v>240</v>
      </c>
      <c r="B286" s="2" t="s">
        <v>284</v>
      </c>
      <c r="C286" s="2" t="s">
        <v>241</v>
      </c>
      <c r="D286" s="2" t="s">
        <v>224</v>
      </c>
      <c r="E286" s="8">
        <v>2500</v>
      </c>
      <c r="F286" s="16"/>
      <c r="G286" s="16"/>
      <c r="H286" s="16"/>
      <c r="I286" s="16"/>
      <c r="J286" s="16"/>
      <c r="K286" s="16"/>
      <c r="L286" s="3">
        <f t="shared" si="38"/>
        <v>0</v>
      </c>
      <c r="M286" s="13"/>
      <c r="N286" s="17"/>
      <c r="O286" s="5"/>
      <c r="P286" s="5"/>
      <c r="Q286" s="5"/>
      <c r="R286" s="5"/>
      <c r="S286" s="5"/>
      <c r="T286" s="5"/>
      <c r="U286" s="5"/>
      <c r="V286" s="5"/>
      <c r="W286" s="5"/>
      <c r="X286" s="5"/>
      <c r="Y286" s="5"/>
      <c r="Z286" s="5"/>
      <c r="AA286" s="5"/>
      <c r="AB286" s="5"/>
      <c r="AC286" s="5"/>
      <c r="AD286" s="5"/>
      <c r="AE286" s="5"/>
      <c r="AF286" s="5"/>
    </row>
    <row r="287" spans="1:32" ht="12" customHeight="1">
      <c r="A287" s="1" t="s">
        <v>242</v>
      </c>
      <c r="B287" s="2" t="s">
        <v>284</v>
      </c>
      <c r="C287" s="2" t="s">
        <v>243</v>
      </c>
      <c r="D287" s="2" t="s">
        <v>224</v>
      </c>
      <c r="E287" s="8">
        <v>2600</v>
      </c>
      <c r="F287" s="16"/>
      <c r="G287" s="16"/>
      <c r="H287" s="16">
        <f>1557.5</f>
        <v>1557.5</v>
      </c>
      <c r="I287" s="16"/>
      <c r="J287" s="16"/>
      <c r="K287" s="16"/>
      <c r="L287" s="3">
        <f t="shared" si="38"/>
        <v>1557.5</v>
      </c>
      <c r="M287" s="13"/>
      <c r="N287" s="17"/>
      <c r="O287" s="5"/>
      <c r="P287" s="5"/>
      <c r="Q287" s="5"/>
      <c r="R287" s="5"/>
      <c r="S287" s="5"/>
      <c r="T287" s="5"/>
      <c r="U287" s="5"/>
      <c r="V287" s="5"/>
      <c r="W287" s="5"/>
      <c r="X287" s="5"/>
      <c r="Y287" s="5"/>
      <c r="Z287" s="5"/>
      <c r="AA287" s="5"/>
      <c r="AB287" s="5"/>
      <c r="AC287" s="5"/>
      <c r="AD287" s="5"/>
      <c r="AE287" s="5"/>
      <c r="AF287" s="5"/>
    </row>
    <row r="288" spans="1:32" ht="12" customHeight="1">
      <c r="A288" s="1" t="s">
        <v>244</v>
      </c>
      <c r="B288" s="2" t="s">
        <v>284</v>
      </c>
      <c r="C288" s="2" t="s">
        <v>245</v>
      </c>
      <c r="D288" s="2" t="s">
        <v>224</v>
      </c>
      <c r="E288" s="8">
        <v>2700</v>
      </c>
      <c r="F288" s="16"/>
      <c r="G288" s="16"/>
      <c r="H288" s="16">
        <f>3432.78</f>
        <v>3432.78</v>
      </c>
      <c r="I288" s="16"/>
      <c r="J288" s="16"/>
      <c r="K288" s="16"/>
      <c r="L288" s="3">
        <f t="shared" si="38"/>
        <v>3432.78</v>
      </c>
      <c r="M288" s="13"/>
      <c r="N288" s="17"/>
      <c r="O288" s="5"/>
      <c r="P288" s="5"/>
      <c r="Q288" s="5"/>
      <c r="R288" s="5"/>
      <c r="S288" s="5"/>
      <c r="T288" s="5"/>
      <c r="U288" s="5"/>
      <c r="V288" s="5"/>
      <c r="W288" s="5"/>
      <c r="X288" s="5"/>
      <c r="Y288" s="5"/>
      <c r="Z288" s="5"/>
      <c r="AA288" s="5"/>
      <c r="AB288" s="5"/>
      <c r="AC288" s="5"/>
      <c r="AD288" s="5"/>
      <c r="AE288" s="5"/>
      <c r="AF288" s="5"/>
    </row>
    <row r="289" spans="1:32" ht="12" customHeight="1">
      <c r="A289" s="1" t="s">
        <v>246</v>
      </c>
      <c r="B289" s="2" t="s">
        <v>284</v>
      </c>
      <c r="C289" s="2" t="s">
        <v>247</v>
      </c>
      <c r="D289" s="2" t="s">
        <v>224</v>
      </c>
      <c r="E289" s="8">
        <v>2800</v>
      </c>
      <c r="F289" s="16"/>
      <c r="G289" s="16"/>
      <c r="H289" s="16"/>
      <c r="I289" s="16"/>
      <c r="J289" s="16"/>
      <c r="K289" s="16"/>
      <c r="L289" s="3">
        <f t="shared" si="38"/>
        <v>0</v>
      </c>
      <c r="M289" s="13"/>
      <c r="N289" s="17"/>
      <c r="O289" s="5"/>
      <c r="P289" s="5"/>
      <c r="Q289" s="5"/>
      <c r="R289" s="5"/>
      <c r="S289" s="5"/>
      <c r="T289" s="5"/>
      <c r="U289" s="5"/>
      <c r="V289" s="5"/>
      <c r="W289" s="5"/>
      <c r="X289" s="5"/>
      <c r="Y289" s="5"/>
      <c r="Z289" s="5"/>
      <c r="AA289" s="5"/>
      <c r="AB289" s="5"/>
      <c r="AC289" s="5"/>
      <c r="AD289" s="5"/>
      <c r="AE289" s="5"/>
      <c r="AF289" s="5"/>
    </row>
    <row r="290" spans="1:32" ht="12" customHeight="1">
      <c r="A290" s="1" t="s">
        <v>248</v>
      </c>
      <c r="B290" s="2" t="s">
        <v>284</v>
      </c>
      <c r="C290" s="2" t="s">
        <v>249</v>
      </c>
      <c r="D290" s="2" t="s">
        <v>224</v>
      </c>
      <c r="E290" s="8">
        <v>2900</v>
      </c>
      <c r="F290" s="15" t="s">
        <v>31</v>
      </c>
      <c r="G290" s="15" t="s">
        <v>31</v>
      </c>
      <c r="H290" s="15" t="s">
        <v>31</v>
      </c>
      <c r="I290" s="15" t="s">
        <v>31</v>
      </c>
      <c r="J290" s="15" t="s">
        <v>31</v>
      </c>
      <c r="K290" s="15" t="s">
        <v>31</v>
      </c>
      <c r="L290" s="15" t="s">
        <v>31</v>
      </c>
      <c r="M290" s="13"/>
      <c r="N290" s="17"/>
      <c r="O290" s="5"/>
      <c r="P290" s="5"/>
      <c r="Q290" s="5"/>
      <c r="R290" s="5"/>
      <c r="S290" s="5"/>
      <c r="T290" s="5"/>
      <c r="U290" s="5"/>
      <c r="V290" s="5"/>
      <c r="W290" s="5"/>
      <c r="X290" s="5"/>
      <c r="Y290" s="5"/>
      <c r="Z290" s="5"/>
      <c r="AA290" s="5"/>
      <c r="AB290" s="5"/>
      <c r="AC290" s="5"/>
      <c r="AD290" s="5"/>
      <c r="AE290" s="5"/>
      <c r="AF290" s="5"/>
    </row>
    <row r="291" spans="1:32" ht="12" customHeight="1">
      <c r="A291" s="19" t="s">
        <v>250</v>
      </c>
      <c r="B291" s="20" t="s">
        <v>284</v>
      </c>
      <c r="C291" s="20" t="s">
        <v>251</v>
      </c>
      <c r="D291" s="20" t="s">
        <v>224</v>
      </c>
      <c r="E291" s="20"/>
      <c r="F291" s="47">
        <f t="shared" ref="F291:L291" si="39">SUM(F277:F290)</f>
        <v>7347</v>
      </c>
      <c r="G291" s="47">
        <f t="shared" si="39"/>
        <v>0</v>
      </c>
      <c r="H291" s="47">
        <f t="shared" si="39"/>
        <v>21562.23</v>
      </c>
      <c r="I291" s="47">
        <f t="shared" si="39"/>
        <v>58.37</v>
      </c>
      <c r="J291" s="47">
        <f t="shared" si="39"/>
        <v>0</v>
      </c>
      <c r="K291" s="47">
        <f t="shared" si="39"/>
        <v>0</v>
      </c>
      <c r="L291" s="22">
        <f t="shared" si="39"/>
        <v>28967.599999999999</v>
      </c>
      <c r="M291" s="13"/>
      <c r="N291" s="17"/>
      <c r="O291" s="5"/>
      <c r="P291" s="5"/>
      <c r="Q291" s="5"/>
      <c r="R291" s="5"/>
      <c r="S291" s="5"/>
      <c r="T291" s="5"/>
      <c r="U291" s="5"/>
      <c r="V291" s="5"/>
      <c r="W291" s="5"/>
      <c r="X291" s="5"/>
      <c r="Y291" s="5"/>
      <c r="Z291" s="5"/>
      <c r="AA291" s="5"/>
      <c r="AB291" s="5"/>
      <c r="AC291" s="5"/>
      <c r="AD291" s="5"/>
      <c r="AE291" s="5"/>
      <c r="AF291" s="5"/>
    </row>
    <row r="292" spans="1:32" ht="12" customHeight="1">
      <c r="A292" s="14"/>
      <c r="B292" s="2"/>
      <c r="C292" s="2"/>
      <c r="D292" s="2"/>
      <c r="E292" s="2"/>
      <c r="F292" s="28"/>
      <c r="G292" s="28"/>
      <c r="H292" s="28"/>
      <c r="I292" s="28"/>
      <c r="J292" s="28"/>
      <c r="K292" s="28"/>
      <c r="L292" s="3"/>
      <c r="M292" s="13"/>
      <c r="N292" s="17"/>
      <c r="O292" s="5"/>
      <c r="P292" s="5"/>
      <c r="Q292" s="5"/>
      <c r="R292" s="5"/>
      <c r="S292" s="5"/>
      <c r="T292" s="5"/>
      <c r="U292" s="5"/>
      <c r="V292" s="5"/>
      <c r="W292" s="5"/>
      <c r="X292" s="5"/>
      <c r="Y292" s="5"/>
      <c r="Z292" s="5"/>
      <c r="AA292" s="5"/>
      <c r="AB292" s="5"/>
      <c r="AC292" s="5"/>
      <c r="AD292" s="5"/>
      <c r="AE292" s="5"/>
      <c r="AF292" s="5"/>
    </row>
    <row r="293" spans="1:32" ht="12" customHeight="1">
      <c r="A293" s="14" t="s">
        <v>283</v>
      </c>
      <c r="B293" s="2" t="s">
        <v>160</v>
      </c>
      <c r="C293" s="2" t="s">
        <v>160</v>
      </c>
      <c r="D293" s="2"/>
      <c r="E293" s="2"/>
      <c r="F293" s="4" t="s">
        <v>206</v>
      </c>
      <c r="G293" s="4" t="s">
        <v>207</v>
      </c>
      <c r="H293" s="4" t="s">
        <v>208</v>
      </c>
      <c r="I293" s="4" t="s">
        <v>209</v>
      </c>
      <c r="J293" s="4" t="s">
        <v>210</v>
      </c>
      <c r="K293" s="4" t="s">
        <v>211</v>
      </c>
      <c r="L293" s="50"/>
      <c r="M293" s="13"/>
      <c r="N293" s="17"/>
      <c r="O293" s="5"/>
      <c r="P293" s="5"/>
      <c r="Q293" s="5"/>
      <c r="R293" s="5"/>
      <c r="S293" s="5"/>
      <c r="T293" s="5"/>
      <c r="U293" s="5"/>
      <c r="V293" s="5"/>
      <c r="W293" s="5"/>
      <c r="X293" s="5"/>
      <c r="Y293" s="5"/>
      <c r="Z293" s="5"/>
      <c r="AA293" s="5"/>
      <c r="AB293" s="5"/>
      <c r="AC293" s="5"/>
      <c r="AD293" s="5"/>
      <c r="AE293" s="5"/>
      <c r="AF293" s="5"/>
    </row>
    <row r="294" spans="1:32" ht="12" customHeight="1">
      <c r="A294" s="14" t="s">
        <v>252</v>
      </c>
      <c r="B294" s="11"/>
      <c r="C294" s="11"/>
      <c r="D294" s="11"/>
      <c r="E294" s="11"/>
      <c r="F294" s="45" t="s">
        <v>213</v>
      </c>
      <c r="G294" s="45" t="s">
        <v>214</v>
      </c>
      <c r="H294" s="45" t="s">
        <v>215</v>
      </c>
      <c r="I294" s="45" t="s">
        <v>216</v>
      </c>
      <c r="J294" s="45" t="s">
        <v>217</v>
      </c>
      <c r="K294" s="45" t="s">
        <v>218</v>
      </c>
      <c r="L294" s="45" t="s">
        <v>219</v>
      </c>
      <c r="M294" s="13"/>
      <c r="N294" s="17"/>
      <c r="O294" s="5"/>
      <c r="P294" s="5"/>
      <c r="Q294" s="5"/>
      <c r="R294" s="5"/>
      <c r="S294" s="5"/>
      <c r="T294" s="5"/>
      <c r="U294" s="5"/>
      <c r="V294" s="5"/>
      <c r="W294" s="5"/>
      <c r="X294" s="5"/>
      <c r="Y294" s="5"/>
      <c r="Z294" s="5"/>
      <c r="AA294" s="5"/>
      <c r="AB294" s="5"/>
      <c r="AC294" s="5"/>
      <c r="AD294" s="5"/>
      <c r="AE294" s="5"/>
      <c r="AF294" s="5"/>
    </row>
    <row r="295" spans="1:32" ht="12" customHeight="1">
      <c r="A295" s="33" t="s">
        <v>256</v>
      </c>
      <c r="B295" s="5"/>
      <c r="C295" s="5"/>
      <c r="D295" s="5"/>
      <c r="E295" s="5"/>
      <c r="F295" s="15" t="s">
        <v>31</v>
      </c>
      <c r="G295" s="15" t="s">
        <v>31</v>
      </c>
      <c r="H295" s="15" t="s">
        <v>31</v>
      </c>
      <c r="I295" s="15" t="s">
        <v>31</v>
      </c>
      <c r="J295" s="15" t="s">
        <v>31</v>
      </c>
      <c r="K295" s="15" t="s">
        <v>31</v>
      </c>
      <c r="L295" s="15" t="s">
        <v>31</v>
      </c>
      <c r="M295" s="13"/>
      <c r="N295" s="17"/>
      <c r="O295" s="5"/>
      <c r="P295" s="5"/>
      <c r="Q295" s="5"/>
      <c r="R295" s="5"/>
      <c r="S295" s="5"/>
      <c r="T295" s="5"/>
      <c r="U295" s="5"/>
      <c r="V295" s="5"/>
      <c r="W295" s="5"/>
      <c r="X295" s="5"/>
      <c r="Y295" s="5"/>
      <c r="Z295" s="5"/>
      <c r="AA295" s="5"/>
      <c r="AB295" s="5"/>
      <c r="AC295" s="5"/>
      <c r="AD295" s="5"/>
      <c r="AE295" s="5"/>
      <c r="AF295" s="5"/>
    </row>
    <row r="296" spans="1:32" ht="12" customHeight="1">
      <c r="A296" s="1" t="s">
        <v>221</v>
      </c>
      <c r="B296" s="2" t="s">
        <v>285</v>
      </c>
      <c r="C296" s="2" t="s">
        <v>223</v>
      </c>
      <c r="D296" s="2" t="s">
        <v>224</v>
      </c>
      <c r="E296" s="8">
        <v>1100</v>
      </c>
      <c r="F296" s="16"/>
      <c r="G296" s="16"/>
      <c r="H296" s="16"/>
      <c r="I296" s="16"/>
      <c r="J296" s="16"/>
      <c r="K296" s="16"/>
      <c r="L296" s="3">
        <f t="shared" ref="L296:L299" si="40">SUM(F296:K296)</f>
        <v>0</v>
      </c>
      <c r="M296" s="13"/>
      <c r="N296" s="17"/>
      <c r="O296" s="5"/>
      <c r="P296" s="5"/>
      <c r="Q296" s="5"/>
      <c r="R296" s="5"/>
      <c r="S296" s="5"/>
      <c r="T296" s="5"/>
      <c r="U296" s="5"/>
      <c r="V296" s="5"/>
      <c r="W296" s="5"/>
      <c r="X296" s="5"/>
      <c r="Y296" s="5"/>
      <c r="Z296" s="5"/>
      <c r="AA296" s="5"/>
      <c r="AB296" s="5"/>
      <c r="AC296" s="5"/>
      <c r="AD296" s="5"/>
      <c r="AE296" s="5"/>
      <c r="AF296" s="5"/>
    </row>
    <row r="297" spans="1:32" ht="12" customHeight="1">
      <c r="A297" s="1" t="s">
        <v>225</v>
      </c>
      <c r="B297" s="2" t="s">
        <v>285</v>
      </c>
      <c r="C297" s="2" t="s">
        <v>226</v>
      </c>
      <c r="D297" s="2" t="s">
        <v>224</v>
      </c>
      <c r="E297" s="8">
        <v>1200</v>
      </c>
      <c r="F297" s="16"/>
      <c r="G297" s="16"/>
      <c r="H297" s="16"/>
      <c r="I297" s="16"/>
      <c r="J297" s="16"/>
      <c r="K297" s="16"/>
      <c r="L297" s="3">
        <f t="shared" si="40"/>
        <v>0</v>
      </c>
      <c r="M297" s="13"/>
      <c r="N297" s="17"/>
      <c r="O297" s="5"/>
      <c r="P297" s="5"/>
      <c r="Q297" s="5"/>
      <c r="R297" s="5"/>
      <c r="S297" s="5"/>
      <c r="T297" s="5"/>
      <c r="U297" s="5"/>
      <c r="V297" s="5"/>
      <c r="W297" s="5"/>
      <c r="X297" s="5"/>
      <c r="Y297" s="5"/>
      <c r="Z297" s="5"/>
      <c r="AA297" s="5"/>
      <c r="AB297" s="5"/>
      <c r="AC297" s="5"/>
      <c r="AD297" s="5"/>
      <c r="AE297" s="5"/>
      <c r="AF297" s="5"/>
    </row>
    <row r="298" spans="1:32" ht="12" customHeight="1">
      <c r="A298" s="1" t="s">
        <v>227</v>
      </c>
      <c r="B298" s="2" t="s">
        <v>285</v>
      </c>
      <c r="C298" s="2" t="s">
        <v>228</v>
      </c>
      <c r="D298" s="2" t="s">
        <v>224</v>
      </c>
      <c r="E298" s="8">
        <v>1300</v>
      </c>
      <c r="F298" s="16"/>
      <c r="G298" s="16"/>
      <c r="H298" s="16"/>
      <c r="I298" s="16"/>
      <c r="J298" s="16"/>
      <c r="K298" s="16"/>
      <c r="L298" s="3">
        <f t="shared" si="40"/>
        <v>0</v>
      </c>
      <c r="M298" s="13"/>
      <c r="N298" s="17"/>
      <c r="O298" s="5"/>
      <c r="P298" s="5"/>
      <c r="Q298" s="5"/>
      <c r="R298" s="5"/>
      <c r="S298" s="5"/>
      <c r="T298" s="5"/>
      <c r="U298" s="5"/>
      <c r="V298" s="5"/>
      <c r="W298" s="5"/>
      <c r="X298" s="5"/>
      <c r="Y298" s="5"/>
      <c r="Z298" s="5"/>
      <c r="AA298" s="5"/>
      <c r="AB298" s="5"/>
      <c r="AC298" s="5"/>
      <c r="AD298" s="5"/>
      <c r="AE298" s="5"/>
      <c r="AF298" s="5"/>
    </row>
    <row r="299" spans="1:32" ht="12" customHeight="1">
      <c r="A299" s="1" t="s">
        <v>229</v>
      </c>
      <c r="B299" s="2" t="s">
        <v>285</v>
      </c>
      <c r="C299" s="2" t="s">
        <v>230</v>
      </c>
      <c r="D299" s="2" t="s">
        <v>224</v>
      </c>
      <c r="E299" s="8">
        <v>1400</v>
      </c>
      <c r="F299" s="16"/>
      <c r="G299" s="16"/>
      <c r="H299" s="16"/>
      <c r="I299" s="16"/>
      <c r="J299" s="16"/>
      <c r="K299" s="16"/>
      <c r="L299" s="3">
        <f t="shared" si="40"/>
        <v>0</v>
      </c>
      <c r="M299" s="13"/>
      <c r="N299" s="17"/>
      <c r="O299" s="5"/>
      <c r="P299" s="5"/>
      <c r="Q299" s="5"/>
      <c r="R299" s="5"/>
      <c r="S299" s="5"/>
      <c r="T299" s="5"/>
      <c r="U299" s="5"/>
      <c r="V299" s="5"/>
      <c r="W299" s="5"/>
      <c r="X299" s="5"/>
      <c r="Y299" s="5"/>
      <c r="Z299" s="5"/>
      <c r="AA299" s="5"/>
      <c r="AB299" s="5"/>
      <c r="AC299" s="5"/>
      <c r="AD299" s="5"/>
      <c r="AE299" s="5"/>
      <c r="AF299" s="5"/>
    </row>
    <row r="300" spans="1:32" ht="12" customHeight="1">
      <c r="A300" s="33" t="s">
        <v>231</v>
      </c>
      <c r="B300" s="5"/>
      <c r="C300" s="5"/>
      <c r="D300" s="5"/>
      <c r="E300" s="8"/>
      <c r="F300" s="15" t="s">
        <v>31</v>
      </c>
      <c r="G300" s="15" t="s">
        <v>31</v>
      </c>
      <c r="H300" s="15" t="s">
        <v>31</v>
      </c>
      <c r="I300" s="15" t="s">
        <v>31</v>
      </c>
      <c r="J300" s="15" t="s">
        <v>31</v>
      </c>
      <c r="K300" s="15" t="s">
        <v>31</v>
      </c>
      <c r="L300" s="15" t="s">
        <v>31</v>
      </c>
      <c r="M300" s="13"/>
      <c r="N300" s="17"/>
      <c r="O300" s="5"/>
      <c r="P300" s="5"/>
      <c r="Q300" s="5"/>
      <c r="R300" s="5"/>
      <c r="S300" s="5"/>
      <c r="T300" s="5"/>
      <c r="U300" s="5"/>
      <c r="V300" s="5"/>
      <c r="W300" s="5"/>
      <c r="X300" s="5"/>
      <c r="Y300" s="5"/>
      <c r="Z300" s="5"/>
      <c r="AA300" s="5"/>
      <c r="AB300" s="5"/>
      <c r="AC300" s="5"/>
      <c r="AD300" s="5"/>
      <c r="AE300" s="5"/>
      <c r="AF300" s="5"/>
    </row>
    <row r="301" spans="1:32" ht="12" customHeight="1">
      <c r="A301" s="1" t="s">
        <v>232</v>
      </c>
      <c r="B301" s="2" t="s">
        <v>285</v>
      </c>
      <c r="C301" s="2" t="s">
        <v>233</v>
      </c>
      <c r="D301" s="2" t="s">
        <v>224</v>
      </c>
      <c r="E301" s="8">
        <v>2100</v>
      </c>
      <c r="F301" s="16"/>
      <c r="G301" s="16"/>
      <c r="H301" s="16"/>
      <c r="I301" s="16"/>
      <c r="J301" s="16"/>
      <c r="K301" s="16"/>
      <c r="L301" s="3">
        <f t="shared" ref="L301:L308" si="41">SUM(F301:K301)</f>
        <v>0</v>
      </c>
      <c r="M301" s="13"/>
      <c r="N301" s="17"/>
      <c r="O301" s="5"/>
      <c r="P301" s="5"/>
      <c r="Q301" s="5"/>
      <c r="R301" s="5"/>
      <c r="S301" s="5"/>
      <c r="T301" s="5"/>
      <c r="U301" s="5"/>
      <c r="V301" s="5"/>
      <c r="W301" s="5"/>
      <c r="X301" s="5"/>
      <c r="Y301" s="5"/>
      <c r="Z301" s="5"/>
      <c r="AA301" s="5"/>
      <c r="AB301" s="5"/>
      <c r="AC301" s="5"/>
      <c r="AD301" s="5"/>
      <c r="AE301" s="5"/>
      <c r="AF301" s="5"/>
    </row>
    <row r="302" spans="1:32" ht="12" customHeight="1">
      <c r="A302" s="1" t="s">
        <v>234</v>
      </c>
      <c r="B302" s="2" t="s">
        <v>285</v>
      </c>
      <c r="C302" s="2" t="s">
        <v>235</v>
      </c>
      <c r="D302" s="2" t="s">
        <v>224</v>
      </c>
      <c r="E302" s="8">
        <v>2200</v>
      </c>
      <c r="F302" s="16"/>
      <c r="G302" s="16"/>
      <c r="H302" s="16"/>
      <c r="I302" s="16"/>
      <c r="J302" s="16"/>
      <c r="K302" s="16"/>
      <c r="L302" s="3">
        <f t="shared" si="41"/>
        <v>0</v>
      </c>
      <c r="M302" s="13"/>
      <c r="N302" s="17"/>
      <c r="O302" s="5"/>
      <c r="P302" s="5"/>
      <c r="Q302" s="5"/>
      <c r="R302" s="5"/>
      <c r="S302" s="5"/>
      <c r="T302" s="5"/>
      <c r="U302" s="5"/>
      <c r="V302" s="5"/>
      <c r="W302" s="5"/>
      <c r="X302" s="5"/>
      <c r="Y302" s="5"/>
      <c r="Z302" s="5"/>
      <c r="AA302" s="5"/>
      <c r="AB302" s="5"/>
      <c r="AC302" s="5"/>
      <c r="AD302" s="5"/>
      <c r="AE302" s="5"/>
      <c r="AF302" s="5"/>
    </row>
    <row r="303" spans="1:32" ht="12" customHeight="1">
      <c r="A303" s="1" t="s">
        <v>236</v>
      </c>
      <c r="B303" s="2" t="s">
        <v>285</v>
      </c>
      <c r="C303" s="2" t="s">
        <v>237</v>
      </c>
      <c r="D303" s="2" t="s">
        <v>224</v>
      </c>
      <c r="E303" s="8">
        <v>2300</v>
      </c>
      <c r="F303" s="16"/>
      <c r="G303" s="16"/>
      <c r="H303" s="16"/>
      <c r="I303" s="16"/>
      <c r="J303" s="16"/>
      <c r="K303" s="16"/>
      <c r="L303" s="3">
        <f t="shared" si="41"/>
        <v>0</v>
      </c>
      <c r="M303" s="13"/>
      <c r="N303" s="17"/>
      <c r="O303" s="5"/>
      <c r="P303" s="5"/>
      <c r="Q303" s="5"/>
      <c r="R303" s="5"/>
      <c r="S303" s="5"/>
      <c r="T303" s="5"/>
      <c r="U303" s="5"/>
      <c r="V303" s="5"/>
      <c r="W303" s="5"/>
      <c r="X303" s="5"/>
      <c r="Y303" s="5"/>
      <c r="Z303" s="5"/>
      <c r="AA303" s="5"/>
      <c r="AB303" s="5"/>
      <c r="AC303" s="5"/>
      <c r="AD303" s="5"/>
      <c r="AE303" s="5"/>
      <c r="AF303" s="5"/>
    </row>
    <row r="304" spans="1:32" ht="12" customHeight="1">
      <c r="A304" s="1" t="s">
        <v>238</v>
      </c>
      <c r="B304" s="2" t="s">
        <v>285</v>
      </c>
      <c r="C304" s="2" t="s">
        <v>239</v>
      </c>
      <c r="D304" s="2" t="s">
        <v>224</v>
      </c>
      <c r="E304" s="8">
        <v>2400</v>
      </c>
      <c r="F304" s="16"/>
      <c r="G304" s="16"/>
      <c r="H304" s="16"/>
      <c r="I304" s="16"/>
      <c r="J304" s="16"/>
      <c r="K304" s="16"/>
      <c r="L304" s="3">
        <f t="shared" si="41"/>
        <v>0</v>
      </c>
      <c r="M304" s="13"/>
      <c r="N304" s="17"/>
      <c r="O304" s="5"/>
      <c r="P304" s="5"/>
      <c r="Q304" s="5"/>
      <c r="R304" s="5"/>
      <c r="S304" s="5"/>
      <c r="T304" s="5"/>
      <c r="U304" s="5"/>
      <c r="V304" s="5"/>
      <c r="W304" s="5"/>
      <c r="X304" s="5"/>
      <c r="Y304" s="5"/>
      <c r="Z304" s="5"/>
      <c r="AA304" s="5"/>
      <c r="AB304" s="5"/>
      <c r="AC304" s="5"/>
      <c r="AD304" s="5"/>
      <c r="AE304" s="5"/>
      <c r="AF304" s="5"/>
    </row>
    <row r="305" spans="1:32" ht="12" customHeight="1">
      <c r="A305" s="1" t="s">
        <v>240</v>
      </c>
      <c r="B305" s="2" t="s">
        <v>285</v>
      </c>
      <c r="C305" s="2" t="s">
        <v>241</v>
      </c>
      <c r="D305" s="2" t="s">
        <v>224</v>
      </c>
      <c r="E305" s="8">
        <v>2500</v>
      </c>
      <c r="F305" s="16"/>
      <c r="G305" s="16"/>
      <c r="H305" s="16"/>
      <c r="I305" s="16"/>
      <c r="J305" s="16"/>
      <c r="K305" s="16"/>
      <c r="L305" s="3">
        <f t="shared" si="41"/>
        <v>0</v>
      </c>
      <c r="M305" s="13"/>
      <c r="N305" s="17"/>
      <c r="O305" s="5"/>
      <c r="P305" s="5"/>
      <c r="Q305" s="5"/>
      <c r="R305" s="5"/>
      <c r="S305" s="5"/>
      <c r="T305" s="5"/>
      <c r="U305" s="5"/>
      <c r="V305" s="5"/>
      <c r="W305" s="5"/>
      <c r="X305" s="5"/>
      <c r="Y305" s="5"/>
      <c r="Z305" s="5"/>
      <c r="AA305" s="5"/>
      <c r="AB305" s="5"/>
      <c r="AC305" s="5"/>
      <c r="AD305" s="5"/>
      <c r="AE305" s="5"/>
      <c r="AF305" s="5"/>
    </row>
    <row r="306" spans="1:32" ht="12" customHeight="1">
      <c r="A306" s="1" t="s">
        <v>242</v>
      </c>
      <c r="B306" s="2" t="s">
        <v>285</v>
      </c>
      <c r="C306" s="2" t="s">
        <v>243</v>
      </c>
      <c r="D306" s="2" t="s">
        <v>224</v>
      </c>
      <c r="E306" s="8">
        <v>2600</v>
      </c>
      <c r="F306" s="16"/>
      <c r="G306" s="16"/>
      <c r="H306" s="16"/>
      <c r="I306" s="16"/>
      <c r="J306" s="16"/>
      <c r="K306" s="16"/>
      <c r="L306" s="3">
        <f t="shared" si="41"/>
        <v>0</v>
      </c>
      <c r="M306" s="13"/>
      <c r="N306" s="17"/>
      <c r="O306" s="5"/>
      <c r="P306" s="5"/>
      <c r="Q306" s="5"/>
      <c r="R306" s="5"/>
      <c r="S306" s="5"/>
      <c r="T306" s="5"/>
      <c r="U306" s="5"/>
      <c r="V306" s="5"/>
      <c r="W306" s="5"/>
      <c r="X306" s="5"/>
      <c r="Y306" s="5"/>
      <c r="Z306" s="5"/>
      <c r="AA306" s="5"/>
      <c r="AB306" s="5"/>
      <c r="AC306" s="5"/>
      <c r="AD306" s="5"/>
      <c r="AE306" s="5"/>
      <c r="AF306" s="5"/>
    </row>
    <row r="307" spans="1:32" ht="12" customHeight="1">
      <c r="A307" s="1" t="s">
        <v>244</v>
      </c>
      <c r="B307" s="2" t="s">
        <v>285</v>
      </c>
      <c r="C307" s="2" t="s">
        <v>245</v>
      </c>
      <c r="D307" s="2" t="s">
        <v>224</v>
      </c>
      <c r="E307" s="8">
        <v>2700</v>
      </c>
      <c r="F307" s="16"/>
      <c r="G307" s="16"/>
      <c r="H307" s="16"/>
      <c r="I307" s="16"/>
      <c r="J307" s="16"/>
      <c r="K307" s="16"/>
      <c r="L307" s="3">
        <f t="shared" si="41"/>
        <v>0</v>
      </c>
      <c r="M307" s="13"/>
      <c r="N307" s="17"/>
      <c r="O307" s="5"/>
      <c r="P307" s="5"/>
      <c r="Q307" s="5"/>
      <c r="R307" s="5"/>
      <c r="S307" s="5"/>
      <c r="T307" s="5"/>
      <c r="U307" s="5"/>
      <c r="V307" s="5"/>
      <c r="W307" s="5"/>
      <c r="X307" s="5"/>
      <c r="Y307" s="5"/>
      <c r="Z307" s="5"/>
      <c r="AA307" s="5"/>
      <c r="AB307" s="5"/>
      <c r="AC307" s="5"/>
      <c r="AD307" s="5"/>
      <c r="AE307" s="5"/>
      <c r="AF307" s="5"/>
    </row>
    <row r="308" spans="1:32" ht="12" customHeight="1">
      <c r="A308" s="1" t="s">
        <v>246</v>
      </c>
      <c r="B308" s="2" t="s">
        <v>285</v>
      </c>
      <c r="C308" s="2" t="s">
        <v>247</v>
      </c>
      <c r="D308" s="2" t="s">
        <v>224</v>
      </c>
      <c r="E308" s="8">
        <v>2800</v>
      </c>
      <c r="F308" s="16"/>
      <c r="G308" s="16"/>
      <c r="H308" s="16"/>
      <c r="I308" s="16"/>
      <c r="J308" s="16"/>
      <c r="K308" s="16"/>
      <c r="L308" s="3">
        <f t="shared" si="41"/>
        <v>0</v>
      </c>
      <c r="M308" s="13"/>
      <c r="N308" s="17"/>
      <c r="O308" s="5"/>
      <c r="P308" s="5"/>
      <c r="Q308" s="5"/>
      <c r="R308" s="5"/>
      <c r="S308" s="5"/>
      <c r="T308" s="5"/>
      <c r="U308" s="5"/>
      <c r="V308" s="5"/>
      <c r="W308" s="5"/>
      <c r="X308" s="5"/>
      <c r="Y308" s="5"/>
      <c r="Z308" s="5"/>
      <c r="AA308" s="5"/>
      <c r="AB308" s="5"/>
      <c r="AC308" s="5"/>
      <c r="AD308" s="5"/>
      <c r="AE308" s="5"/>
      <c r="AF308" s="5"/>
    </row>
    <row r="309" spans="1:32" ht="12" customHeight="1">
      <c r="A309" s="1" t="s">
        <v>248</v>
      </c>
      <c r="B309" s="2" t="s">
        <v>285</v>
      </c>
      <c r="C309" s="2" t="s">
        <v>249</v>
      </c>
      <c r="D309" s="2" t="s">
        <v>224</v>
      </c>
      <c r="E309" s="8">
        <v>2900</v>
      </c>
      <c r="F309" s="15" t="s">
        <v>31</v>
      </c>
      <c r="G309" s="15" t="s">
        <v>31</v>
      </c>
      <c r="H309" s="15" t="s">
        <v>31</v>
      </c>
      <c r="I309" s="15" t="s">
        <v>31</v>
      </c>
      <c r="J309" s="15" t="s">
        <v>31</v>
      </c>
      <c r="K309" s="15" t="s">
        <v>31</v>
      </c>
      <c r="L309" s="15" t="s">
        <v>31</v>
      </c>
      <c r="N309" s="27"/>
    </row>
    <row r="310" spans="1:32" ht="12" customHeight="1">
      <c r="A310" s="19" t="s">
        <v>254</v>
      </c>
      <c r="B310" s="20" t="s">
        <v>285</v>
      </c>
      <c r="C310" s="21">
        <v>14</v>
      </c>
      <c r="D310" s="20" t="s">
        <v>224</v>
      </c>
      <c r="E310" s="21"/>
      <c r="F310" s="47">
        <f t="shared" ref="F310:L310" si="42">SUM(F296:F309)</f>
        <v>0</v>
      </c>
      <c r="G310" s="47">
        <f t="shared" si="42"/>
        <v>0</v>
      </c>
      <c r="H310" s="47">
        <f t="shared" si="42"/>
        <v>0</v>
      </c>
      <c r="I310" s="47">
        <f t="shared" si="42"/>
        <v>0</v>
      </c>
      <c r="J310" s="47">
        <f t="shared" si="42"/>
        <v>0</v>
      </c>
      <c r="K310" s="47">
        <f t="shared" si="42"/>
        <v>0</v>
      </c>
      <c r="L310" s="22">
        <f t="shared" si="42"/>
        <v>0</v>
      </c>
      <c r="M310" s="13"/>
      <c r="N310" s="17"/>
      <c r="O310" s="5"/>
      <c r="P310" s="5"/>
      <c r="Q310" s="5"/>
      <c r="R310" s="5"/>
      <c r="S310" s="5"/>
      <c r="T310" s="5"/>
      <c r="U310" s="5"/>
      <c r="V310" s="5"/>
      <c r="W310" s="5"/>
      <c r="X310" s="5"/>
      <c r="Y310" s="5"/>
      <c r="Z310" s="5"/>
      <c r="AA310" s="5"/>
      <c r="AB310" s="5"/>
      <c r="AC310" s="5"/>
      <c r="AD310" s="5"/>
      <c r="AE310" s="5"/>
      <c r="AF310" s="5"/>
    </row>
    <row r="311" spans="1:32" ht="12" customHeight="1">
      <c r="A311" s="14"/>
      <c r="B311" s="2"/>
      <c r="C311" s="8"/>
      <c r="D311" s="8"/>
      <c r="E311" s="8"/>
      <c r="F311" s="28"/>
      <c r="G311" s="28"/>
      <c r="H311" s="28"/>
      <c r="I311" s="28"/>
      <c r="J311" s="28"/>
      <c r="K311" s="28"/>
      <c r="L311" s="3"/>
      <c r="M311" s="13"/>
      <c r="N311" s="17"/>
      <c r="O311" s="5"/>
      <c r="P311" s="5"/>
      <c r="Q311" s="5"/>
      <c r="R311" s="5"/>
      <c r="S311" s="5"/>
      <c r="T311" s="5"/>
      <c r="U311" s="5"/>
      <c r="V311" s="5"/>
      <c r="W311" s="5"/>
      <c r="X311" s="5"/>
      <c r="Y311" s="5"/>
      <c r="Z311" s="5"/>
      <c r="AA311" s="5"/>
      <c r="AB311" s="5"/>
      <c r="AC311" s="5"/>
      <c r="AD311" s="5"/>
      <c r="AE311" s="5"/>
      <c r="AF311" s="5"/>
    </row>
    <row r="312" spans="1:32" ht="12" customHeight="1">
      <c r="A312" s="14" t="s">
        <v>283</v>
      </c>
      <c r="F312" s="4" t="s">
        <v>206</v>
      </c>
      <c r="G312" s="4" t="s">
        <v>207</v>
      </c>
      <c r="H312" s="4" t="s">
        <v>208</v>
      </c>
      <c r="I312" s="4" t="s">
        <v>209</v>
      </c>
      <c r="J312" s="4" t="s">
        <v>210</v>
      </c>
      <c r="K312" s="4" t="s">
        <v>211</v>
      </c>
      <c r="L312" s="28"/>
      <c r="M312" s="13"/>
      <c r="N312" s="17"/>
      <c r="O312" s="5"/>
      <c r="P312" s="5"/>
      <c r="Q312" s="5"/>
      <c r="R312" s="5"/>
      <c r="S312" s="5"/>
      <c r="T312" s="5"/>
      <c r="U312" s="5"/>
      <c r="V312" s="5"/>
      <c r="W312" s="5"/>
      <c r="X312" s="5"/>
      <c r="Y312" s="5"/>
      <c r="Z312" s="5"/>
      <c r="AA312" s="5"/>
      <c r="AB312" s="5"/>
      <c r="AC312" s="5"/>
      <c r="AD312" s="5"/>
      <c r="AE312" s="5"/>
      <c r="AF312" s="5"/>
    </row>
    <row r="313" spans="1:32" ht="12" customHeight="1">
      <c r="A313" s="14" t="s">
        <v>255</v>
      </c>
      <c r="B313" s="5"/>
      <c r="C313" s="5"/>
      <c r="D313" s="5"/>
      <c r="E313" s="5"/>
      <c r="F313" s="45" t="s">
        <v>213</v>
      </c>
      <c r="G313" s="45" t="s">
        <v>214</v>
      </c>
      <c r="H313" s="45" t="s">
        <v>215</v>
      </c>
      <c r="I313" s="45" t="s">
        <v>216</v>
      </c>
      <c r="J313" s="45" t="s">
        <v>217</v>
      </c>
      <c r="K313" s="45" t="s">
        <v>218</v>
      </c>
      <c r="L313" s="45" t="s">
        <v>219</v>
      </c>
      <c r="M313" s="13"/>
      <c r="N313" s="17"/>
      <c r="O313" s="5"/>
      <c r="P313" s="5"/>
      <c r="Q313" s="5"/>
      <c r="R313" s="5"/>
      <c r="S313" s="5"/>
      <c r="T313" s="5"/>
      <c r="U313" s="5"/>
      <c r="V313" s="5"/>
      <c r="W313" s="5"/>
      <c r="X313" s="5"/>
      <c r="Y313" s="5"/>
      <c r="Z313" s="5"/>
      <c r="AA313" s="5"/>
      <c r="AB313" s="5"/>
      <c r="AC313" s="5"/>
      <c r="AD313" s="5"/>
      <c r="AE313" s="5"/>
      <c r="AF313" s="5"/>
    </row>
    <row r="314" spans="1:32" ht="12" customHeight="1">
      <c r="A314" s="33" t="s">
        <v>256</v>
      </c>
      <c r="B314" s="5"/>
      <c r="C314" s="5"/>
      <c r="D314" s="5"/>
      <c r="E314" s="5"/>
      <c r="F314" s="15" t="s">
        <v>31</v>
      </c>
      <c r="G314" s="15" t="s">
        <v>31</v>
      </c>
      <c r="H314" s="15" t="s">
        <v>31</v>
      </c>
      <c r="I314" s="15" t="s">
        <v>31</v>
      </c>
      <c r="J314" s="15" t="s">
        <v>31</v>
      </c>
      <c r="K314" s="15" t="s">
        <v>31</v>
      </c>
      <c r="L314" s="15" t="s">
        <v>31</v>
      </c>
      <c r="M314" s="13"/>
      <c r="N314" s="17"/>
      <c r="O314" s="5"/>
      <c r="P314" s="5"/>
      <c r="Q314" s="5"/>
      <c r="R314" s="5"/>
      <c r="S314" s="5"/>
      <c r="T314" s="5"/>
      <c r="U314" s="5"/>
      <c r="V314" s="5"/>
      <c r="W314" s="5"/>
      <c r="X314" s="5"/>
      <c r="Y314" s="5"/>
      <c r="Z314" s="5"/>
      <c r="AA314" s="5"/>
      <c r="AB314" s="5"/>
      <c r="AC314" s="5"/>
      <c r="AD314" s="5"/>
      <c r="AE314" s="5"/>
      <c r="AF314" s="5"/>
    </row>
    <row r="315" spans="1:32" ht="12" customHeight="1">
      <c r="A315" s="1" t="s">
        <v>221</v>
      </c>
      <c r="B315" s="2" t="s">
        <v>286</v>
      </c>
      <c r="C315" s="2" t="s">
        <v>223</v>
      </c>
      <c r="D315" s="2" t="s">
        <v>224</v>
      </c>
      <c r="E315" s="8">
        <v>1100</v>
      </c>
      <c r="F315" s="16"/>
      <c r="G315" s="16"/>
      <c r="H315" s="16"/>
      <c r="I315" s="16"/>
      <c r="J315" s="16"/>
      <c r="K315" s="16"/>
      <c r="L315" s="3">
        <f t="shared" ref="L315:L318" si="43">SUM(F315:K315)</f>
        <v>0</v>
      </c>
      <c r="M315" s="13"/>
      <c r="N315" s="17"/>
      <c r="O315" s="5"/>
      <c r="P315" s="5"/>
      <c r="Q315" s="5"/>
      <c r="R315" s="5"/>
      <c r="S315" s="5"/>
      <c r="T315" s="5"/>
      <c r="U315" s="5"/>
      <c r="V315" s="5"/>
      <c r="W315" s="5"/>
      <c r="X315" s="5"/>
      <c r="Y315" s="5"/>
      <c r="Z315" s="5"/>
      <c r="AA315" s="5"/>
      <c r="AB315" s="5"/>
      <c r="AC315" s="5"/>
      <c r="AD315" s="5"/>
      <c r="AE315" s="5"/>
      <c r="AF315" s="5"/>
    </row>
    <row r="316" spans="1:32" ht="12" customHeight="1">
      <c r="A316" s="1" t="s">
        <v>225</v>
      </c>
      <c r="B316" s="2" t="s">
        <v>286</v>
      </c>
      <c r="C316" s="2" t="s">
        <v>226</v>
      </c>
      <c r="D316" s="2" t="s">
        <v>224</v>
      </c>
      <c r="E316" s="8">
        <v>1200</v>
      </c>
      <c r="F316" s="16"/>
      <c r="G316" s="16"/>
      <c r="H316" s="16"/>
      <c r="I316" s="16"/>
      <c r="J316" s="16"/>
      <c r="K316" s="16"/>
      <c r="L316" s="3">
        <f t="shared" si="43"/>
        <v>0</v>
      </c>
      <c r="M316" s="13"/>
      <c r="N316" s="17"/>
      <c r="O316" s="5"/>
      <c r="P316" s="5"/>
      <c r="Q316" s="5"/>
      <c r="R316" s="5"/>
      <c r="S316" s="5"/>
      <c r="T316" s="5"/>
      <c r="U316" s="5"/>
      <c r="V316" s="5"/>
      <c r="W316" s="5"/>
      <c r="X316" s="5"/>
      <c r="Y316" s="5"/>
      <c r="Z316" s="5"/>
      <c r="AA316" s="5"/>
      <c r="AB316" s="5"/>
      <c r="AC316" s="5"/>
      <c r="AD316" s="5"/>
      <c r="AE316" s="5"/>
      <c r="AF316" s="5"/>
    </row>
    <row r="317" spans="1:32" ht="12" customHeight="1">
      <c r="A317" s="1" t="s">
        <v>227</v>
      </c>
      <c r="B317" s="2" t="s">
        <v>286</v>
      </c>
      <c r="C317" s="2" t="s">
        <v>228</v>
      </c>
      <c r="D317" s="2" t="s">
        <v>224</v>
      </c>
      <c r="E317" s="8">
        <v>1300</v>
      </c>
      <c r="F317" s="16"/>
      <c r="G317" s="16"/>
      <c r="H317" s="16"/>
      <c r="I317" s="16"/>
      <c r="J317" s="16"/>
      <c r="K317" s="16"/>
      <c r="L317" s="3">
        <f t="shared" si="43"/>
        <v>0</v>
      </c>
      <c r="M317" s="13"/>
      <c r="N317" s="17"/>
      <c r="O317" s="5"/>
      <c r="P317" s="5"/>
      <c r="Q317" s="5"/>
      <c r="R317" s="5"/>
      <c r="S317" s="5"/>
      <c r="T317" s="5"/>
      <c r="U317" s="5"/>
      <c r="V317" s="5"/>
      <c r="W317" s="5"/>
      <c r="X317" s="5"/>
      <c r="Y317" s="5"/>
      <c r="Z317" s="5"/>
      <c r="AA317" s="5"/>
      <c r="AB317" s="5"/>
      <c r="AC317" s="5"/>
      <c r="AD317" s="5"/>
      <c r="AE317" s="5"/>
      <c r="AF317" s="5"/>
    </row>
    <row r="318" spans="1:32" ht="12" customHeight="1">
      <c r="A318" s="1" t="s">
        <v>229</v>
      </c>
      <c r="B318" s="2" t="s">
        <v>286</v>
      </c>
      <c r="C318" s="2" t="s">
        <v>230</v>
      </c>
      <c r="D318" s="2" t="s">
        <v>224</v>
      </c>
      <c r="E318" s="8">
        <v>1400</v>
      </c>
      <c r="F318" s="16"/>
      <c r="G318" s="16"/>
      <c r="H318" s="16"/>
      <c r="I318" s="16"/>
      <c r="J318" s="16"/>
      <c r="K318" s="16"/>
      <c r="L318" s="3">
        <f t="shared" si="43"/>
        <v>0</v>
      </c>
      <c r="M318" s="13"/>
      <c r="N318" s="17"/>
      <c r="O318" s="5"/>
      <c r="P318" s="5"/>
      <c r="Q318" s="5"/>
      <c r="R318" s="5"/>
      <c r="S318" s="5"/>
      <c r="T318" s="5"/>
      <c r="U318" s="5"/>
      <c r="V318" s="5"/>
      <c r="W318" s="5"/>
      <c r="X318" s="5"/>
      <c r="Y318" s="5"/>
      <c r="Z318" s="5"/>
      <c r="AA318" s="5"/>
      <c r="AB318" s="5"/>
      <c r="AC318" s="5"/>
      <c r="AD318" s="5"/>
      <c r="AE318" s="5"/>
      <c r="AF318" s="5"/>
    </row>
    <row r="319" spans="1:32" ht="12" customHeight="1">
      <c r="A319" s="33" t="s">
        <v>231</v>
      </c>
      <c r="B319" s="5"/>
      <c r="C319" s="10"/>
      <c r="D319" s="5"/>
      <c r="E319" s="8"/>
      <c r="F319" s="15" t="s">
        <v>31</v>
      </c>
      <c r="G319" s="15" t="s">
        <v>31</v>
      </c>
      <c r="H319" s="15" t="s">
        <v>31</v>
      </c>
      <c r="I319" s="15" t="s">
        <v>31</v>
      </c>
      <c r="J319" s="15" t="s">
        <v>31</v>
      </c>
      <c r="K319" s="15" t="s">
        <v>31</v>
      </c>
      <c r="L319" s="15" t="s">
        <v>31</v>
      </c>
      <c r="M319" s="13"/>
      <c r="N319" s="17"/>
      <c r="O319" s="5"/>
      <c r="P319" s="5"/>
      <c r="Q319" s="5"/>
      <c r="R319" s="5"/>
      <c r="S319" s="5"/>
      <c r="T319" s="5"/>
      <c r="U319" s="5"/>
      <c r="V319" s="5"/>
      <c r="W319" s="5"/>
      <c r="X319" s="5"/>
      <c r="Y319" s="5"/>
      <c r="Z319" s="5"/>
      <c r="AA319" s="5"/>
      <c r="AB319" s="5"/>
      <c r="AC319" s="5"/>
      <c r="AD319" s="5"/>
      <c r="AE319" s="5"/>
      <c r="AF319" s="5"/>
    </row>
    <row r="320" spans="1:32" ht="12" customHeight="1">
      <c r="A320" s="1" t="s">
        <v>232</v>
      </c>
      <c r="B320" s="2" t="s">
        <v>286</v>
      </c>
      <c r="C320" s="2" t="s">
        <v>233</v>
      </c>
      <c r="D320" s="2" t="s">
        <v>224</v>
      </c>
      <c r="E320" s="8">
        <v>2100</v>
      </c>
      <c r="F320" s="16"/>
      <c r="G320" s="16"/>
      <c r="H320" s="16"/>
      <c r="I320" s="16"/>
      <c r="J320" s="16"/>
      <c r="K320" s="16"/>
      <c r="L320" s="3">
        <f t="shared" ref="L320:L327" si="44">SUM(F320:K320)</f>
        <v>0</v>
      </c>
      <c r="M320" s="13"/>
      <c r="N320" s="17"/>
      <c r="O320" s="5"/>
      <c r="P320" s="5"/>
      <c r="Q320" s="5"/>
      <c r="R320" s="5"/>
      <c r="S320" s="5"/>
      <c r="T320" s="5"/>
      <c r="U320" s="5"/>
      <c r="V320" s="5"/>
      <c r="W320" s="5"/>
      <c r="X320" s="5"/>
      <c r="Y320" s="5"/>
      <c r="Z320" s="5"/>
      <c r="AA320" s="5"/>
      <c r="AB320" s="5"/>
      <c r="AC320" s="5"/>
      <c r="AD320" s="5"/>
      <c r="AE320" s="5"/>
      <c r="AF320" s="5"/>
    </row>
    <row r="321" spans="1:32" ht="12" customHeight="1">
      <c r="A321" s="1" t="s">
        <v>234</v>
      </c>
      <c r="B321" s="2" t="s">
        <v>286</v>
      </c>
      <c r="C321" s="2" t="s">
        <v>235</v>
      </c>
      <c r="D321" s="2" t="s">
        <v>224</v>
      </c>
      <c r="E321" s="8">
        <v>2200</v>
      </c>
      <c r="F321" s="16"/>
      <c r="G321" s="16"/>
      <c r="H321" s="16"/>
      <c r="I321" s="16"/>
      <c r="J321" s="16"/>
      <c r="K321" s="16"/>
      <c r="L321" s="3">
        <f t="shared" si="44"/>
        <v>0</v>
      </c>
      <c r="M321" s="13"/>
      <c r="N321" s="17"/>
      <c r="O321" s="5"/>
      <c r="P321" s="5"/>
      <c r="Q321" s="5"/>
      <c r="R321" s="5"/>
      <c r="S321" s="5"/>
      <c r="T321" s="5"/>
      <c r="U321" s="5"/>
      <c r="V321" s="5"/>
      <c r="W321" s="5"/>
      <c r="X321" s="5"/>
      <c r="Y321" s="5"/>
      <c r="Z321" s="5"/>
      <c r="AA321" s="5"/>
      <c r="AB321" s="5"/>
      <c r="AC321" s="5"/>
      <c r="AD321" s="5"/>
      <c r="AE321" s="5"/>
      <c r="AF321" s="5"/>
    </row>
    <row r="322" spans="1:32" ht="12" customHeight="1">
      <c r="A322" s="1" t="s">
        <v>236</v>
      </c>
      <c r="B322" s="2" t="s">
        <v>286</v>
      </c>
      <c r="C322" s="2" t="s">
        <v>237</v>
      </c>
      <c r="D322" s="2" t="s">
        <v>224</v>
      </c>
      <c r="E322" s="8">
        <v>2300</v>
      </c>
      <c r="F322" s="16"/>
      <c r="G322" s="16"/>
      <c r="H322" s="16"/>
      <c r="I322" s="16"/>
      <c r="J322" s="16"/>
      <c r="K322" s="16"/>
      <c r="L322" s="3">
        <f t="shared" si="44"/>
        <v>0</v>
      </c>
      <c r="M322" s="13"/>
      <c r="N322" s="17"/>
      <c r="O322" s="5"/>
      <c r="P322" s="5"/>
      <c r="Q322" s="5"/>
      <c r="R322" s="5"/>
      <c r="S322" s="5"/>
      <c r="T322" s="5"/>
      <c r="U322" s="5"/>
      <c r="V322" s="5"/>
      <c r="W322" s="5"/>
      <c r="X322" s="5"/>
      <c r="Y322" s="5"/>
      <c r="Z322" s="5"/>
      <c r="AA322" s="5"/>
      <c r="AB322" s="5"/>
      <c r="AC322" s="5"/>
      <c r="AD322" s="5"/>
      <c r="AE322" s="5"/>
      <c r="AF322" s="5"/>
    </row>
    <row r="323" spans="1:32" ht="12" customHeight="1">
      <c r="A323" s="1" t="s">
        <v>238</v>
      </c>
      <c r="B323" s="2" t="s">
        <v>286</v>
      </c>
      <c r="C323" s="2" t="s">
        <v>239</v>
      </c>
      <c r="D323" s="2" t="s">
        <v>224</v>
      </c>
      <c r="E323" s="8">
        <v>2400</v>
      </c>
      <c r="F323" s="16"/>
      <c r="G323" s="16"/>
      <c r="H323" s="16"/>
      <c r="I323" s="16"/>
      <c r="J323" s="16"/>
      <c r="K323" s="16"/>
      <c r="L323" s="3">
        <f t="shared" si="44"/>
        <v>0</v>
      </c>
      <c r="M323" s="13"/>
      <c r="N323" s="17"/>
      <c r="O323" s="5"/>
      <c r="P323" s="5"/>
      <c r="Q323" s="5"/>
      <c r="R323" s="5"/>
      <c r="S323" s="5"/>
      <c r="T323" s="5"/>
      <c r="U323" s="5"/>
      <c r="V323" s="5"/>
      <c r="W323" s="5"/>
      <c r="X323" s="5"/>
      <c r="Y323" s="5"/>
      <c r="Z323" s="5"/>
      <c r="AA323" s="5"/>
      <c r="AB323" s="5"/>
      <c r="AC323" s="5"/>
      <c r="AD323" s="5"/>
      <c r="AE323" s="5"/>
      <c r="AF323" s="5"/>
    </row>
    <row r="324" spans="1:32" ht="12" customHeight="1">
      <c r="A324" s="1" t="s">
        <v>240</v>
      </c>
      <c r="B324" s="2" t="s">
        <v>286</v>
      </c>
      <c r="C324" s="2" t="s">
        <v>241</v>
      </c>
      <c r="D324" s="2" t="s">
        <v>224</v>
      </c>
      <c r="E324" s="8">
        <v>2500</v>
      </c>
      <c r="F324" s="16"/>
      <c r="G324" s="16"/>
      <c r="H324" s="16"/>
      <c r="I324" s="16"/>
      <c r="J324" s="16"/>
      <c r="K324" s="16"/>
      <c r="L324" s="3">
        <f t="shared" si="44"/>
        <v>0</v>
      </c>
      <c r="M324" s="13"/>
      <c r="N324" s="17"/>
      <c r="O324" s="5"/>
      <c r="P324" s="5"/>
      <c r="Q324" s="5"/>
      <c r="R324" s="5"/>
      <c r="S324" s="5"/>
      <c r="T324" s="5"/>
      <c r="U324" s="5"/>
      <c r="V324" s="5"/>
      <c r="W324" s="5"/>
      <c r="X324" s="5"/>
      <c r="Y324" s="5"/>
      <c r="Z324" s="5"/>
      <c r="AA324" s="5"/>
      <c r="AB324" s="5"/>
      <c r="AC324" s="5"/>
      <c r="AD324" s="5"/>
      <c r="AE324" s="5"/>
      <c r="AF324" s="5"/>
    </row>
    <row r="325" spans="1:32" ht="12" customHeight="1">
      <c r="A325" s="1" t="s">
        <v>242</v>
      </c>
      <c r="B325" s="2" t="s">
        <v>286</v>
      </c>
      <c r="C325" s="2" t="s">
        <v>243</v>
      </c>
      <c r="D325" s="2" t="s">
        <v>224</v>
      </c>
      <c r="E325" s="8">
        <v>2600</v>
      </c>
      <c r="F325" s="16"/>
      <c r="G325" s="16"/>
      <c r="H325" s="16"/>
      <c r="I325" s="16"/>
      <c r="J325" s="16"/>
      <c r="K325" s="16"/>
      <c r="L325" s="3">
        <f t="shared" si="44"/>
        <v>0</v>
      </c>
      <c r="M325" s="13"/>
      <c r="N325" s="17"/>
      <c r="O325" s="5"/>
      <c r="P325" s="5"/>
      <c r="Q325" s="5"/>
      <c r="R325" s="5"/>
      <c r="S325" s="5"/>
      <c r="T325" s="5"/>
      <c r="U325" s="5"/>
      <c r="V325" s="5"/>
      <c r="W325" s="5"/>
      <c r="X325" s="5"/>
      <c r="Y325" s="5"/>
      <c r="Z325" s="5"/>
      <c r="AA325" s="5"/>
      <c r="AB325" s="5"/>
      <c r="AC325" s="5"/>
      <c r="AD325" s="5"/>
      <c r="AE325" s="5"/>
      <c r="AF325" s="5"/>
    </row>
    <row r="326" spans="1:32" ht="12" customHeight="1">
      <c r="A326" s="1" t="s">
        <v>244</v>
      </c>
      <c r="B326" s="2" t="s">
        <v>286</v>
      </c>
      <c r="C326" s="2" t="s">
        <v>245</v>
      </c>
      <c r="D326" s="2" t="s">
        <v>224</v>
      </c>
      <c r="E326" s="8">
        <v>2700</v>
      </c>
      <c r="F326" s="16"/>
      <c r="G326" s="16"/>
      <c r="H326" s="16"/>
      <c r="I326" s="16"/>
      <c r="J326" s="16"/>
      <c r="K326" s="16"/>
      <c r="L326" s="3">
        <f t="shared" si="44"/>
        <v>0</v>
      </c>
      <c r="M326" s="13"/>
      <c r="N326" s="17"/>
      <c r="O326" s="5"/>
      <c r="P326" s="5"/>
      <c r="Q326" s="5"/>
      <c r="R326" s="5"/>
      <c r="S326" s="5"/>
      <c r="T326" s="5"/>
      <c r="U326" s="5"/>
      <c r="V326" s="5"/>
      <c r="W326" s="5"/>
      <c r="X326" s="5"/>
      <c r="Y326" s="5"/>
      <c r="Z326" s="5"/>
      <c r="AA326" s="5"/>
      <c r="AB326" s="5"/>
      <c r="AC326" s="5"/>
      <c r="AD326" s="5"/>
      <c r="AE326" s="5"/>
      <c r="AF326" s="5"/>
    </row>
    <row r="327" spans="1:32" ht="12" customHeight="1">
      <c r="A327" s="1" t="s">
        <v>246</v>
      </c>
      <c r="B327" s="2" t="s">
        <v>286</v>
      </c>
      <c r="C327" s="2" t="s">
        <v>247</v>
      </c>
      <c r="D327" s="2" t="s">
        <v>224</v>
      </c>
      <c r="E327" s="8">
        <v>2800</v>
      </c>
      <c r="F327" s="16"/>
      <c r="G327" s="16"/>
      <c r="H327" s="16"/>
      <c r="I327" s="16"/>
      <c r="J327" s="16"/>
      <c r="K327" s="16"/>
      <c r="L327" s="3">
        <f t="shared" si="44"/>
        <v>0</v>
      </c>
      <c r="M327" s="13"/>
      <c r="N327" s="17"/>
      <c r="O327" s="5"/>
      <c r="P327" s="5"/>
      <c r="Q327" s="5"/>
      <c r="R327" s="5"/>
      <c r="S327" s="5"/>
      <c r="T327" s="5"/>
      <c r="U327" s="5"/>
      <c r="V327" s="5"/>
      <c r="W327" s="5"/>
      <c r="X327" s="5"/>
      <c r="Y327" s="5"/>
      <c r="Z327" s="5"/>
      <c r="AA327" s="5"/>
      <c r="AB327" s="5"/>
      <c r="AC327" s="5"/>
      <c r="AD327" s="5"/>
      <c r="AE327" s="5"/>
      <c r="AF327" s="5"/>
    </row>
    <row r="328" spans="1:32" ht="12" customHeight="1">
      <c r="A328" s="1" t="s">
        <v>248</v>
      </c>
      <c r="B328" s="2" t="s">
        <v>286</v>
      </c>
      <c r="C328" s="2" t="s">
        <v>249</v>
      </c>
      <c r="D328" s="2" t="s">
        <v>224</v>
      </c>
      <c r="E328" s="8">
        <v>2900</v>
      </c>
      <c r="F328" s="15" t="s">
        <v>31</v>
      </c>
      <c r="G328" s="15" t="s">
        <v>31</v>
      </c>
      <c r="H328" s="15" t="s">
        <v>31</v>
      </c>
      <c r="I328" s="15" t="s">
        <v>31</v>
      </c>
      <c r="J328" s="15" t="s">
        <v>31</v>
      </c>
      <c r="K328" s="15" t="s">
        <v>31</v>
      </c>
      <c r="L328" s="15" t="s">
        <v>31</v>
      </c>
      <c r="M328" s="13"/>
      <c r="N328" s="17"/>
      <c r="O328" s="5"/>
      <c r="P328" s="5"/>
      <c r="Q328" s="5"/>
      <c r="R328" s="5"/>
      <c r="S328" s="5"/>
      <c r="T328" s="5"/>
      <c r="U328" s="5"/>
      <c r="V328" s="5"/>
      <c r="W328" s="5"/>
      <c r="X328" s="5"/>
      <c r="Y328" s="5"/>
      <c r="Z328" s="5"/>
      <c r="AA328" s="5"/>
      <c r="AB328" s="5"/>
      <c r="AC328" s="5"/>
      <c r="AD328" s="5"/>
      <c r="AE328" s="5"/>
      <c r="AF328" s="5"/>
    </row>
    <row r="329" spans="1:32" ht="12" customHeight="1">
      <c r="A329" s="19" t="s">
        <v>258</v>
      </c>
      <c r="B329" s="20" t="s">
        <v>286</v>
      </c>
      <c r="C329" s="21">
        <v>14</v>
      </c>
      <c r="D329" s="20" t="s">
        <v>224</v>
      </c>
      <c r="E329" s="21"/>
      <c r="F329" s="47">
        <f t="shared" ref="F329:L329" si="45">SUM(F315:F328)</f>
        <v>0</v>
      </c>
      <c r="G329" s="47">
        <f t="shared" si="45"/>
        <v>0</v>
      </c>
      <c r="H329" s="47">
        <f t="shared" si="45"/>
        <v>0</v>
      </c>
      <c r="I329" s="47">
        <f t="shared" si="45"/>
        <v>0</v>
      </c>
      <c r="J329" s="47">
        <f t="shared" si="45"/>
        <v>0</v>
      </c>
      <c r="K329" s="47">
        <f t="shared" si="45"/>
        <v>0</v>
      </c>
      <c r="L329" s="22">
        <f t="shared" si="45"/>
        <v>0</v>
      </c>
      <c r="M329" s="13"/>
      <c r="N329" s="17"/>
      <c r="O329" s="5"/>
      <c r="P329" s="5"/>
      <c r="Q329" s="5"/>
      <c r="R329" s="5"/>
      <c r="S329" s="5"/>
      <c r="T329" s="5"/>
      <c r="U329" s="5"/>
      <c r="V329" s="5"/>
      <c r="W329" s="5"/>
      <c r="X329" s="5"/>
      <c r="Y329" s="5"/>
      <c r="Z329" s="5"/>
      <c r="AA329" s="5"/>
      <c r="AB329" s="5"/>
      <c r="AC329" s="5"/>
      <c r="AD329" s="5"/>
      <c r="AE329" s="5"/>
      <c r="AF329" s="5"/>
    </row>
    <row r="330" spans="1:32" ht="12" customHeight="1">
      <c r="A330" s="14"/>
      <c r="B330" s="2"/>
      <c r="C330" s="8"/>
      <c r="D330" s="8"/>
      <c r="E330" s="8"/>
      <c r="F330" s="28"/>
      <c r="G330" s="28"/>
      <c r="H330" s="28"/>
      <c r="I330" s="28"/>
      <c r="J330" s="28"/>
      <c r="K330" s="28"/>
      <c r="L330" s="3"/>
      <c r="M330" s="13"/>
      <c r="N330" s="17"/>
      <c r="O330" s="5"/>
      <c r="P330" s="5"/>
      <c r="Q330" s="5"/>
      <c r="R330" s="5"/>
      <c r="S330" s="5"/>
      <c r="T330" s="5"/>
      <c r="U330" s="5"/>
      <c r="V330" s="5"/>
      <c r="W330" s="5"/>
      <c r="X330" s="5"/>
      <c r="Y330" s="5"/>
      <c r="Z330" s="5"/>
      <c r="AA330" s="5"/>
      <c r="AB330" s="5"/>
      <c r="AC330" s="5"/>
      <c r="AD330" s="5"/>
      <c r="AE330" s="5"/>
      <c r="AF330" s="5"/>
    </row>
    <row r="331" spans="1:32" ht="12" customHeight="1">
      <c r="A331" s="14" t="s">
        <v>287</v>
      </c>
      <c r="B331" s="2"/>
      <c r="C331" s="8"/>
      <c r="D331" s="8"/>
      <c r="E331" s="8"/>
      <c r="F331" s="4" t="s">
        <v>206</v>
      </c>
      <c r="G331" s="4" t="s">
        <v>207</v>
      </c>
      <c r="H331" s="4" t="s">
        <v>208</v>
      </c>
      <c r="I331" s="4" t="s">
        <v>209</v>
      </c>
      <c r="J331" s="4" t="s">
        <v>210</v>
      </c>
      <c r="K331" s="4" t="s">
        <v>211</v>
      </c>
      <c r="L331" s="3"/>
      <c r="M331" s="13"/>
      <c r="N331" s="17"/>
      <c r="O331" s="5"/>
      <c r="P331" s="5"/>
      <c r="Q331" s="5"/>
      <c r="R331" s="5"/>
      <c r="S331" s="5"/>
      <c r="T331" s="5"/>
      <c r="U331" s="5"/>
      <c r="V331" s="5"/>
      <c r="W331" s="5"/>
      <c r="X331" s="5"/>
      <c r="Y331" s="5"/>
      <c r="Z331" s="5"/>
      <c r="AA331" s="5"/>
      <c r="AB331" s="5"/>
      <c r="AC331" s="5"/>
      <c r="AD331" s="5"/>
      <c r="AE331" s="5"/>
      <c r="AF331" s="5"/>
    </row>
    <row r="332" spans="1:32" ht="12" customHeight="1">
      <c r="A332" s="14" t="s">
        <v>288</v>
      </c>
      <c r="B332" s="5"/>
      <c r="C332" s="5"/>
      <c r="D332" s="5"/>
      <c r="E332" s="5"/>
      <c r="F332" s="45" t="s">
        <v>213</v>
      </c>
      <c r="G332" s="45" t="s">
        <v>214</v>
      </c>
      <c r="H332" s="45" t="s">
        <v>215</v>
      </c>
      <c r="I332" s="45" t="s">
        <v>216</v>
      </c>
      <c r="J332" s="45" t="s">
        <v>217</v>
      </c>
      <c r="K332" s="45" t="s">
        <v>218</v>
      </c>
      <c r="L332" s="45" t="s">
        <v>219</v>
      </c>
      <c r="M332" s="13"/>
      <c r="N332" s="17"/>
      <c r="O332" s="5"/>
      <c r="P332" s="5"/>
      <c r="Q332" s="5"/>
      <c r="R332" s="5"/>
      <c r="S332" s="5"/>
      <c r="T332" s="5"/>
      <c r="U332" s="5"/>
      <c r="V332" s="5"/>
      <c r="W332" s="5"/>
      <c r="X332" s="5"/>
      <c r="Y332" s="5"/>
      <c r="Z332" s="5"/>
      <c r="AA332" s="5"/>
      <c r="AB332" s="5"/>
      <c r="AC332" s="5"/>
      <c r="AD332" s="5"/>
      <c r="AE332" s="5"/>
      <c r="AF332" s="5"/>
    </row>
    <row r="333" spans="1:32" ht="12" customHeight="1">
      <c r="A333" s="1" t="s">
        <v>260</v>
      </c>
      <c r="B333" s="8">
        <v>14</v>
      </c>
      <c r="C333" s="2" t="s">
        <v>33</v>
      </c>
      <c r="D333" s="2" t="s">
        <v>224</v>
      </c>
      <c r="E333" s="8">
        <v>1500</v>
      </c>
      <c r="F333" s="16"/>
      <c r="G333" s="16"/>
      <c r="H333" s="16"/>
      <c r="I333" s="16"/>
      <c r="J333" s="16"/>
      <c r="K333" s="16"/>
      <c r="L333" s="3">
        <f t="shared" ref="L333:L338" si="46">SUM(F333:K333)</f>
        <v>0</v>
      </c>
      <c r="M333" s="13"/>
      <c r="N333" s="17"/>
      <c r="O333" s="5"/>
      <c r="P333" s="5"/>
      <c r="Q333" s="5"/>
      <c r="R333" s="5"/>
      <c r="S333" s="5"/>
      <c r="T333" s="5"/>
      <c r="U333" s="5"/>
      <c r="V333" s="5"/>
      <c r="W333" s="5"/>
      <c r="X333" s="5"/>
      <c r="Y333" s="5"/>
      <c r="Z333" s="5"/>
      <c r="AA333" s="5"/>
      <c r="AB333" s="5"/>
      <c r="AC333" s="5"/>
      <c r="AD333" s="5"/>
      <c r="AE333" s="5"/>
      <c r="AF333" s="5"/>
    </row>
    <row r="334" spans="1:32" ht="12" customHeight="1">
      <c r="A334" s="1" t="s">
        <v>262</v>
      </c>
      <c r="B334" s="8">
        <v>14</v>
      </c>
      <c r="C334" s="2" t="s">
        <v>86</v>
      </c>
      <c r="D334" s="2" t="s">
        <v>224</v>
      </c>
      <c r="E334" s="8">
        <v>1600</v>
      </c>
      <c r="F334" s="16"/>
      <c r="G334" s="16"/>
      <c r="H334" s="16"/>
      <c r="I334" s="16"/>
      <c r="J334" s="16"/>
      <c r="K334" s="16"/>
      <c r="L334" s="3">
        <f t="shared" si="46"/>
        <v>0</v>
      </c>
      <c r="M334" s="13"/>
      <c r="N334" s="17"/>
      <c r="O334" s="5"/>
      <c r="P334" s="5"/>
      <c r="Q334" s="5"/>
      <c r="R334" s="5"/>
      <c r="S334" s="5"/>
      <c r="T334" s="5"/>
      <c r="U334" s="5"/>
      <c r="V334" s="5"/>
      <c r="W334" s="5"/>
      <c r="X334" s="5"/>
      <c r="Y334" s="5"/>
      <c r="Z334" s="5"/>
      <c r="AA334" s="5"/>
      <c r="AB334" s="5"/>
      <c r="AC334" s="5"/>
      <c r="AD334" s="5"/>
      <c r="AE334" s="5"/>
      <c r="AF334" s="5"/>
    </row>
    <row r="335" spans="1:32" ht="12" customHeight="1">
      <c r="A335" s="1" t="s">
        <v>263</v>
      </c>
      <c r="B335" s="8">
        <v>14</v>
      </c>
      <c r="C335" s="2" t="s">
        <v>106</v>
      </c>
      <c r="D335" s="2" t="s">
        <v>224</v>
      </c>
      <c r="E335" s="8">
        <v>1700</v>
      </c>
      <c r="F335" s="16"/>
      <c r="G335" s="16"/>
      <c r="H335" s="16"/>
      <c r="I335" s="16"/>
      <c r="J335" s="16"/>
      <c r="K335" s="16"/>
      <c r="L335" s="3">
        <f t="shared" si="46"/>
        <v>0</v>
      </c>
      <c r="M335" s="13"/>
      <c r="N335" s="17"/>
      <c r="O335" s="5"/>
      <c r="P335" s="5"/>
      <c r="Q335" s="5"/>
      <c r="R335" s="5"/>
      <c r="S335" s="5"/>
      <c r="T335" s="5"/>
      <c r="U335" s="5"/>
      <c r="V335" s="5"/>
      <c r="W335" s="5"/>
      <c r="X335" s="5"/>
      <c r="Y335" s="5"/>
      <c r="Z335" s="5"/>
      <c r="AA335" s="5"/>
      <c r="AB335" s="5"/>
      <c r="AC335" s="5"/>
      <c r="AD335" s="5"/>
      <c r="AE335" s="5"/>
      <c r="AF335" s="5"/>
    </row>
    <row r="336" spans="1:32" ht="12" customHeight="1">
      <c r="A336" s="1" t="s">
        <v>264</v>
      </c>
      <c r="B336" s="8">
        <v>14</v>
      </c>
      <c r="C336" s="2" t="s">
        <v>132</v>
      </c>
      <c r="D336" s="2" t="s">
        <v>224</v>
      </c>
      <c r="E336" s="8">
        <v>1800</v>
      </c>
      <c r="F336" s="16"/>
      <c r="G336" s="16"/>
      <c r="H336" s="16"/>
      <c r="I336" s="16"/>
      <c r="J336" s="16"/>
      <c r="K336" s="16"/>
      <c r="L336" s="3">
        <f t="shared" si="46"/>
        <v>0</v>
      </c>
      <c r="M336" s="13"/>
      <c r="N336" s="17"/>
      <c r="O336" s="5"/>
      <c r="P336" s="5"/>
      <c r="Q336" s="5"/>
      <c r="R336" s="5"/>
      <c r="S336" s="5"/>
      <c r="T336" s="5"/>
      <c r="U336" s="5"/>
      <c r="V336" s="5"/>
      <c r="W336" s="5"/>
      <c r="X336" s="5"/>
      <c r="Y336" s="5"/>
      <c r="Z336" s="5"/>
      <c r="AA336" s="5"/>
      <c r="AB336" s="5"/>
      <c r="AC336" s="5"/>
      <c r="AD336" s="5"/>
      <c r="AE336" s="5"/>
      <c r="AF336" s="5"/>
    </row>
    <row r="337" spans="1:32" ht="12" customHeight="1">
      <c r="A337" s="1" t="s">
        <v>266</v>
      </c>
      <c r="B337" s="8">
        <v>14</v>
      </c>
      <c r="C337" s="8">
        <v>5</v>
      </c>
      <c r="D337" s="2" t="s">
        <v>224</v>
      </c>
      <c r="E337" s="8">
        <v>4000</v>
      </c>
      <c r="F337" s="16"/>
      <c r="G337" s="16"/>
      <c r="H337" s="16"/>
      <c r="I337" s="16"/>
      <c r="J337" s="16"/>
      <c r="K337" s="16"/>
      <c r="L337" s="3">
        <f t="shared" si="46"/>
        <v>0</v>
      </c>
      <c r="M337" s="13"/>
      <c r="N337" s="17"/>
      <c r="O337" s="5"/>
      <c r="P337" s="5"/>
      <c r="Q337" s="5"/>
      <c r="R337" s="5"/>
      <c r="S337" s="5"/>
      <c r="T337" s="5"/>
      <c r="U337" s="5"/>
      <c r="V337" s="5"/>
      <c r="W337" s="5"/>
      <c r="X337" s="5"/>
      <c r="Y337" s="5"/>
      <c r="Z337" s="5"/>
      <c r="AA337" s="5"/>
      <c r="AB337" s="5"/>
      <c r="AC337" s="5"/>
      <c r="AD337" s="5"/>
      <c r="AE337" s="5"/>
      <c r="AF337" s="5"/>
    </row>
    <row r="338" spans="1:32" ht="12" customHeight="1">
      <c r="A338" s="51" t="s">
        <v>289</v>
      </c>
      <c r="B338" s="21">
        <v>14</v>
      </c>
      <c r="C338" s="26">
        <v>6</v>
      </c>
      <c r="D338" s="52" t="s">
        <v>224</v>
      </c>
      <c r="E338" s="26"/>
      <c r="F338" s="22">
        <f t="shared" ref="F338:K338" si="47">SUM(F333:F337)</f>
        <v>0</v>
      </c>
      <c r="G338" s="22">
        <f t="shared" si="47"/>
        <v>0</v>
      </c>
      <c r="H338" s="22">
        <f t="shared" si="47"/>
        <v>0</v>
      </c>
      <c r="I338" s="22">
        <f t="shared" si="47"/>
        <v>0</v>
      </c>
      <c r="J338" s="22">
        <f t="shared" si="47"/>
        <v>0</v>
      </c>
      <c r="K338" s="22">
        <f t="shared" si="47"/>
        <v>0</v>
      </c>
      <c r="L338" s="22">
        <f t="shared" si="46"/>
        <v>0</v>
      </c>
      <c r="M338" s="13"/>
      <c r="N338" s="17"/>
      <c r="O338" s="5"/>
      <c r="P338" s="5"/>
      <c r="Q338" s="5"/>
      <c r="R338" s="5"/>
      <c r="S338" s="5"/>
      <c r="T338" s="5"/>
      <c r="U338" s="5"/>
      <c r="V338" s="5"/>
      <c r="W338" s="5"/>
      <c r="X338" s="5"/>
      <c r="Y338" s="5"/>
      <c r="Z338" s="5"/>
      <c r="AA338" s="5"/>
      <c r="AB338" s="5"/>
      <c r="AC338" s="5"/>
      <c r="AD338" s="5"/>
      <c r="AE338" s="5"/>
      <c r="AF338" s="5"/>
    </row>
    <row r="339" spans="1:32" ht="12" customHeight="1">
      <c r="A339" s="19" t="s">
        <v>290</v>
      </c>
      <c r="B339" s="21">
        <v>14</v>
      </c>
      <c r="C339" s="21">
        <v>7</v>
      </c>
      <c r="D339" s="20" t="s">
        <v>224</v>
      </c>
      <c r="E339" s="21"/>
      <c r="F339" s="22">
        <f t="shared" ref="F339:L339" si="48">F291+F310+F329+F338</f>
        <v>7347</v>
      </c>
      <c r="G339" s="22">
        <f t="shared" si="48"/>
        <v>0</v>
      </c>
      <c r="H339" s="22">
        <f t="shared" si="48"/>
        <v>21562.23</v>
      </c>
      <c r="I339" s="22">
        <f t="shared" si="48"/>
        <v>58.37</v>
      </c>
      <c r="J339" s="22">
        <f t="shared" si="48"/>
        <v>0</v>
      </c>
      <c r="K339" s="22">
        <f t="shared" si="48"/>
        <v>0</v>
      </c>
      <c r="L339" s="22">
        <f t="shared" si="48"/>
        <v>28967.599999999999</v>
      </c>
      <c r="M339" s="13"/>
      <c r="N339" s="17"/>
      <c r="O339" s="5"/>
      <c r="P339" s="5"/>
      <c r="Q339" s="5"/>
      <c r="R339" s="5"/>
      <c r="S339" s="5"/>
      <c r="T339" s="5"/>
      <c r="U339" s="5"/>
      <c r="V339" s="5"/>
      <c r="W339" s="5"/>
      <c r="X339" s="5"/>
      <c r="Y339" s="5"/>
      <c r="Z339" s="5"/>
      <c r="AA339" s="5"/>
      <c r="AB339" s="5"/>
      <c r="AC339" s="5"/>
      <c r="AD339" s="5"/>
      <c r="AE339" s="5"/>
      <c r="AF339" s="5"/>
    </row>
    <row r="340" spans="1:32" ht="12" customHeight="1">
      <c r="A340" s="14" t="s">
        <v>269</v>
      </c>
      <c r="B340" s="5"/>
      <c r="C340" s="5"/>
      <c r="D340" s="5"/>
      <c r="E340" s="5"/>
      <c r="F340" s="16"/>
      <c r="G340" s="16"/>
      <c r="H340" s="16"/>
      <c r="I340" s="16"/>
      <c r="J340" s="16"/>
      <c r="K340" s="16"/>
      <c r="L340" s="3"/>
      <c r="M340" s="13"/>
      <c r="N340" s="17"/>
      <c r="O340" s="5"/>
      <c r="P340" s="5"/>
      <c r="Q340" s="5"/>
      <c r="R340" s="5"/>
      <c r="S340" s="5"/>
      <c r="T340" s="5"/>
      <c r="U340" s="5"/>
      <c r="V340" s="5"/>
      <c r="W340" s="5"/>
      <c r="X340" s="5"/>
      <c r="Y340" s="5"/>
      <c r="Z340" s="5"/>
      <c r="AA340" s="5"/>
      <c r="AB340" s="5"/>
      <c r="AC340" s="5"/>
      <c r="AD340" s="5"/>
      <c r="AE340" s="5"/>
      <c r="AF340" s="5"/>
    </row>
    <row r="341" spans="1:32" ht="12" customHeight="1">
      <c r="A341" s="33" t="s">
        <v>271</v>
      </c>
      <c r="B341" s="5"/>
      <c r="C341" s="5"/>
      <c r="D341" s="5"/>
      <c r="E341" s="8">
        <v>5100</v>
      </c>
      <c r="F341" s="15" t="s">
        <v>31</v>
      </c>
      <c r="G341" s="15" t="s">
        <v>31</v>
      </c>
      <c r="H341" s="15" t="s">
        <v>31</v>
      </c>
      <c r="I341" s="15" t="s">
        <v>31</v>
      </c>
      <c r="J341" s="15" t="s">
        <v>31</v>
      </c>
      <c r="K341" s="15" t="s">
        <v>31</v>
      </c>
      <c r="L341" s="15" t="s">
        <v>31</v>
      </c>
      <c r="M341" s="13"/>
      <c r="N341" s="17"/>
      <c r="O341" s="5"/>
      <c r="P341" s="5"/>
      <c r="Q341" s="5"/>
      <c r="R341" s="5"/>
      <c r="S341" s="5"/>
      <c r="T341" s="5"/>
      <c r="U341" s="5"/>
      <c r="V341" s="5"/>
      <c r="W341" s="5"/>
      <c r="X341" s="5"/>
      <c r="Y341" s="5"/>
      <c r="Z341" s="5"/>
      <c r="AA341" s="5"/>
      <c r="AB341" s="5"/>
      <c r="AC341" s="5"/>
      <c r="AD341" s="5"/>
      <c r="AE341" s="5"/>
      <c r="AF341" s="5"/>
    </row>
    <row r="342" spans="1:32" ht="12" customHeight="1">
      <c r="A342" s="1" t="s">
        <v>183</v>
      </c>
      <c r="B342" s="8">
        <v>14</v>
      </c>
      <c r="C342" s="8">
        <v>8</v>
      </c>
      <c r="D342" s="5"/>
      <c r="E342" s="8">
        <v>5100</v>
      </c>
      <c r="F342" s="15" t="s">
        <v>31</v>
      </c>
      <c r="G342" s="15" t="s">
        <v>31</v>
      </c>
      <c r="H342" s="15" t="s">
        <v>31</v>
      </c>
      <c r="I342" s="15" t="s">
        <v>31</v>
      </c>
      <c r="J342" s="15" t="s">
        <v>31</v>
      </c>
      <c r="K342" s="16"/>
      <c r="L342" s="3">
        <f t="shared" ref="L342:L343" si="49">SUM(F342:K342)</f>
        <v>0</v>
      </c>
      <c r="M342" s="13"/>
      <c r="N342" s="17"/>
      <c r="O342" s="5"/>
      <c r="P342" s="5"/>
      <c r="Q342" s="5"/>
      <c r="R342" s="5"/>
      <c r="S342" s="5"/>
      <c r="T342" s="5"/>
      <c r="U342" s="5"/>
      <c r="V342" s="5"/>
      <c r="W342" s="5"/>
      <c r="X342" s="5"/>
      <c r="Y342" s="5"/>
      <c r="Z342" s="5"/>
      <c r="AA342" s="5"/>
      <c r="AB342" s="5"/>
      <c r="AC342" s="5"/>
      <c r="AD342" s="5"/>
      <c r="AE342" s="5"/>
      <c r="AF342" s="5"/>
    </row>
    <row r="343" spans="1:32" ht="12" customHeight="1">
      <c r="A343" s="1" t="s">
        <v>272</v>
      </c>
      <c r="B343" s="8">
        <v>14</v>
      </c>
      <c r="C343" s="8">
        <v>9</v>
      </c>
      <c r="D343" s="5"/>
      <c r="E343" s="8">
        <v>5120</v>
      </c>
      <c r="F343" s="15" t="s">
        <v>31</v>
      </c>
      <c r="G343" s="15" t="s">
        <v>31</v>
      </c>
      <c r="H343" s="15" t="s">
        <v>31</v>
      </c>
      <c r="I343" s="15" t="s">
        <v>31</v>
      </c>
      <c r="J343" s="15" t="s">
        <v>31</v>
      </c>
      <c r="K343" s="16"/>
      <c r="L343" s="3">
        <f t="shared" si="49"/>
        <v>0</v>
      </c>
      <c r="M343" s="7"/>
      <c r="N343" s="27"/>
      <c r="O343" s="7"/>
      <c r="P343" s="7"/>
      <c r="Q343" s="7"/>
      <c r="R343" s="7"/>
      <c r="S343" s="7"/>
      <c r="T343" s="7"/>
      <c r="U343" s="7"/>
      <c r="V343" s="7"/>
      <c r="W343" s="7"/>
      <c r="X343" s="7"/>
      <c r="Y343" s="7"/>
      <c r="Z343" s="7"/>
      <c r="AA343" s="7"/>
      <c r="AB343" s="7"/>
      <c r="AC343" s="7"/>
      <c r="AD343" s="7"/>
      <c r="AE343" s="7"/>
      <c r="AF343" s="7"/>
    </row>
    <row r="344" spans="1:32" ht="12" customHeight="1">
      <c r="A344" s="30" t="s">
        <v>273</v>
      </c>
      <c r="B344" s="8">
        <v>14</v>
      </c>
      <c r="C344" s="5"/>
      <c r="D344" s="5"/>
      <c r="E344" s="8">
        <v>5200</v>
      </c>
      <c r="F344" s="15" t="s">
        <v>31</v>
      </c>
      <c r="G344" s="15" t="s">
        <v>31</v>
      </c>
      <c r="H344" s="15" t="s">
        <v>31</v>
      </c>
      <c r="I344" s="15" t="s">
        <v>31</v>
      </c>
      <c r="J344" s="15" t="s">
        <v>31</v>
      </c>
      <c r="K344" s="15" t="s">
        <v>31</v>
      </c>
      <c r="L344" s="15" t="s">
        <v>31</v>
      </c>
      <c r="M344" s="13"/>
      <c r="N344" s="17"/>
      <c r="O344" s="5"/>
      <c r="P344" s="5"/>
      <c r="Q344" s="5"/>
      <c r="R344" s="5"/>
      <c r="S344" s="5"/>
      <c r="T344" s="5"/>
      <c r="U344" s="5"/>
      <c r="V344" s="5"/>
      <c r="W344" s="5"/>
      <c r="X344" s="5"/>
      <c r="Y344" s="5"/>
      <c r="Z344" s="5"/>
      <c r="AA344" s="5"/>
      <c r="AB344" s="5"/>
      <c r="AC344" s="5"/>
      <c r="AD344" s="5"/>
      <c r="AE344" s="5"/>
      <c r="AF344" s="5"/>
    </row>
    <row r="345" spans="1:32" ht="12" customHeight="1">
      <c r="A345" s="5" t="s">
        <v>291</v>
      </c>
      <c r="B345" s="8">
        <v>14</v>
      </c>
      <c r="C345" s="8">
        <v>10</v>
      </c>
      <c r="D345" s="2" t="s">
        <v>224</v>
      </c>
      <c r="E345" s="8">
        <v>5210</v>
      </c>
      <c r="F345" s="15" t="s">
        <v>31</v>
      </c>
      <c r="G345" s="15" t="s">
        <v>31</v>
      </c>
      <c r="H345" s="15" t="s">
        <v>31</v>
      </c>
      <c r="I345" s="15" t="s">
        <v>31</v>
      </c>
      <c r="J345" s="15" t="s">
        <v>31</v>
      </c>
      <c r="K345" s="16"/>
      <c r="L345" s="3">
        <f t="shared" ref="L345:L348" si="50">SUM(F345:K345)</f>
        <v>0</v>
      </c>
      <c r="M345" s="13"/>
      <c r="N345" s="17"/>
      <c r="O345" s="5"/>
      <c r="P345" s="5"/>
      <c r="Q345" s="5"/>
      <c r="R345" s="5"/>
      <c r="S345" s="5"/>
      <c r="T345" s="5"/>
      <c r="U345" s="5"/>
      <c r="V345" s="5"/>
      <c r="W345" s="5"/>
      <c r="X345" s="5"/>
      <c r="Y345" s="5"/>
      <c r="Z345" s="5"/>
      <c r="AA345" s="5"/>
      <c r="AB345" s="5"/>
      <c r="AC345" s="5"/>
      <c r="AD345" s="5"/>
      <c r="AE345" s="5"/>
      <c r="AF345" s="5"/>
    </row>
    <row r="346" spans="1:32" ht="12" customHeight="1">
      <c r="A346" s="1" t="s">
        <v>292</v>
      </c>
      <c r="B346" s="8">
        <v>14</v>
      </c>
      <c r="C346" s="8">
        <v>11</v>
      </c>
      <c r="D346" s="2" t="s">
        <v>224</v>
      </c>
      <c r="E346" s="8">
        <v>5221</v>
      </c>
      <c r="F346" s="15" t="s">
        <v>31</v>
      </c>
      <c r="G346" s="15" t="s">
        <v>31</v>
      </c>
      <c r="H346" s="15" t="s">
        <v>31</v>
      </c>
      <c r="I346" s="15" t="s">
        <v>31</v>
      </c>
      <c r="J346" s="15" t="s">
        <v>31</v>
      </c>
      <c r="K346" s="16"/>
      <c r="L346" s="3">
        <f t="shared" si="50"/>
        <v>0</v>
      </c>
      <c r="M346" s="13"/>
      <c r="N346" s="17"/>
      <c r="O346" s="5"/>
      <c r="P346" s="5"/>
      <c r="Q346" s="5"/>
      <c r="R346" s="5"/>
      <c r="S346" s="5"/>
      <c r="T346" s="5"/>
      <c r="U346" s="5"/>
      <c r="V346" s="5"/>
      <c r="W346" s="5"/>
      <c r="X346" s="5"/>
      <c r="Y346" s="5"/>
      <c r="Z346" s="5"/>
      <c r="AA346" s="5"/>
      <c r="AB346" s="5"/>
      <c r="AC346" s="5"/>
      <c r="AD346" s="5"/>
      <c r="AE346" s="5"/>
      <c r="AF346" s="5"/>
    </row>
    <row r="347" spans="1:32" ht="12" customHeight="1">
      <c r="A347" s="1" t="s">
        <v>293</v>
      </c>
      <c r="B347" s="8">
        <v>14</v>
      </c>
      <c r="C347" s="8">
        <v>12</v>
      </c>
      <c r="D347" s="2" t="s">
        <v>224</v>
      </c>
      <c r="E347" s="8">
        <v>5230</v>
      </c>
      <c r="F347" s="15" t="s">
        <v>31</v>
      </c>
      <c r="G347" s="15" t="s">
        <v>31</v>
      </c>
      <c r="H347" s="15" t="s">
        <v>31</v>
      </c>
      <c r="I347" s="15" t="s">
        <v>31</v>
      </c>
      <c r="J347" s="15" t="s">
        <v>31</v>
      </c>
      <c r="K347" s="16"/>
      <c r="L347" s="3">
        <f t="shared" si="50"/>
        <v>0</v>
      </c>
      <c r="M347" s="13"/>
      <c r="N347" s="17"/>
      <c r="O347" s="5"/>
      <c r="P347" s="5"/>
      <c r="Q347" s="5"/>
      <c r="R347" s="5"/>
      <c r="S347" s="5"/>
      <c r="T347" s="5"/>
      <c r="U347" s="5"/>
      <c r="V347" s="5"/>
      <c r="W347" s="5"/>
      <c r="X347" s="5"/>
      <c r="Y347" s="5"/>
      <c r="Z347" s="5"/>
      <c r="AA347" s="5"/>
      <c r="AB347" s="5"/>
      <c r="AC347" s="5"/>
      <c r="AD347" s="5"/>
      <c r="AE347" s="5"/>
      <c r="AF347" s="5"/>
    </row>
    <row r="348" spans="1:32" ht="12" customHeight="1">
      <c r="A348" s="5" t="s">
        <v>294</v>
      </c>
      <c r="B348" s="8">
        <v>14</v>
      </c>
      <c r="C348" s="8">
        <v>13</v>
      </c>
      <c r="D348" s="2" t="s">
        <v>224</v>
      </c>
      <c r="E348" s="8">
        <v>5250</v>
      </c>
      <c r="F348" s="15" t="s">
        <v>31</v>
      </c>
      <c r="G348" s="15" t="s">
        <v>31</v>
      </c>
      <c r="H348" s="15" t="s">
        <v>31</v>
      </c>
      <c r="I348" s="15" t="s">
        <v>31</v>
      </c>
      <c r="J348" s="15" t="s">
        <v>31</v>
      </c>
      <c r="K348" s="16"/>
      <c r="L348" s="3">
        <f t="shared" si="50"/>
        <v>0</v>
      </c>
      <c r="M348" s="13"/>
      <c r="N348" s="17"/>
      <c r="O348" s="5"/>
      <c r="P348" s="5"/>
      <c r="Q348" s="5"/>
      <c r="R348" s="5"/>
      <c r="S348" s="5"/>
      <c r="T348" s="5"/>
      <c r="U348" s="5"/>
      <c r="V348" s="5"/>
      <c r="W348" s="5"/>
      <c r="X348" s="5"/>
      <c r="Y348" s="5"/>
      <c r="Z348" s="5"/>
      <c r="AA348" s="5"/>
      <c r="AB348" s="5"/>
      <c r="AC348" s="5"/>
      <c r="AD348" s="5"/>
      <c r="AE348" s="5"/>
      <c r="AF348" s="5"/>
    </row>
    <row r="349" spans="1:32" ht="12" customHeight="1">
      <c r="A349" s="30" t="s">
        <v>278</v>
      </c>
      <c r="B349" s="2"/>
      <c r="C349" s="8"/>
      <c r="D349" s="8"/>
      <c r="E349" s="8">
        <v>5300</v>
      </c>
      <c r="F349" s="15" t="s">
        <v>31</v>
      </c>
      <c r="G349" s="15" t="s">
        <v>31</v>
      </c>
      <c r="H349" s="15" t="s">
        <v>31</v>
      </c>
      <c r="I349" s="15" t="s">
        <v>31</v>
      </c>
      <c r="J349" s="15" t="s">
        <v>31</v>
      </c>
      <c r="K349" s="15" t="s">
        <v>31</v>
      </c>
      <c r="L349" s="15" t="s">
        <v>31</v>
      </c>
      <c r="M349" s="13"/>
      <c r="N349" s="17"/>
      <c r="O349" s="5"/>
      <c r="P349" s="5"/>
      <c r="Q349" s="5"/>
      <c r="R349" s="5"/>
      <c r="S349" s="5"/>
      <c r="T349" s="5"/>
      <c r="U349" s="5"/>
      <c r="V349" s="5"/>
      <c r="W349" s="5"/>
      <c r="X349" s="5"/>
      <c r="Y349" s="5"/>
      <c r="Z349" s="5"/>
      <c r="AA349" s="5"/>
      <c r="AB349" s="5"/>
      <c r="AC349" s="5"/>
      <c r="AD349" s="5"/>
      <c r="AE349" s="5"/>
      <c r="AF349" s="5"/>
    </row>
    <row r="350" spans="1:32" ht="12" customHeight="1">
      <c r="A350" s="1" t="s">
        <v>279</v>
      </c>
      <c r="B350" s="8">
        <v>14</v>
      </c>
      <c r="C350" s="8">
        <v>14</v>
      </c>
      <c r="D350" s="2" t="s">
        <v>224</v>
      </c>
      <c r="E350" s="8">
        <v>5310</v>
      </c>
      <c r="F350" s="15" t="s">
        <v>31</v>
      </c>
      <c r="G350" s="15" t="s">
        <v>31</v>
      </c>
      <c r="H350" s="15" t="s">
        <v>31</v>
      </c>
      <c r="I350" s="15" t="s">
        <v>31</v>
      </c>
      <c r="J350" s="15" t="s">
        <v>31</v>
      </c>
      <c r="K350" s="16"/>
      <c r="L350" s="3">
        <f t="shared" ref="L350:L351" si="51">SUM(F350:K350)</f>
        <v>0</v>
      </c>
      <c r="M350" s="13"/>
      <c r="N350" s="17"/>
      <c r="O350" s="5"/>
      <c r="P350" s="5"/>
      <c r="Q350" s="5"/>
      <c r="R350" s="5"/>
      <c r="S350" s="5"/>
      <c r="T350" s="5"/>
      <c r="U350" s="5"/>
      <c r="V350" s="5"/>
      <c r="W350" s="5"/>
      <c r="X350" s="5"/>
      <c r="Y350" s="5"/>
      <c r="Z350" s="5"/>
      <c r="AA350" s="5"/>
      <c r="AB350" s="5"/>
      <c r="AC350" s="5"/>
      <c r="AD350" s="5"/>
      <c r="AE350" s="5"/>
      <c r="AF350" s="5"/>
    </row>
    <row r="351" spans="1:32" ht="12" customHeight="1">
      <c r="A351" s="1" t="s">
        <v>280</v>
      </c>
      <c r="B351" s="8">
        <v>14</v>
      </c>
      <c r="C351" s="8">
        <v>15</v>
      </c>
      <c r="D351" s="2" t="s">
        <v>224</v>
      </c>
      <c r="E351" s="8">
        <v>5390</v>
      </c>
      <c r="F351" s="15" t="s">
        <v>31</v>
      </c>
      <c r="G351" s="15" t="s">
        <v>31</v>
      </c>
      <c r="H351" s="15" t="s">
        <v>31</v>
      </c>
      <c r="I351" s="15" t="s">
        <v>31</v>
      </c>
      <c r="J351" s="15" t="s">
        <v>31</v>
      </c>
      <c r="K351" s="16"/>
      <c r="L351" s="3">
        <f t="shared" si="51"/>
        <v>0</v>
      </c>
      <c r="M351" s="13"/>
      <c r="N351" s="17"/>
      <c r="O351" s="5"/>
      <c r="P351" s="5"/>
      <c r="Q351" s="5"/>
      <c r="R351" s="5"/>
      <c r="S351" s="5"/>
      <c r="T351" s="5"/>
      <c r="U351" s="5"/>
      <c r="V351" s="5"/>
      <c r="W351" s="5"/>
      <c r="X351" s="5"/>
      <c r="Y351" s="5"/>
      <c r="Z351" s="5"/>
      <c r="AA351" s="5"/>
      <c r="AB351" s="5"/>
      <c r="AC351" s="5"/>
      <c r="AD351" s="5"/>
      <c r="AE351" s="5"/>
      <c r="AF351" s="5"/>
    </row>
    <row r="352" spans="1:32" ht="12" customHeight="1">
      <c r="A352" s="42" t="s">
        <v>281</v>
      </c>
      <c r="B352" s="21">
        <v>14</v>
      </c>
      <c r="C352" s="26">
        <v>16</v>
      </c>
      <c r="D352" s="20" t="s">
        <v>224</v>
      </c>
      <c r="E352" s="21"/>
      <c r="F352" s="23" t="s">
        <v>31</v>
      </c>
      <c r="G352" s="23" t="s">
        <v>31</v>
      </c>
      <c r="H352" s="23" t="s">
        <v>31</v>
      </c>
      <c r="I352" s="23" t="s">
        <v>31</v>
      </c>
      <c r="J352" s="23" t="s">
        <v>31</v>
      </c>
      <c r="K352" s="22">
        <f t="shared" ref="K352:L352" si="52">SUM(K342:K351)</f>
        <v>0</v>
      </c>
      <c r="L352" s="22">
        <f t="shared" si="52"/>
        <v>0</v>
      </c>
      <c r="M352" s="7"/>
      <c r="N352" s="27"/>
      <c r="O352" s="7"/>
      <c r="P352" s="7"/>
      <c r="Q352" s="7"/>
      <c r="R352" s="5"/>
      <c r="S352" s="5"/>
      <c r="T352" s="5"/>
      <c r="U352" s="5"/>
      <c r="V352" s="5"/>
      <c r="W352" s="53"/>
      <c r="X352" s="53"/>
      <c r="Y352" s="53"/>
      <c r="Z352" s="53"/>
      <c r="AA352" s="53"/>
      <c r="AB352" s="53"/>
      <c r="AC352" s="53"/>
      <c r="AD352" s="53"/>
      <c r="AE352" s="53"/>
      <c r="AF352" s="53"/>
    </row>
    <row r="353" spans="1:32" ht="12" customHeight="1">
      <c r="A353" s="19" t="s">
        <v>295</v>
      </c>
      <c r="B353" s="21">
        <v>14</v>
      </c>
      <c r="C353" s="21">
        <v>17</v>
      </c>
      <c r="D353" s="20" t="s">
        <v>224</v>
      </c>
      <c r="E353" s="21"/>
      <c r="F353" s="22">
        <f t="shared" ref="F353:J353" si="53">F339</f>
        <v>7347</v>
      </c>
      <c r="G353" s="22">
        <f t="shared" si="53"/>
        <v>0</v>
      </c>
      <c r="H353" s="22">
        <f t="shared" si="53"/>
        <v>21562.23</v>
      </c>
      <c r="I353" s="22">
        <f t="shared" si="53"/>
        <v>58.37</v>
      </c>
      <c r="J353" s="22">
        <f t="shared" si="53"/>
        <v>0</v>
      </c>
      <c r="K353" s="22">
        <f t="shared" ref="K353:L353" si="54">K339+K352</f>
        <v>0</v>
      </c>
      <c r="L353" s="22">
        <f t="shared" si="54"/>
        <v>28967.599999999999</v>
      </c>
      <c r="M353" s="13"/>
      <c r="N353" s="17"/>
      <c r="O353" s="5"/>
      <c r="P353" s="5"/>
      <c r="Q353" s="5"/>
      <c r="R353" s="5"/>
      <c r="S353" s="5"/>
      <c r="T353" s="5"/>
      <c r="U353" s="5"/>
      <c r="V353" s="5"/>
      <c r="W353" s="5"/>
      <c r="X353" s="5"/>
      <c r="Y353" s="5"/>
      <c r="Z353" s="5"/>
      <c r="AA353" s="5"/>
      <c r="AB353" s="5"/>
      <c r="AC353" s="5"/>
      <c r="AD353" s="5"/>
      <c r="AE353" s="5"/>
      <c r="AF353" s="5"/>
    </row>
    <row r="354" spans="1:32" ht="12" customHeight="1">
      <c r="A354" s="14"/>
      <c r="B354" s="8"/>
      <c r="C354" s="10"/>
      <c r="D354" s="10"/>
      <c r="E354" s="10"/>
      <c r="F354" s="3"/>
      <c r="G354" s="3"/>
      <c r="H354" s="3"/>
      <c r="I354" s="3"/>
      <c r="J354" s="3"/>
      <c r="K354" s="3"/>
      <c r="L354" s="3"/>
      <c r="M354" s="13"/>
      <c r="N354" s="17"/>
      <c r="O354" s="5"/>
      <c r="P354" s="5"/>
      <c r="Q354" s="5"/>
      <c r="R354" s="5"/>
      <c r="S354" s="5"/>
      <c r="T354" s="5"/>
      <c r="U354" s="5"/>
      <c r="V354" s="5"/>
      <c r="W354" s="5"/>
      <c r="X354" s="5"/>
      <c r="Y354" s="5"/>
      <c r="Z354" s="5"/>
      <c r="AA354" s="5"/>
      <c r="AB354" s="5"/>
      <c r="AC354" s="5"/>
      <c r="AD354" s="5"/>
      <c r="AE354" s="5"/>
      <c r="AF354" s="5"/>
    </row>
    <row r="355" spans="1:32" ht="12" customHeight="1">
      <c r="A355" s="49"/>
      <c r="B355" s="7"/>
      <c r="C355" s="7"/>
      <c r="D355" s="7"/>
      <c r="E355" s="7"/>
      <c r="F355" s="4" t="s">
        <v>206</v>
      </c>
      <c r="G355" s="4" t="s">
        <v>207</v>
      </c>
      <c r="H355" s="4" t="s">
        <v>208</v>
      </c>
      <c r="I355" s="4" t="s">
        <v>209</v>
      </c>
      <c r="J355" s="4" t="s">
        <v>210</v>
      </c>
      <c r="K355" s="4" t="s">
        <v>211</v>
      </c>
      <c r="L355" s="28"/>
      <c r="M355" s="13"/>
      <c r="N355" s="17"/>
      <c r="O355" s="5"/>
      <c r="P355" s="5"/>
      <c r="Q355" s="5"/>
      <c r="R355" s="5"/>
      <c r="S355" s="5"/>
      <c r="T355" s="5"/>
      <c r="U355" s="5"/>
      <c r="V355" s="5"/>
      <c r="W355" s="5"/>
      <c r="X355" s="5"/>
      <c r="Y355" s="5"/>
      <c r="Z355" s="5"/>
      <c r="AA355" s="5"/>
      <c r="AB355" s="5"/>
      <c r="AC355" s="5"/>
      <c r="AD355" s="5"/>
      <c r="AE355" s="5"/>
      <c r="AF355" s="5"/>
    </row>
    <row r="356" spans="1:32" ht="12" customHeight="1">
      <c r="A356" s="14" t="s">
        <v>24</v>
      </c>
      <c r="B356" s="5"/>
      <c r="C356" s="5"/>
      <c r="D356" s="5"/>
      <c r="E356" s="5"/>
      <c r="F356" s="45" t="s">
        <v>213</v>
      </c>
      <c r="G356" s="45" t="s">
        <v>214</v>
      </c>
      <c r="H356" s="45" t="s">
        <v>215</v>
      </c>
      <c r="I356" s="45" t="s">
        <v>216</v>
      </c>
      <c r="J356" s="45" t="s">
        <v>217</v>
      </c>
      <c r="K356" s="45" t="s">
        <v>218</v>
      </c>
      <c r="L356" s="45" t="s">
        <v>219</v>
      </c>
      <c r="M356" s="13"/>
      <c r="N356" s="17"/>
      <c r="O356" s="5"/>
      <c r="P356" s="5"/>
      <c r="Q356" s="5"/>
      <c r="R356" s="5"/>
      <c r="S356" s="5"/>
      <c r="T356" s="5"/>
      <c r="U356" s="5"/>
      <c r="V356" s="5"/>
      <c r="W356" s="5"/>
      <c r="X356" s="5"/>
      <c r="Y356" s="5"/>
      <c r="Z356" s="5"/>
      <c r="AA356" s="5"/>
      <c r="AB356" s="5"/>
      <c r="AC356" s="5"/>
      <c r="AD356" s="5"/>
      <c r="AE356" s="5"/>
      <c r="AF356" s="5"/>
    </row>
    <row r="357" spans="1:32" ht="12" customHeight="1">
      <c r="A357" s="30" t="s">
        <v>296</v>
      </c>
      <c r="B357" s="11"/>
      <c r="C357" s="11"/>
      <c r="D357" s="11"/>
      <c r="E357" s="8">
        <v>3000</v>
      </c>
      <c r="F357" s="15" t="s">
        <v>31</v>
      </c>
      <c r="G357" s="15" t="s">
        <v>31</v>
      </c>
      <c r="H357" s="15" t="s">
        <v>31</v>
      </c>
      <c r="I357" s="15" t="s">
        <v>31</v>
      </c>
      <c r="J357" s="15" t="s">
        <v>31</v>
      </c>
      <c r="K357" s="15" t="s">
        <v>31</v>
      </c>
      <c r="L357" s="15" t="s">
        <v>31</v>
      </c>
      <c r="M357" s="13"/>
      <c r="N357" s="17"/>
      <c r="O357" s="5"/>
      <c r="P357" s="5"/>
      <c r="Q357" s="5"/>
      <c r="R357" s="5"/>
      <c r="S357" s="5"/>
      <c r="T357" s="5"/>
      <c r="U357" s="5"/>
      <c r="V357" s="5"/>
      <c r="W357" s="5"/>
      <c r="X357" s="5"/>
      <c r="Y357" s="5"/>
      <c r="Z357" s="5"/>
      <c r="AA357" s="5"/>
      <c r="AB357" s="5"/>
      <c r="AC357" s="5"/>
      <c r="AD357" s="5"/>
      <c r="AE357" s="5"/>
      <c r="AF357" s="5"/>
    </row>
    <row r="358" spans="1:32" ht="12" customHeight="1">
      <c r="A358" s="33" t="s">
        <v>297</v>
      </c>
      <c r="B358" s="2"/>
      <c r="C358" s="2"/>
      <c r="D358" s="2"/>
      <c r="E358" s="8">
        <v>3100</v>
      </c>
      <c r="F358" s="15" t="s">
        <v>31</v>
      </c>
      <c r="G358" s="15" t="s">
        <v>31</v>
      </c>
      <c r="H358" s="15" t="s">
        <v>31</v>
      </c>
      <c r="I358" s="15" t="s">
        <v>31</v>
      </c>
      <c r="J358" s="15" t="s">
        <v>31</v>
      </c>
      <c r="K358" s="15" t="s">
        <v>31</v>
      </c>
      <c r="L358" s="15" t="s">
        <v>31</v>
      </c>
      <c r="N358" s="27"/>
      <c r="R358" s="5"/>
      <c r="S358" s="5"/>
      <c r="T358" s="5"/>
      <c r="U358" s="5"/>
      <c r="V358" s="5"/>
    </row>
    <row r="359" spans="1:32" ht="12" customHeight="1">
      <c r="A359" s="5" t="s">
        <v>298</v>
      </c>
      <c r="B359" s="2" t="s">
        <v>299</v>
      </c>
      <c r="C359" s="8">
        <v>1</v>
      </c>
      <c r="D359" s="2" t="s">
        <v>224</v>
      </c>
      <c r="E359" s="8"/>
      <c r="F359" s="16">
        <f>27903.32+10483</f>
        <v>38386.32</v>
      </c>
      <c r="G359" s="16">
        <f>86.94+217.36+2380.15+556.68+3923.27+575+2.2</f>
        <v>7741.5999999999995</v>
      </c>
      <c r="H359" s="16">
        <v>160</v>
      </c>
      <c r="I359" s="16">
        <f>29950.7</f>
        <v>29950.7</v>
      </c>
      <c r="J359" s="16"/>
      <c r="K359" s="16"/>
      <c r="L359" s="3">
        <f t="shared" ref="L359:L362" si="55">SUM(F359:K359)</f>
        <v>76238.62</v>
      </c>
      <c r="M359" s="13"/>
      <c r="N359" s="17"/>
      <c r="O359" s="5"/>
      <c r="P359" s="5"/>
      <c r="Q359" s="5"/>
      <c r="R359" s="5"/>
      <c r="S359" s="5"/>
      <c r="T359" s="5"/>
      <c r="U359" s="5"/>
      <c r="V359" s="5"/>
      <c r="W359" s="5"/>
      <c r="X359" s="5"/>
      <c r="Y359" s="5"/>
      <c r="Z359" s="5"/>
      <c r="AA359" s="5"/>
      <c r="AB359" s="5"/>
      <c r="AC359" s="5"/>
      <c r="AD359" s="5"/>
      <c r="AE359" s="5"/>
      <c r="AF359" s="5"/>
    </row>
    <row r="360" spans="1:32" ht="12" customHeight="1">
      <c r="A360" s="1" t="s">
        <v>300</v>
      </c>
      <c r="B360" s="2" t="s">
        <v>299</v>
      </c>
      <c r="C360" s="8">
        <v>2</v>
      </c>
      <c r="D360" s="2" t="s">
        <v>224</v>
      </c>
      <c r="E360" s="8"/>
      <c r="F360" s="16"/>
      <c r="G360" s="16"/>
      <c r="H360" s="16"/>
      <c r="I360" s="16"/>
      <c r="J360" s="16"/>
      <c r="K360" s="16"/>
      <c r="L360" s="3">
        <f t="shared" si="55"/>
        <v>0</v>
      </c>
      <c r="M360" s="13"/>
      <c r="N360" s="17"/>
      <c r="O360" s="5"/>
      <c r="P360" s="5"/>
      <c r="Q360" s="5"/>
      <c r="R360" s="5"/>
      <c r="S360" s="5"/>
      <c r="T360" s="5"/>
      <c r="U360" s="5"/>
      <c r="V360" s="5"/>
      <c r="W360" s="5"/>
      <c r="X360" s="5"/>
      <c r="Y360" s="5"/>
      <c r="Z360" s="5"/>
      <c r="AA360" s="5"/>
      <c r="AB360" s="5"/>
      <c r="AC360" s="5"/>
      <c r="AD360" s="5"/>
      <c r="AE360" s="5"/>
      <c r="AF360" s="5"/>
    </row>
    <row r="361" spans="1:32" ht="12" customHeight="1">
      <c r="A361" s="5" t="s">
        <v>301</v>
      </c>
      <c r="B361" s="2" t="s">
        <v>299</v>
      </c>
      <c r="C361" s="8">
        <v>3</v>
      </c>
      <c r="D361" s="2" t="s">
        <v>224</v>
      </c>
      <c r="E361" s="8"/>
      <c r="F361" s="16"/>
      <c r="G361" s="16"/>
      <c r="H361" s="16"/>
      <c r="I361" s="16"/>
      <c r="J361" s="16"/>
      <c r="K361" s="16"/>
      <c r="L361" s="3">
        <f t="shared" si="55"/>
        <v>0</v>
      </c>
      <c r="M361" s="13"/>
      <c r="N361" s="17"/>
      <c r="O361" s="5"/>
      <c r="P361" s="5"/>
      <c r="Q361" s="5"/>
      <c r="R361" s="5"/>
      <c r="S361" s="5"/>
      <c r="T361" s="5"/>
      <c r="U361" s="5"/>
      <c r="V361" s="5"/>
      <c r="W361" s="5"/>
      <c r="X361" s="5"/>
      <c r="Y361" s="5"/>
      <c r="Z361" s="5"/>
      <c r="AA361" s="5"/>
      <c r="AB361" s="5"/>
      <c r="AC361" s="5"/>
      <c r="AD361" s="5"/>
      <c r="AE361" s="5"/>
      <c r="AF361" s="5"/>
    </row>
    <row r="362" spans="1:32" ht="12" customHeight="1">
      <c r="A362" s="1" t="s">
        <v>302</v>
      </c>
      <c r="B362" s="2" t="s">
        <v>299</v>
      </c>
      <c r="C362" s="8">
        <v>4</v>
      </c>
      <c r="D362" s="2" t="s">
        <v>224</v>
      </c>
      <c r="E362" s="8">
        <v>5200</v>
      </c>
      <c r="F362" s="15" t="s">
        <v>31</v>
      </c>
      <c r="G362" s="15" t="s">
        <v>31</v>
      </c>
      <c r="H362" s="15" t="s">
        <v>31</v>
      </c>
      <c r="I362" s="15" t="s">
        <v>31</v>
      </c>
      <c r="J362" s="15" t="s">
        <v>31</v>
      </c>
      <c r="K362" s="16"/>
      <c r="L362" s="3">
        <f t="shared" si="55"/>
        <v>0</v>
      </c>
      <c r="M362" s="13"/>
      <c r="N362" s="17"/>
      <c r="O362" s="5"/>
      <c r="P362" s="5"/>
      <c r="Q362" s="5"/>
      <c r="R362" s="5"/>
      <c r="S362" s="5"/>
      <c r="T362" s="5"/>
      <c r="U362" s="5"/>
      <c r="V362" s="5"/>
      <c r="W362" s="5"/>
      <c r="X362" s="5"/>
      <c r="Y362" s="5"/>
      <c r="Z362" s="5"/>
      <c r="AA362" s="5"/>
      <c r="AB362" s="5"/>
      <c r="AC362" s="5"/>
      <c r="AD362" s="5"/>
      <c r="AE362" s="5"/>
      <c r="AF362" s="5"/>
    </row>
    <row r="363" spans="1:32" ht="12" customHeight="1">
      <c r="A363" s="42" t="s">
        <v>295</v>
      </c>
      <c r="B363" s="20" t="s">
        <v>299</v>
      </c>
      <c r="C363" s="21">
        <v>5</v>
      </c>
      <c r="D363" s="20" t="s">
        <v>224</v>
      </c>
      <c r="E363" s="21"/>
      <c r="F363" s="22">
        <f t="shared" ref="F363:L363" si="56">SUM(F359:F362)</f>
        <v>38386.32</v>
      </c>
      <c r="G363" s="22">
        <f t="shared" si="56"/>
        <v>7741.5999999999995</v>
      </c>
      <c r="H363" s="22">
        <f t="shared" si="56"/>
        <v>160</v>
      </c>
      <c r="I363" s="22">
        <f t="shared" si="56"/>
        <v>29950.7</v>
      </c>
      <c r="J363" s="22">
        <f t="shared" si="56"/>
        <v>0</v>
      </c>
      <c r="K363" s="22">
        <f t="shared" si="56"/>
        <v>0</v>
      </c>
      <c r="L363" s="22">
        <f t="shared" si="56"/>
        <v>76238.62</v>
      </c>
      <c r="M363" s="13"/>
      <c r="N363" s="17"/>
      <c r="O363" s="5"/>
      <c r="P363" s="5"/>
      <c r="Q363" s="5"/>
      <c r="R363" s="5"/>
      <c r="S363" s="5"/>
      <c r="T363" s="5"/>
      <c r="U363" s="5"/>
      <c r="V363" s="5"/>
      <c r="W363" s="5"/>
      <c r="X363" s="5"/>
      <c r="Y363" s="5"/>
      <c r="Z363" s="5"/>
      <c r="AA363" s="5"/>
      <c r="AB363" s="5"/>
      <c r="AC363" s="5"/>
      <c r="AD363" s="5"/>
      <c r="AE363" s="5"/>
      <c r="AF363" s="5"/>
    </row>
    <row r="364" spans="1:32" ht="12" customHeight="1">
      <c r="A364" s="44"/>
      <c r="B364" s="2"/>
      <c r="C364" s="8"/>
      <c r="D364" s="8"/>
      <c r="E364" s="8"/>
      <c r="F364" s="3"/>
      <c r="G364" s="3"/>
      <c r="H364" s="3"/>
      <c r="I364" s="3"/>
      <c r="J364" s="3"/>
      <c r="K364" s="3"/>
      <c r="L364" s="3"/>
      <c r="M364" s="13"/>
      <c r="N364" s="17"/>
      <c r="O364" s="5"/>
      <c r="P364" s="5"/>
      <c r="Q364" s="5"/>
      <c r="R364" s="5"/>
      <c r="S364" s="5"/>
      <c r="T364" s="5"/>
      <c r="U364" s="5"/>
      <c r="V364" s="5"/>
      <c r="W364" s="5"/>
      <c r="X364" s="5"/>
      <c r="Y364" s="5"/>
      <c r="Z364" s="5"/>
      <c r="AA364" s="5"/>
      <c r="AB364" s="5"/>
      <c r="AC364" s="5"/>
      <c r="AD364" s="5"/>
      <c r="AE364" s="5"/>
      <c r="AF364" s="5"/>
    </row>
    <row r="365" spans="1:32" ht="12" customHeight="1">
      <c r="A365" s="44" t="s">
        <v>303</v>
      </c>
      <c r="B365" s="2"/>
      <c r="C365" s="8"/>
      <c r="D365" s="8"/>
      <c r="E365" s="8"/>
      <c r="F365" s="3"/>
      <c r="G365" s="3"/>
      <c r="H365" s="3"/>
      <c r="I365" s="3"/>
      <c r="J365" s="3"/>
      <c r="K365" s="3"/>
      <c r="L365" s="3"/>
      <c r="M365" s="13"/>
      <c r="N365" s="17"/>
      <c r="O365" s="5"/>
      <c r="P365" s="5"/>
      <c r="Q365" s="5"/>
      <c r="R365" s="5"/>
      <c r="S365" s="5"/>
      <c r="T365" s="5"/>
      <c r="U365" s="5"/>
      <c r="V365" s="5"/>
      <c r="W365" s="5"/>
      <c r="X365" s="5"/>
      <c r="Y365" s="5"/>
      <c r="Z365" s="5"/>
      <c r="AA365" s="5"/>
      <c r="AB365" s="5"/>
      <c r="AC365" s="5"/>
      <c r="AD365" s="5"/>
      <c r="AE365" s="5"/>
      <c r="AF365" s="5"/>
    </row>
    <row r="366" spans="1:32" ht="12" customHeight="1">
      <c r="A366" s="44"/>
      <c r="B366" s="2"/>
      <c r="C366" s="8"/>
      <c r="D366" s="8"/>
      <c r="E366" s="8"/>
      <c r="F366" s="54" t="s">
        <v>5</v>
      </c>
      <c r="G366" s="54" t="s">
        <v>6</v>
      </c>
      <c r="H366" s="54" t="s">
        <v>7</v>
      </c>
      <c r="I366" s="54" t="s">
        <v>8</v>
      </c>
      <c r="J366" s="3"/>
      <c r="K366" s="3"/>
      <c r="L366" s="3"/>
      <c r="M366" s="13"/>
      <c r="N366" s="17"/>
      <c r="O366" s="5"/>
      <c r="P366" s="5"/>
      <c r="Q366" s="5"/>
      <c r="R366" s="5"/>
      <c r="S366" s="5"/>
      <c r="T366" s="5"/>
      <c r="U366" s="5"/>
      <c r="V366" s="5"/>
      <c r="W366" s="5"/>
      <c r="X366" s="5"/>
      <c r="Y366" s="5"/>
      <c r="Z366" s="5"/>
      <c r="AA366" s="5"/>
      <c r="AB366" s="5"/>
      <c r="AC366" s="5"/>
      <c r="AD366" s="5"/>
      <c r="AE366" s="5"/>
      <c r="AF366" s="5"/>
    </row>
    <row r="367" spans="1:32" ht="12" customHeight="1">
      <c r="A367" s="44"/>
      <c r="B367" s="2"/>
      <c r="C367" s="8"/>
      <c r="D367" s="8"/>
      <c r="E367" s="8"/>
      <c r="F367" s="55" t="s">
        <v>304</v>
      </c>
      <c r="G367" s="56" t="s">
        <v>305</v>
      </c>
      <c r="H367" s="56" t="s">
        <v>306</v>
      </c>
      <c r="I367" s="56" t="s">
        <v>307</v>
      </c>
      <c r="J367" s="15" t="s">
        <v>31</v>
      </c>
      <c r="K367" s="15" t="s">
        <v>31</v>
      </c>
      <c r="L367" s="15" t="s">
        <v>31</v>
      </c>
      <c r="M367" s="13"/>
      <c r="N367" s="17"/>
      <c r="O367" s="5"/>
      <c r="P367" s="5"/>
      <c r="Q367" s="5"/>
      <c r="R367" s="5"/>
      <c r="S367" s="5"/>
      <c r="T367" s="5"/>
      <c r="U367" s="5"/>
      <c r="V367" s="5"/>
      <c r="W367" s="5"/>
      <c r="X367" s="5"/>
      <c r="Y367" s="5"/>
      <c r="Z367" s="5"/>
      <c r="AA367" s="5"/>
      <c r="AB367" s="5"/>
      <c r="AC367" s="5"/>
      <c r="AD367" s="5"/>
      <c r="AE367" s="5"/>
      <c r="AF367" s="5"/>
    </row>
    <row r="368" spans="1:32" ht="12" customHeight="1">
      <c r="A368" s="5" t="s">
        <v>308</v>
      </c>
      <c r="B368" s="2" t="s">
        <v>299</v>
      </c>
      <c r="C368" s="2" t="s">
        <v>235</v>
      </c>
      <c r="D368" s="2" t="s">
        <v>309</v>
      </c>
      <c r="E368" s="2"/>
      <c r="F368" s="16">
        <v>25360.2</v>
      </c>
      <c r="G368" s="16"/>
      <c r="H368" s="16"/>
      <c r="I368" s="3">
        <f t="shared" ref="I368:I369" si="57">SUM(F368:H368)</f>
        <v>25360.2</v>
      </c>
      <c r="J368" s="15" t="s">
        <v>31</v>
      </c>
      <c r="K368" s="15" t="s">
        <v>31</v>
      </c>
      <c r="L368" s="15" t="s">
        <v>31</v>
      </c>
      <c r="M368" s="13"/>
      <c r="N368" s="17"/>
      <c r="O368" s="5"/>
      <c r="P368" s="5"/>
      <c r="Q368" s="5"/>
      <c r="R368" s="5"/>
      <c r="S368" s="5"/>
      <c r="T368" s="5"/>
      <c r="U368" s="5"/>
      <c r="V368" s="5"/>
      <c r="W368" s="5"/>
      <c r="X368" s="5"/>
      <c r="Y368" s="5"/>
      <c r="Z368" s="5"/>
      <c r="AA368" s="5"/>
      <c r="AB368" s="5"/>
      <c r="AC368" s="5"/>
      <c r="AD368" s="5"/>
      <c r="AE368" s="5"/>
      <c r="AF368" s="5"/>
    </row>
    <row r="369" spans="1:32" ht="12" customHeight="1">
      <c r="A369" s="57" t="s">
        <v>310</v>
      </c>
      <c r="B369" s="58" t="s">
        <v>299</v>
      </c>
      <c r="C369" s="58" t="s">
        <v>237</v>
      </c>
      <c r="D369" s="2" t="s">
        <v>309</v>
      </c>
      <c r="E369" s="58"/>
      <c r="F369" s="59">
        <v>4590.5</v>
      </c>
      <c r="G369" s="59"/>
      <c r="H369" s="59"/>
      <c r="I369" s="3">
        <f t="shared" si="57"/>
        <v>4590.5</v>
      </c>
      <c r="J369" s="15" t="s">
        <v>31</v>
      </c>
      <c r="K369" s="15" t="s">
        <v>31</v>
      </c>
      <c r="L369" s="15" t="s">
        <v>31</v>
      </c>
      <c r="M369" s="13"/>
      <c r="N369" s="17"/>
      <c r="O369" s="5"/>
      <c r="P369" s="5"/>
      <c r="Q369" s="5"/>
      <c r="R369" s="5"/>
      <c r="S369" s="5"/>
      <c r="T369" s="5"/>
      <c r="U369" s="5"/>
      <c r="V369" s="5"/>
      <c r="W369" s="5"/>
      <c r="X369" s="5"/>
      <c r="Y369" s="5"/>
      <c r="Z369" s="5"/>
      <c r="AA369" s="5"/>
      <c r="AB369" s="5"/>
      <c r="AC369" s="5"/>
      <c r="AD369" s="5"/>
      <c r="AE369" s="5"/>
      <c r="AF369" s="5"/>
    </row>
    <row r="370" spans="1:32" ht="12" customHeight="1">
      <c r="A370" s="44" t="s">
        <v>307</v>
      </c>
      <c r="B370" s="2" t="s">
        <v>299</v>
      </c>
      <c r="C370" s="2" t="s">
        <v>239</v>
      </c>
      <c r="D370" s="20" t="s">
        <v>309</v>
      </c>
      <c r="E370" s="2"/>
      <c r="F370" s="22">
        <f t="shared" ref="F370:I370" si="58">SUM(F368:F369)</f>
        <v>29950.7</v>
      </c>
      <c r="G370" s="22">
        <f t="shared" si="58"/>
        <v>0</v>
      </c>
      <c r="H370" s="22">
        <f t="shared" si="58"/>
        <v>0</v>
      </c>
      <c r="I370" s="22">
        <f t="shared" si="58"/>
        <v>29950.7</v>
      </c>
      <c r="J370" s="15" t="s">
        <v>31</v>
      </c>
      <c r="K370" s="15" t="s">
        <v>31</v>
      </c>
      <c r="L370" s="15" t="s">
        <v>31</v>
      </c>
      <c r="M370" s="13"/>
      <c r="N370" s="17"/>
      <c r="O370" s="5"/>
      <c r="P370" s="5"/>
      <c r="Q370" s="5"/>
      <c r="R370" s="5"/>
      <c r="S370" s="5"/>
      <c r="T370" s="5"/>
      <c r="U370" s="5"/>
      <c r="V370" s="5"/>
      <c r="W370" s="5"/>
      <c r="X370" s="5"/>
      <c r="Y370" s="5"/>
      <c r="Z370" s="5"/>
      <c r="AA370" s="5"/>
      <c r="AB370" s="5"/>
      <c r="AC370" s="5"/>
      <c r="AD370" s="5"/>
      <c r="AE370" s="5"/>
      <c r="AF370" s="5"/>
    </row>
    <row r="371" spans="1:32" ht="12" customHeight="1">
      <c r="A371" s="44"/>
      <c r="B371" s="2"/>
      <c r="C371" s="2"/>
      <c r="D371" s="2"/>
      <c r="E371" s="2"/>
      <c r="F371" s="16"/>
      <c r="G371" s="16"/>
      <c r="H371" s="16"/>
      <c r="I371" s="3"/>
      <c r="J371" s="3"/>
      <c r="K371" s="3"/>
      <c r="L371" s="3"/>
      <c r="M371" s="13"/>
      <c r="N371" s="17"/>
      <c r="O371" s="5"/>
      <c r="P371" s="5"/>
      <c r="Q371" s="5"/>
      <c r="R371" s="5"/>
      <c r="S371" s="5"/>
      <c r="T371" s="5"/>
      <c r="U371" s="5"/>
      <c r="V371" s="5"/>
      <c r="W371" s="5"/>
      <c r="X371" s="5"/>
      <c r="Y371" s="5"/>
      <c r="Z371" s="5"/>
      <c r="AA371" s="5"/>
      <c r="AB371" s="5"/>
      <c r="AC371" s="5"/>
      <c r="AD371" s="5"/>
      <c r="AE371" s="5"/>
      <c r="AF371" s="5"/>
    </row>
    <row r="372" spans="1:32" ht="12" customHeight="1">
      <c r="A372" s="44" t="s">
        <v>26</v>
      </c>
      <c r="B372" s="2"/>
      <c r="C372" s="2"/>
      <c r="D372" s="2"/>
      <c r="E372" s="2"/>
      <c r="F372" s="4" t="s">
        <v>206</v>
      </c>
      <c r="G372" s="4" t="s">
        <v>207</v>
      </c>
      <c r="H372" s="4" t="s">
        <v>208</v>
      </c>
      <c r="I372" s="4" t="s">
        <v>209</v>
      </c>
      <c r="J372" s="4" t="s">
        <v>210</v>
      </c>
      <c r="K372" s="4" t="s">
        <v>211</v>
      </c>
      <c r="L372" s="3"/>
      <c r="M372" s="13"/>
      <c r="N372" s="17"/>
      <c r="O372" s="5"/>
      <c r="P372" s="5"/>
      <c r="Q372" s="5"/>
      <c r="R372" s="5"/>
      <c r="S372" s="5"/>
      <c r="T372" s="5"/>
      <c r="U372" s="5"/>
      <c r="V372" s="5"/>
      <c r="W372" s="5"/>
      <c r="X372" s="5"/>
      <c r="Y372" s="5"/>
      <c r="Z372" s="5"/>
      <c r="AA372" s="5"/>
      <c r="AB372" s="5"/>
      <c r="AC372" s="5"/>
      <c r="AD372" s="5"/>
      <c r="AE372" s="5"/>
      <c r="AF372" s="5"/>
    </row>
    <row r="373" spans="1:32" ht="12" customHeight="1">
      <c r="A373" s="44" t="s">
        <v>311</v>
      </c>
      <c r="B373" s="2"/>
      <c r="C373" s="2"/>
      <c r="D373" s="2"/>
      <c r="E373" s="2"/>
      <c r="F373" s="45" t="s">
        <v>213</v>
      </c>
      <c r="G373" s="45" t="s">
        <v>214</v>
      </c>
      <c r="H373" s="45" t="s">
        <v>215</v>
      </c>
      <c r="I373" s="45" t="s">
        <v>216</v>
      </c>
      <c r="J373" s="45" t="s">
        <v>217</v>
      </c>
      <c r="K373" s="45" t="s">
        <v>218</v>
      </c>
      <c r="L373" s="45" t="s">
        <v>219</v>
      </c>
      <c r="M373" s="13"/>
      <c r="N373" s="17"/>
      <c r="O373" s="5"/>
      <c r="P373" s="5"/>
      <c r="Q373" s="5"/>
      <c r="R373" s="5"/>
      <c r="S373" s="5"/>
      <c r="T373" s="5"/>
      <c r="U373" s="5"/>
      <c r="V373" s="5"/>
      <c r="W373" s="5"/>
      <c r="X373" s="5"/>
      <c r="Y373" s="5"/>
      <c r="Z373" s="5"/>
      <c r="AA373" s="5"/>
      <c r="AB373" s="5"/>
      <c r="AC373" s="5"/>
      <c r="AD373" s="5"/>
      <c r="AE373" s="5"/>
      <c r="AF373" s="5"/>
    </row>
    <row r="374" spans="1:32" ht="12" customHeight="1">
      <c r="A374" s="30" t="s">
        <v>312</v>
      </c>
      <c r="B374" s="2"/>
      <c r="C374" s="2"/>
      <c r="D374" s="2"/>
      <c r="E374" s="8">
        <v>4000</v>
      </c>
      <c r="F374" s="15" t="s">
        <v>31</v>
      </c>
      <c r="G374" s="15" t="s">
        <v>31</v>
      </c>
      <c r="H374" s="15" t="s">
        <v>31</v>
      </c>
      <c r="I374" s="15" t="s">
        <v>31</v>
      </c>
      <c r="J374" s="15" t="s">
        <v>31</v>
      </c>
      <c r="K374" s="15" t="s">
        <v>31</v>
      </c>
      <c r="L374" s="15" t="s">
        <v>31</v>
      </c>
      <c r="M374" s="13"/>
      <c r="N374" s="17"/>
      <c r="O374" s="5"/>
      <c r="P374" s="5"/>
      <c r="Q374" s="5"/>
      <c r="R374" s="5"/>
      <c r="S374" s="5"/>
      <c r="T374" s="5"/>
      <c r="U374" s="5"/>
      <c r="V374" s="5"/>
      <c r="W374" s="5"/>
      <c r="X374" s="5"/>
      <c r="Y374" s="5"/>
      <c r="Z374" s="5"/>
      <c r="AA374" s="5"/>
      <c r="AB374" s="5"/>
      <c r="AC374" s="5"/>
      <c r="AD374" s="5"/>
      <c r="AE374" s="5"/>
      <c r="AF374" s="5"/>
    </row>
    <row r="375" spans="1:32" ht="12" customHeight="1">
      <c r="A375" s="1" t="s">
        <v>313</v>
      </c>
      <c r="B375" s="2" t="s">
        <v>299</v>
      </c>
      <c r="C375" s="2" t="s">
        <v>241</v>
      </c>
      <c r="D375" s="2" t="s">
        <v>224</v>
      </c>
      <c r="E375" s="8">
        <v>4100</v>
      </c>
      <c r="F375" s="16"/>
      <c r="G375" s="16"/>
      <c r="H375" s="16"/>
      <c r="I375" s="16"/>
      <c r="J375" s="16"/>
      <c r="K375" s="16"/>
      <c r="L375" s="3">
        <f t="shared" ref="L375:L382" si="59">SUM(F375:K375)</f>
        <v>0</v>
      </c>
      <c r="M375" s="13"/>
      <c r="N375" s="17"/>
      <c r="O375" s="5"/>
      <c r="P375" s="5"/>
      <c r="Q375" s="5"/>
      <c r="R375" s="5"/>
      <c r="S375" s="5"/>
      <c r="T375" s="5"/>
      <c r="U375" s="5"/>
      <c r="V375" s="5"/>
      <c r="W375" s="5"/>
      <c r="X375" s="5"/>
      <c r="Y375" s="5"/>
      <c r="Z375" s="5"/>
      <c r="AA375" s="5"/>
      <c r="AB375" s="5"/>
      <c r="AC375" s="5"/>
      <c r="AD375" s="5"/>
      <c r="AE375" s="5"/>
      <c r="AF375" s="5"/>
    </row>
    <row r="376" spans="1:32" ht="12" customHeight="1">
      <c r="A376" s="1" t="s">
        <v>314</v>
      </c>
      <c r="B376" s="2" t="s">
        <v>299</v>
      </c>
      <c r="C376" s="2" t="s">
        <v>243</v>
      </c>
      <c r="D376" s="2" t="s">
        <v>224</v>
      </c>
      <c r="E376" s="8">
        <v>4200</v>
      </c>
      <c r="F376" s="16"/>
      <c r="G376" s="16"/>
      <c r="H376" s="16"/>
      <c r="I376" s="16"/>
      <c r="J376" s="16"/>
      <c r="K376" s="16"/>
      <c r="L376" s="3">
        <f t="shared" si="59"/>
        <v>0</v>
      </c>
      <c r="M376" s="13"/>
      <c r="N376" s="17"/>
      <c r="O376" s="5"/>
      <c r="P376" s="5"/>
      <c r="Q376" s="5"/>
      <c r="R376" s="5"/>
      <c r="S376" s="5"/>
      <c r="T376" s="5"/>
      <c r="U376" s="5"/>
      <c r="V376" s="5"/>
      <c r="W376" s="5"/>
      <c r="X376" s="5"/>
      <c r="Y376" s="5"/>
      <c r="Z376" s="5"/>
      <c r="AA376" s="5"/>
      <c r="AB376" s="5"/>
      <c r="AC376" s="5"/>
      <c r="AD376" s="5"/>
      <c r="AE376" s="5"/>
      <c r="AF376" s="5"/>
    </row>
    <row r="377" spans="1:32" ht="12" customHeight="1">
      <c r="A377" s="1" t="s">
        <v>315</v>
      </c>
      <c r="B377" s="2" t="s">
        <v>299</v>
      </c>
      <c r="C377" s="2" t="s">
        <v>245</v>
      </c>
      <c r="D377" s="2" t="s">
        <v>224</v>
      </c>
      <c r="E377" s="8">
        <v>4300</v>
      </c>
      <c r="F377" s="16"/>
      <c r="G377" s="16"/>
      <c r="H377" s="16"/>
      <c r="I377" s="16"/>
      <c r="J377" s="16"/>
      <c r="K377" s="16"/>
      <c r="L377" s="3">
        <f t="shared" si="59"/>
        <v>0</v>
      </c>
      <c r="M377" s="13"/>
      <c r="N377" s="17"/>
      <c r="O377" s="5"/>
      <c r="P377" s="5"/>
      <c r="Q377" s="5"/>
      <c r="R377" s="5"/>
      <c r="S377" s="5"/>
      <c r="T377" s="5"/>
      <c r="U377" s="5"/>
      <c r="V377" s="5"/>
      <c r="W377" s="5"/>
      <c r="X377" s="5"/>
      <c r="Y377" s="5"/>
      <c r="Z377" s="5"/>
      <c r="AA377" s="5"/>
      <c r="AB377" s="5"/>
      <c r="AC377" s="5"/>
      <c r="AD377" s="5"/>
      <c r="AE377" s="5"/>
      <c r="AF377" s="5"/>
    </row>
    <row r="378" spans="1:32" ht="12" customHeight="1">
      <c r="A378" s="1" t="s">
        <v>316</v>
      </c>
      <c r="B378" s="2" t="s">
        <v>299</v>
      </c>
      <c r="C378" s="2" t="s">
        <v>247</v>
      </c>
      <c r="D378" s="2" t="s">
        <v>224</v>
      </c>
      <c r="E378" s="8">
        <v>4400</v>
      </c>
      <c r="F378" s="16"/>
      <c r="G378" s="16"/>
      <c r="H378" s="16"/>
      <c r="I378" s="16"/>
      <c r="J378" s="16"/>
      <c r="K378" s="16"/>
      <c r="L378" s="3">
        <f t="shared" si="59"/>
        <v>0</v>
      </c>
      <c r="M378" s="13"/>
      <c r="N378" s="17"/>
      <c r="O378" s="5"/>
      <c r="P378" s="5"/>
      <c r="Q378" s="5"/>
      <c r="R378" s="5"/>
      <c r="S378" s="5"/>
      <c r="T378" s="5"/>
      <c r="U378" s="5"/>
      <c r="V378" s="5"/>
      <c r="W378" s="5"/>
      <c r="X378" s="5"/>
      <c r="Y378" s="5"/>
      <c r="Z378" s="5"/>
      <c r="AA378" s="5"/>
      <c r="AB378" s="5"/>
      <c r="AC378" s="5"/>
      <c r="AD378" s="5"/>
      <c r="AE378" s="5"/>
      <c r="AF378" s="5"/>
    </row>
    <row r="379" spans="1:32" ht="12" customHeight="1">
      <c r="A379" s="1" t="s">
        <v>317</v>
      </c>
      <c r="B379" s="2" t="s">
        <v>299</v>
      </c>
      <c r="C379" s="2" t="s">
        <v>249</v>
      </c>
      <c r="D379" s="2" t="s">
        <v>224</v>
      </c>
      <c r="E379" s="8">
        <v>4500</v>
      </c>
      <c r="F379" s="16"/>
      <c r="G379" s="16"/>
      <c r="H379" s="16"/>
      <c r="I379" s="16"/>
      <c r="J379" s="16"/>
      <c r="K379" s="16"/>
      <c r="L379" s="3">
        <f t="shared" si="59"/>
        <v>0</v>
      </c>
      <c r="M379" s="13"/>
      <c r="N379" s="17"/>
      <c r="O379" s="5"/>
      <c r="P379" s="5"/>
      <c r="Q379" s="5"/>
      <c r="R379" s="5"/>
      <c r="S379" s="5"/>
      <c r="T379" s="5"/>
      <c r="U379" s="5"/>
      <c r="V379" s="5"/>
      <c r="W379" s="5"/>
      <c r="X379" s="5"/>
      <c r="Y379" s="5"/>
      <c r="Z379" s="5"/>
      <c r="AA379" s="5"/>
      <c r="AB379" s="5"/>
      <c r="AC379" s="5"/>
      <c r="AD379" s="5"/>
      <c r="AE379" s="5"/>
      <c r="AF379" s="5"/>
    </row>
    <row r="380" spans="1:32" ht="12" customHeight="1">
      <c r="A380" s="1" t="s">
        <v>318</v>
      </c>
      <c r="B380" s="2" t="s">
        <v>299</v>
      </c>
      <c r="C380" s="2" t="s">
        <v>251</v>
      </c>
      <c r="D380" s="2" t="s">
        <v>224</v>
      </c>
      <c r="E380" s="8">
        <v>4600</v>
      </c>
      <c r="F380" s="16"/>
      <c r="G380" s="16"/>
      <c r="H380" s="16"/>
      <c r="I380" s="16"/>
      <c r="J380" s="16"/>
      <c r="K380" s="16"/>
      <c r="L380" s="3">
        <f t="shared" si="59"/>
        <v>0</v>
      </c>
      <c r="M380" s="13"/>
      <c r="N380" s="17"/>
      <c r="O380" s="5"/>
      <c r="P380" s="5"/>
      <c r="Q380" s="5"/>
      <c r="R380" s="5"/>
      <c r="S380" s="5"/>
      <c r="T380" s="5"/>
      <c r="U380" s="5"/>
      <c r="V380" s="5"/>
      <c r="W380" s="5"/>
      <c r="X380" s="5"/>
      <c r="Y380" s="5"/>
      <c r="Z380" s="5"/>
      <c r="AA380" s="5"/>
      <c r="AB380" s="5"/>
      <c r="AC380" s="5"/>
      <c r="AD380" s="5"/>
      <c r="AE380" s="5"/>
      <c r="AF380" s="5"/>
    </row>
    <row r="381" spans="1:32" ht="12" customHeight="1">
      <c r="A381" s="1" t="s">
        <v>89</v>
      </c>
      <c r="B381" s="2" t="s">
        <v>299</v>
      </c>
      <c r="C381" s="2" t="s">
        <v>319</v>
      </c>
      <c r="D381" s="2" t="s">
        <v>224</v>
      </c>
      <c r="E381" s="8">
        <v>4900</v>
      </c>
      <c r="F381" s="16"/>
      <c r="G381" s="16"/>
      <c r="H381" s="16"/>
      <c r="I381" s="16"/>
      <c r="J381" s="16"/>
      <c r="K381" s="16"/>
      <c r="L381" s="3">
        <f t="shared" si="59"/>
        <v>0</v>
      </c>
      <c r="M381" s="13"/>
      <c r="N381" s="17"/>
      <c r="O381" s="5"/>
      <c r="P381" s="5"/>
      <c r="Q381" s="5"/>
      <c r="R381" s="5"/>
      <c r="S381" s="5"/>
      <c r="T381" s="5"/>
      <c r="U381" s="5"/>
      <c r="V381" s="5"/>
      <c r="W381" s="5"/>
      <c r="X381" s="5"/>
      <c r="Y381" s="5"/>
      <c r="Z381" s="5"/>
      <c r="AA381" s="5"/>
      <c r="AB381" s="5"/>
      <c r="AC381" s="5"/>
      <c r="AD381" s="5"/>
      <c r="AE381" s="5"/>
      <c r="AF381" s="5"/>
    </row>
    <row r="382" spans="1:32" ht="12" customHeight="1">
      <c r="A382" s="1" t="s">
        <v>302</v>
      </c>
      <c r="B382" s="2" t="s">
        <v>299</v>
      </c>
      <c r="C382" s="2" t="s">
        <v>320</v>
      </c>
      <c r="D382" s="2" t="s">
        <v>224</v>
      </c>
      <c r="E382" s="8">
        <v>5200</v>
      </c>
      <c r="F382" s="15" t="s">
        <v>31</v>
      </c>
      <c r="G382" s="15" t="s">
        <v>31</v>
      </c>
      <c r="H382" s="15" t="s">
        <v>31</v>
      </c>
      <c r="I382" s="15" t="s">
        <v>31</v>
      </c>
      <c r="J382" s="15" t="s">
        <v>31</v>
      </c>
      <c r="K382" s="16"/>
      <c r="L382" s="3">
        <f t="shared" si="59"/>
        <v>0</v>
      </c>
      <c r="M382" s="13"/>
      <c r="N382" s="17"/>
      <c r="O382" s="5"/>
      <c r="P382" s="5"/>
      <c r="Q382" s="5"/>
      <c r="R382" s="5"/>
      <c r="S382" s="5"/>
      <c r="T382" s="5"/>
      <c r="U382" s="5"/>
      <c r="V382" s="5"/>
      <c r="W382" s="5"/>
      <c r="X382" s="5"/>
      <c r="Y382" s="5"/>
      <c r="Z382" s="5"/>
      <c r="AA382" s="5"/>
      <c r="AB382" s="5"/>
      <c r="AC382" s="5"/>
      <c r="AD382" s="5"/>
      <c r="AE382" s="5"/>
      <c r="AF382" s="5"/>
    </row>
    <row r="383" spans="1:32" ht="12" customHeight="1">
      <c r="A383" s="42" t="s">
        <v>295</v>
      </c>
      <c r="B383" s="20" t="s">
        <v>299</v>
      </c>
      <c r="C383" s="20" t="s">
        <v>321</v>
      </c>
      <c r="D383" s="20" t="s">
        <v>224</v>
      </c>
      <c r="E383" s="20"/>
      <c r="F383" s="60">
        <f t="shared" ref="F383:L383" si="60">SUM(F375:F382)</f>
        <v>0</v>
      </c>
      <c r="G383" s="60">
        <f t="shared" si="60"/>
        <v>0</v>
      </c>
      <c r="H383" s="60">
        <f t="shared" si="60"/>
        <v>0</v>
      </c>
      <c r="I383" s="22">
        <f t="shared" si="60"/>
        <v>0</v>
      </c>
      <c r="J383" s="22">
        <f t="shared" si="60"/>
        <v>0</v>
      </c>
      <c r="K383" s="22">
        <f t="shared" si="60"/>
        <v>0</v>
      </c>
      <c r="L383" s="22">
        <f t="shared" si="60"/>
        <v>0</v>
      </c>
      <c r="M383" s="13"/>
      <c r="N383" s="17"/>
      <c r="O383" s="5"/>
      <c r="P383" s="5"/>
      <c r="Q383" s="5"/>
      <c r="R383" s="5"/>
      <c r="S383" s="5"/>
      <c r="T383" s="5"/>
      <c r="U383" s="5"/>
      <c r="V383" s="5"/>
      <c r="W383" s="5"/>
      <c r="X383" s="5"/>
      <c r="Y383" s="5"/>
      <c r="Z383" s="5"/>
      <c r="AA383" s="5"/>
      <c r="AB383" s="5"/>
      <c r="AC383" s="5"/>
      <c r="AD383" s="5"/>
      <c r="AE383" s="5"/>
      <c r="AF383" s="5"/>
    </row>
    <row r="384" spans="1:32" ht="12" customHeight="1">
      <c r="A384" s="14"/>
      <c r="B384" s="2"/>
      <c r="C384" s="2"/>
      <c r="D384" s="2"/>
      <c r="E384" s="2"/>
      <c r="F384" s="61"/>
      <c r="G384" s="61"/>
      <c r="H384" s="61"/>
      <c r="I384" s="3"/>
      <c r="J384" s="3"/>
      <c r="K384" s="3"/>
      <c r="L384" s="3"/>
      <c r="M384" s="13"/>
      <c r="N384" s="17"/>
      <c r="O384" s="5"/>
      <c r="P384" s="5"/>
      <c r="Q384" s="5"/>
      <c r="R384" s="5"/>
      <c r="S384" s="5"/>
      <c r="T384" s="5"/>
      <c r="U384" s="5"/>
      <c r="V384" s="5"/>
      <c r="W384" s="5"/>
      <c r="X384" s="5"/>
      <c r="Y384" s="5"/>
      <c r="Z384" s="5"/>
      <c r="AA384" s="5"/>
      <c r="AB384" s="5"/>
      <c r="AC384" s="5"/>
      <c r="AD384" s="5"/>
      <c r="AE384" s="5"/>
      <c r="AF384" s="5"/>
    </row>
    <row r="385" spans="1:32" ht="12" customHeight="1">
      <c r="A385" s="62" t="s">
        <v>322</v>
      </c>
      <c r="B385" s="63"/>
      <c r="C385" s="63"/>
      <c r="D385" s="63"/>
      <c r="E385" s="63"/>
      <c r="F385" s="61"/>
      <c r="G385" s="61"/>
      <c r="H385" s="61"/>
      <c r="I385" s="3"/>
      <c r="J385" s="3"/>
      <c r="K385" s="3"/>
      <c r="L385" s="3"/>
      <c r="M385" s="13"/>
      <c r="N385" s="17"/>
      <c r="O385" s="5"/>
      <c r="P385" s="5"/>
      <c r="Q385" s="5"/>
      <c r="R385" s="5"/>
      <c r="S385" s="5"/>
      <c r="T385" s="5"/>
      <c r="U385" s="5"/>
      <c r="V385" s="5"/>
      <c r="W385" s="5"/>
      <c r="X385" s="5"/>
      <c r="Y385" s="5"/>
      <c r="Z385" s="5"/>
      <c r="AA385" s="5"/>
      <c r="AB385" s="5"/>
      <c r="AC385" s="5"/>
      <c r="AD385" s="5"/>
      <c r="AE385" s="5"/>
      <c r="AF385" s="5"/>
    </row>
    <row r="386" spans="1:32" ht="12" customHeight="1">
      <c r="A386" s="62" t="s">
        <v>323</v>
      </c>
      <c r="B386" s="2"/>
      <c r="C386" s="2"/>
      <c r="D386" s="2"/>
      <c r="E386" s="2"/>
      <c r="F386" s="12"/>
      <c r="G386" s="12" t="s">
        <v>324</v>
      </c>
      <c r="H386" s="12" t="s">
        <v>325</v>
      </c>
      <c r="I386" s="12" t="s">
        <v>326</v>
      </c>
      <c r="J386" s="3"/>
      <c r="K386" s="3"/>
      <c r="L386" s="3"/>
      <c r="M386" s="13"/>
      <c r="N386" s="17"/>
      <c r="O386" s="5"/>
      <c r="P386" s="5"/>
      <c r="Q386" s="5"/>
      <c r="R386" s="5"/>
      <c r="S386" s="5"/>
      <c r="T386" s="5"/>
      <c r="U386" s="5"/>
      <c r="V386" s="5"/>
      <c r="W386" s="5"/>
      <c r="X386" s="5"/>
      <c r="Y386" s="5"/>
      <c r="Z386" s="5"/>
      <c r="AA386" s="5"/>
      <c r="AB386" s="5"/>
      <c r="AC386" s="5"/>
      <c r="AD386" s="5"/>
      <c r="AE386" s="5"/>
      <c r="AF386" s="5"/>
    </row>
    <row r="387" spans="1:32" ht="12" customHeight="1">
      <c r="A387" s="62" t="s">
        <v>327</v>
      </c>
      <c r="B387" s="2"/>
      <c r="C387" s="2"/>
      <c r="D387" s="2"/>
      <c r="E387" s="5"/>
      <c r="F387" s="12" t="s">
        <v>328</v>
      </c>
      <c r="G387" s="12" t="s">
        <v>329</v>
      </c>
      <c r="H387" s="12" t="s">
        <v>330</v>
      </c>
      <c r="I387" s="12" t="s">
        <v>331</v>
      </c>
      <c r="J387" s="3"/>
      <c r="K387" s="3"/>
      <c r="L387" s="12" t="s">
        <v>307</v>
      </c>
      <c r="M387" s="13"/>
      <c r="N387" s="17"/>
      <c r="O387" s="5"/>
      <c r="P387" s="5"/>
      <c r="Q387" s="5"/>
      <c r="R387" s="5"/>
      <c r="S387" s="5"/>
      <c r="T387" s="5"/>
      <c r="U387" s="5"/>
      <c r="V387" s="5"/>
      <c r="W387" s="5"/>
      <c r="X387" s="5"/>
      <c r="Y387" s="5"/>
      <c r="Z387" s="5"/>
      <c r="AA387" s="5"/>
      <c r="AB387" s="5"/>
      <c r="AC387" s="5"/>
      <c r="AD387" s="5"/>
      <c r="AE387" s="5"/>
      <c r="AF387" s="5"/>
    </row>
    <row r="388" spans="1:32" ht="12" customHeight="1">
      <c r="A388" s="64" t="s">
        <v>332</v>
      </c>
      <c r="B388" s="2" t="s">
        <v>333</v>
      </c>
      <c r="C388" s="8">
        <v>1</v>
      </c>
      <c r="D388" s="2" t="s">
        <v>309</v>
      </c>
      <c r="E388" s="5"/>
      <c r="F388" s="16"/>
      <c r="G388" s="16"/>
      <c r="H388" s="16"/>
      <c r="I388" s="16"/>
      <c r="J388" s="15" t="s">
        <v>31</v>
      </c>
      <c r="K388" s="15" t="s">
        <v>31</v>
      </c>
      <c r="L388" s="3">
        <f t="shared" ref="L388:L393" si="61">SUM(F388:K388)</f>
        <v>0</v>
      </c>
      <c r="M388" s="13"/>
      <c r="N388" s="17"/>
      <c r="O388" s="5"/>
      <c r="P388" s="5"/>
      <c r="Q388" s="5"/>
      <c r="R388" s="5"/>
      <c r="S388" s="5"/>
      <c r="T388" s="5"/>
      <c r="U388" s="5"/>
      <c r="V388" s="5"/>
      <c r="W388" s="5"/>
      <c r="X388" s="5"/>
      <c r="Y388" s="5"/>
      <c r="Z388" s="5"/>
      <c r="AA388" s="5"/>
      <c r="AB388" s="5"/>
      <c r="AC388" s="5"/>
      <c r="AD388" s="5"/>
      <c r="AE388" s="5"/>
      <c r="AF388" s="5"/>
    </row>
    <row r="389" spans="1:32" ht="12" customHeight="1">
      <c r="A389" s="64" t="s">
        <v>334</v>
      </c>
      <c r="B389" s="2" t="s">
        <v>333</v>
      </c>
      <c r="C389" s="8">
        <v>2</v>
      </c>
      <c r="D389" s="2" t="s">
        <v>309</v>
      </c>
      <c r="E389" s="8"/>
      <c r="F389" s="16"/>
      <c r="G389" s="16"/>
      <c r="H389" s="16"/>
      <c r="I389" s="16"/>
      <c r="J389" s="15" t="s">
        <v>31</v>
      </c>
      <c r="K389" s="15" t="s">
        <v>31</v>
      </c>
      <c r="L389" s="3">
        <f t="shared" si="61"/>
        <v>0</v>
      </c>
      <c r="M389" s="13"/>
      <c r="N389" s="17"/>
      <c r="O389" s="5"/>
      <c r="P389" s="5"/>
      <c r="Q389" s="5"/>
      <c r="R389" s="5"/>
      <c r="S389" s="5"/>
      <c r="T389" s="5"/>
      <c r="U389" s="5"/>
      <c r="V389" s="5"/>
      <c r="W389" s="5"/>
      <c r="X389" s="5"/>
      <c r="Y389" s="5"/>
      <c r="Z389" s="5"/>
      <c r="AA389" s="5"/>
      <c r="AB389" s="5"/>
      <c r="AC389" s="5"/>
      <c r="AD389" s="5"/>
      <c r="AE389" s="5"/>
      <c r="AF389" s="5"/>
    </row>
    <row r="390" spans="1:32" ht="12" customHeight="1">
      <c r="A390" s="64" t="s">
        <v>335</v>
      </c>
      <c r="B390" s="2" t="s">
        <v>333</v>
      </c>
      <c r="C390" s="8">
        <v>3</v>
      </c>
      <c r="D390" s="2" t="s">
        <v>309</v>
      </c>
      <c r="E390" s="8"/>
      <c r="F390" s="16"/>
      <c r="G390" s="16">
        <v>10000</v>
      </c>
      <c r="H390" s="16"/>
      <c r="I390" s="16"/>
      <c r="J390" s="15" t="s">
        <v>31</v>
      </c>
      <c r="K390" s="15" t="s">
        <v>31</v>
      </c>
      <c r="L390" s="3">
        <f t="shared" si="61"/>
        <v>10000</v>
      </c>
      <c r="M390" s="13"/>
      <c r="N390" s="17"/>
      <c r="O390" s="5"/>
      <c r="P390" s="5"/>
      <c r="Q390" s="5"/>
      <c r="R390" s="5"/>
      <c r="S390" s="5"/>
      <c r="T390" s="5"/>
      <c r="U390" s="5"/>
      <c r="V390" s="5"/>
      <c r="W390" s="5"/>
      <c r="X390" s="5"/>
      <c r="Y390" s="5"/>
      <c r="Z390" s="5"/>
      <c r="AA390" s="5"/>
      <c r="AB390" s="5"/>
      <c r="AC390" s="5"/>
      <c r="AD390" s="5"/>
      <c r="AE390" s="5"/>
      <c r="AF390" s="5"/>
    </row>
    <row r="391" spans="1:32" ht="12" customHeight="1">
      <c r="A391" s="64" t="s">
        <v>336</v>
      </c>
      <c r="B391" s="2" t="s">
        <v>333</v>
      </c>
      <c r="C391" s="8">
        <v>4</v>
      </c>
      <c r="D391" s="2" t="s">
        <v>309</v>
      </c>
      <c r="E391" s="8"/>
      <c r="F391" s="16"/>
      <c r="G391" s="16"/>
      <c r="H391" s="16"/>
      <c r="I391" s="16"/>
      <c r="J391" s="15" t="s">
        <v>31</v>
      </c>
      <c r="K391" s="15" t="s">
        <v>31</v>
      </c>
      <c r="L391" s="3">
        <f t="shared" si="61"/>
        <v>0</v>
      </c>
      <c r="M391" s="13"/>
      <c r="N391" s="17"/>
      <c r="O391" s="5"/>
      <c r="P391" s="5"/>
      <c r="Q391" s="5"/>
      <c r="R391" s="5"/>
      <c r="S391" s="5"/>
      <c r="T391" s="5"/>
      <c r="U391" s="5"/>
      <c r="V391" s="5"/>
      <c r="W391" s="5"/>
      <c r="X391" s="5"/>
      <c r="Y391" s="5"/>
      <c r="Z391" s="5"/>
      <c r="AA391" s="5"/>
      <c r="AB391" s="5"/>
      <c r="AC391" s="5"/>
      <c r="AD391" s="5"/>
      <c r="AE391" s="5"/>
      <c r="AF391" s="5"/>
    </row>
    <row r="392" spans="1:32" ht="12" customHeight="1">
      <c r="A392" s="64" t="s">
        <v>337</v>
      </c>
      <c r="B392" s="2" t="s">
        <v>333</v>
      </c>
      <c r="C392" s="8">
        <v>5</v>
      </c>
      <c r="D392" s="2" t="s">
        <v>309</v>
      </c>
      <c r="E392" s="8"/>
      <c r="F392" s="16"/>
      <c r="G392" s="16"/>
      <c r="H392" s="16"/>
      <c r="I392" s="16"/>
      <c r="J392" s="15" t="s">
        <v>31</v>
      </c>
      <c r="K392" s="15" t="s">
        <v>31</v>
      </c>
      <c r="L392" s="3">
        <f t="shared" si="61"/>
        <v>0</v>
      </c>
      <c r="M392" s="13"/>
      <c r="N392" s="17"/>
      <c r="O392" s="5"/>
      <c r="P392" s="5"/>
      <c r="Q392" s="5"/>
      <c r="R392" s="5"/>
      <c r="S392" s="5"/>
      <c r="T392" s="5"/>
      <c r="U392" s="5"/>
      <c r="V392" s="5"/>
      <c r="W392" s="5"/>
      <c r="X392" s="5"/>
      <c r="Y392" s="5"/>
      <c r="Z392" s="5"/>
      <c r="AA392" s="5"/>
      <c r="AB392" s="5"/>
      <c r="AC392" s="5"/>
      <c r="AD392" s="5"/>
      <c r="AE392" s="5"/>
      <c r="AF392" s="5"/>
    </row>
    <row r="393" spans="1:32" ht="12" customHeight="1">
      <c r="A393" s="64" t="s">
        <v>338</v>
      </c>
      <c r="B393" s="2" t="s">
        <v>333</v>
      </c>
      <c r="C393" s="8">
        <v>6</v>
      </c>
      <c r="D393" s="2" t="s">
        <v>309</v>
      </c>
      <c r="E393" s="8"/>
      <c r="F393" s="16"/>
      <c r="G393" s="16"/>
      <c r="H393" s="16"/>
      <c r="I393" s="16"/>
      <c r="J393" s="15" t="s">
        <v>31</v>
      </c>
      <c r="K393" s="15" t="s">
        <v>31</v>
      </c>
      <c r="L393" s="3">
        <f t="shared" si="61"/>
        <v>0</v>
      </c>
      <c r="M393" s="13"/>
      <c r="N393" s="17"/>
      <c r="O393" s="5"/>
      <c r="P393" s="5"/>
      <c r="Q393" s="5"/>
      <c r="R393" s="5"/>
      <c r="S393" s="5"/>
      <c r="T393" s="5"/>
      <c r="U393" s="5"/>
      <c r="V393" s="5"/>
      <c r="W393" s="5"/>
      <c r="X393" s="5"/>
      <c r="Y393" s="5"/>
      <c r="Z393" s="5"/>
      <c r="AA393" s="5"/>
      <c r="AB393" s="5"/>
      <c r="AC393" s="5"/>
      <c r="AD393" s="5"/>
      <c r="AE393" s="5"/>
      <c r="AF393" s="5"/>
    </row>
    <row r="394" spans="1:32" ht="12" customHeight="1">
      <c r="A394" s="65" t="s">
        <v>339</v>
      </c>
      <c r="B394" s="2" t="s">
        <v>333</v>
      </c>
      <c r="C394" s="8">
        <v>7</v>
      </c>
      <c r="D394" s="2" t="s">
        <v>309</v>
      </c>
      <c r="E394" s="21">
        <v>5251</v>
      </c>
      <c r="F394" s="60">
        <f t="shared" ref="F394:I394" si="62">SUM(F388:F393)</f>
        <v>0</v>
      </c>
      <c r="G394" s="60">
        <f t="shared" si="62"/>
        <v>10000</v>
      </c>
      <c r="H394" s="60">
        <f t="shared" si="62"/>
        <v>0</v>
      </c>
      <c r="I394" s="60">
        <f t="shared" si="62"/>
        <v>0</v>
      </c>
      <c r="J394" s="23" t="s">
        <v>31</v>
      </c>
      <c r="K394" s="23" t="s">
        <v>31</v>
      </c>
      <c r="L394" s="22">
        <f>SUM(L388:L393)</f>
        <v>10000</v>
      </c>
      <c r="M394" s="13"/>
      <c r="N394" s="17"/>
      <c r="O394" s="5"/>
      <c r="P394" s="5"/>
      <c r="Q394" s="5"/>
      <c r="R394" s="5"/>
      <c r="S394" s="5"/>
      <c r="T394" s="5"/>
      <c r="U394" s="5"/>
      <c r="V394" s="5"/>
      <c r="W394" s="5"/>
      <c r="X394" s="5"/>
      <c r="Y394" s="5"/>
      <c r="Z394" s="5"/>
      <c r="AA394" s="5"/>
      <c r="AB394" s="5"/>
      <c r="AC394" s="5"/>
      <c r="AD394" s="5"/>
      <c r="AE394" s="5"/>
      <c r="AF394" s="5"/>
    </row>
    <row r="395" spans="1:32" ht="12" customHeight="1">
      <c r="A395" s="65" t="s">
        <v>340</v>
      </c>
      <c r="B395" s="2"/>
      <c r="C395" s="8"/>
      <c r="D395" s="8"/>
      <c r="E395" s="5"/>
      <c r="F395" s="15" t="s">
        <v>31</v>
      </c>
      <c r="G395" s="15" t="s">
        <v>31</v>
      </c>
      <c r="H395" s="15" t="s">
        <v>31</v>
      </c>
      <c r="I395" s="15" t="s">
        <v>31</v>
      </c>
      <c r="J395" s="15" t="s">
        <v>31</v>
      </c>
      <c r="K395" s="15" t="s">
        <v>31</v>
      </c>
      <c r="L395" s="15" t="s">
        <v>31</v>
      </c>
      <c r="M395" s="13"/>
      <c r="N395" s="17"/>
      <c r="O395" s="5"/>
      <c r="P395" s="5"/>
      <c r="Q395" s="5"/>
      <c r="R395" s="5"/>
      <c r="S395" s="5"/>
      <c r="T395" s="5"/>
      <c r="U395" s="5"/>
      <c r="V395" s="5"/>
      <c r="W395" s="5"/>
      <c r="X395" s="5"/>
      <c r="Y395" s="5"/>
      <c r="Z395" s="5"/>
      <c r="AA395" s="5"/>
      <c r="AB395" s="5"/>
      <c r="AC395" s="5"/>
      <c r="AD395" s="5"/>
      <c r="AE395" s="5"/>
      <c r="AF395" s="5"/>
    </row>
    <row r="396" spans="1:32" ht="12" customHeight="1">
      <c r="A396" s="64" t="s">
        <v>341</v>
      </c>
      <c r="B396" s="2" t="s">
        <v>333</v>
      </c>
      <c r="C396" s="8">
        <v>8</v>
      </c>
      <c r="D396" s="2" t="s">
        <v>309</v>
      </c>
      <c r="E396" s="8"/>
      <c r="F396" s="16"/>
      <c r="G396" s="16">
        <v>20000</v>
      </c>
      <c r="H396" s="16"/>
      <c r="I396" s="16"/>
      <c r="J396" s="15" t="s">
        <v>31</v>
      </c>
      <c r="K396" s="15" t="s">
        <v>31</v>
      </c>
      <c r="L396" s="3">
        <f t="shared" ref="L396:L401" si="63">SUM(F396:K396)</f>
        <v>20000</v>
      </c>
      <c r="M396" s="13"/>
      <c r="N396" s="17"/>
      <c r="O396" s="5"/>
      <c r="P396" s="5"/>
      <c r="Q396" s="5"/>
      <c r="R396" s="5"/>
      <c r="S396" s="5"/>
      <c r="T396" s="5"/>
      <c r="U396" s="5"/>
      <c r="V396" s="5"/>
      <c r="W396" s="5"/>
      <c r="X396" s="5"/>
      <c r="Y396" s="5"/>
      <c r="Z396" s="5"/>
      <c r="AA396" s="5"/>
      <c r="AB396" s="5"/>
      <c r="AC396" s="5"/>
      <c r="AD396" s="5"/>
      <c r="AE396" s="5"/>
      <c r="AF396" s="5"/>
    </row>
    <row r="397" spans="1:32" ht="12" customHeight="1">
      <c r="A397" s="64" t="s">
        <v>342</v>
      </c>
      <c r="B397" s="2" t="s">
        <v>333</v>
      </c>
      <c r="C397" s="8">
        <v>9</v>
      </c>
      <c r="D397" s="2" t="s">
        <v>309</v>
      </c>
      <c r="E397" s="8"/>
      <c r="F397" s="16"/>
      <c r="G397" s="16"/>
      <c r="H397" s="16"/>
      <c r="I397" s="16"/>
      <c r="J397" s="15" t="s">
        <v>31</v>
      </c>
      <c r="K397" s="15" t="s">
        <v>31</v>
      </c>
      <c r="L397" s="3">
        <f t="shared" si="63"/>
        <v>0</v>
      </c>
      <c r="M397" s="13"/>
      <c r="N397" s="17"/>
      <c r="O397" s="5"/>
      <c r="P397" s="5"/>
      <c r="Q397" s="5"/>
      <c r="R397" s="5"/>
      <c r="S397" s="5"/>
      <c r="T397" s="5"/>
      <c r="U397" s="5"/>
      <c r="V397" s="5"/>
      <c r="W397" s="5"/>
      <c r="X397" s="5"/>
      <c r="Y397" s="5"/>
      <c r="Z397" s="5"/>
      <c r="AA397" s="5"/>
      <c r="AB397" s="5"/>
      <c r="AC397" s="5"/>
      <c r="AD397" s="5"/>
      <c r="AE397" s="5"/>
      <c r="AF397" s="5"/>
    </row>
    <row r="398" spans="1:32" ht="12" customHeight="1">
      <c r="A398" s="64" t="s">
        <v>98</v>
      </c>
      <c r="B398" s="2" t="s">
        <v>333</v>
      </c>
      <c r="C398" s="8">
        <v>10</v>
      </c>
      <c r="D398" s="2" t="s">
        <v>309</v>
      </c>
      <c r="E398" s="8"/>
      <c r="F398" s="16"/>
      <c r="G398" s="16">
        <v>20000</v>
      </c>
      <c r="H398" s="16"/>
      <c r="I398" s="16"/>
      <c r="J398" s="15" t="s">
        <v>31</v>
      </c>
      <c r="K398" s="15" t="s">
        <v>31</v>
      </c>
      <c r="L398" s="3">
        <f t="shared" si="63"/>
        <v>20000</v>
      </c>
      <c r="M398" s="13"/>
      <c r="N398" s="17"/>
      <c r="O398" s="5"/>
      <c r="P398" s="5"/>
      <c r="Q398" s="5"/>
      <c r="R398" s="5"/>
      <c r="S398" s="5"/>
      <c r="T398" s="5"/>
      <c r="U398" s="5"/>
      <c r="V398" s="5"/>
      <c r="W398" s="5"/>
      <c r="X398" s="5"/>
      <c r="Y398" s="5"/>
      <c r="Z398" s="5"/>
      <c r="AA398" s="5"/>
      <c r="AB398" s="5"/>
      <c r="AC398" s="5"/>
      <c r="AD398" s="5"/>
      <c r="AE398" s="5"/>
      <c r="AF398" s="5"/>
    </row>
    <row r="399" spans="1:32" ht="12" customHeight="1">
      <c r="A399" s="64" t="s">
        <v>343</v>
      </c>
      <c r="B399" s="2" t="s">
        <v>333</v>
      </c>
      <c r="C399" s="8">
        <v>11</v>
      </c>
      <c r="D399" s="2" t="s">
        <v>309</v>
      </c>
      <c r="E399" s="8"/>
      <c r="F399" s="16"/>
      <c r="G399" s="16"/>
      <c r="H399" s="16"/>
      <c r="I399" s="16"/>
      <c r="J399" s="15" t="s">
        <v>31</v>
      </c>
      <c r="K399" s="15" t="s">
        <v>31</v>
      </c>
      <c r="L399" s="3">
        <f t="shared" si="63"/>
        <v>0</v>
      </c>
      <c r="M399" s="13"/>
      <c r="N399" s="17"/>
      <c r="O399" s="5"/>
      <c r="P399" s="5"/>
      <c r="Q399" s="5"/>
      <c r="R399" s="5"/>
      <c r="S399" s="5"/>
      <c r="T399" s="5"/>
      <c r="U399" s="5"/>
      <c r="V399" s="5"/>
      <c r="W399" s="5"/>
      <c r="X399" s="5"/>
      <c r="Y399" s="5"/>
      <c r="Z399" s="5"/>
      <c r="AA399" s="5"/>
      <c r="AB399" s="5"/>
      <c r="AC399" s="5"/>
      <c r="AD399" s="5"/>
      <c r="AE399" s="5"/>
      <c r="AF399" s="5"/>
    </row>
    <row r="400" spans="1:32" ht="12" customHeight="1">
      <c r="A400" s="64" t="s">
        <v>344</v>
      </c>
      <c r="B400" s="2" t="s">
        <v>333</v>
      </c>
      <c r="C400" s="8">
        <v>12</v>
      </c>
      <c r="D400" s="2" t="s">
        <v>309</v>
      </c>
      <c r="E400" s="8"/>
      <c r="F400" s="16"/>
      <c r="G400" s="16"/>
      <c r="H400" s="16"/>
      <c r="I400" s="16"/>
      <c r="J400" s="15" t="s">
        <v>31</v>
      </c>
      <c r="K400" s="15" t="s">
        <v>31</v>
      </c>
      <c r="L400" s="3">
        <f t="shared" si="63"/>
        <v>0</v>
      </c>
      <c r="M400" s="13"/>
      <c r="N400" s="17"/>
      <c r="O400" s="5"/>
      <c r="P400" s="5"/>
      <c r="Q400" s="5"/>
      <c r="R400" s="5"/>
      <c r="S400" s="5"/>
      <c r="T400" s="5"/>
      <c r="U400" s="5"/>
      <c r="V400" s="5"/>
      <c r="W400" s="5"/>
      <c r="X400" s="5"/>
      <c r="Y400" s="5"/>
      <c r="Z400" s="5"/>
      <c r="AA400" s="5"/>
      <c r="AB400" s="5"/>
      <c r="AC400" s="5"/>
      <c r="AD400" s="5"/>
      <c r="AE400" s="5"/>
      <c r="AF400" s="5"/>
    </row>
    <row r="401" spans="1:32" ht="12" customHeight="1">
      <c r="A401" s="64" t="s">
        <v>89</v>
      </c>
      <c r="B401" s="2" t="s">
        <v>333</v>
      </c>
      <c r="C401" s="8">
        <v>13</v>
      </c>
      <c r="D401" s="2" t="s">
        <v>309</v>
      </c>
      <c r="E401" s="8"/>
      <c r="F401" s="16"/>
      <c r="G401" s="16"/>
      <c r="H401" s="16">
        <v>268.27</v>
      </c>
      <c r="I401" s="16"/>
      <c r="J401" s="15" t="s">
        <v>31</v>
      </c>
      <c r="K401" s="15" t="s">
        <v>31</v>
      </c>
      <c r="L401" s="3">
        <f t="shared" si="63"/>
        <v>268.27</v>
      </c>
      <c r="M401" s="13"/>
      <c r="N401" s="17"/>
      <c r="O401" s="5"/>
      <c r="P401" s="5"/>
      <c r="Q401" s="5"/>
      <c r="R401" s="5"/>
      <c r="S401" s="5"/>
      <c r="T401" s="5"/>
      <c r="U401" s="5"/>
      <c r="V401" s="5"/>
      <c r="W401" s="5"/>
      <c r="X401" s="5"/>
      <c r="Y401" s="5"/>
      <c r="Z401" s="5"/>
      <c r="AA401" s="5"/>
      <c r="AB401" s="5"/>
      <c r="AC401" s="5"/>
      <c r="AD401" s="5"/>
      <c r="AE401" s="5"/>
      <c r="AF401" s="5"/>
    </row>
    <row r="402" spans="1:32" ht="12" customHeight="1">
      <c r="A402" s="65" t="s">
        <v>345</v>
      </c>
      <c r="B402" s="2" t="s">
        <v>333</v>
      </c>
      <c r="C402" s="8">
        <v>14</v>
      </c>
      <c r="D402" s="2" t="s">
        <v>309</v>
      </c>
      <c r="E402" s="21">
        <v>5252</v>
      </c>
      <c r="F402" s="22">
        <f t="shared" ref="F402:I402" si="64">SUM(F396:F401)</f>
        <v>0</v>
      </c>
      <c r="G402" s="22">
        <f t="shared" si="64"/>
        <v>40000</v>
      </c>
      <c r="H402" s="22">
        <f t="shared" si="64"/>
        <v>268.27</v>
      </c>
      <c r="I402" s="22">
        <f t="shared" si="64"/>
        <v>0</v>
      </c>
      <c r="J402" s="23" t="s">
        <v>31</v>
      </c>
      <c r="K402" s="23" t="s">
        <v>31</v>
      </c>
      <c r="L402" s="22">
        <f>SUM(L396:L401)</f>
        <v>40268.269999999997</v>
      </c>
      <c r="M402" s="13"/>
      <c r="N402" s="17"/>
      <c r="O402" s="5"/>
      <c r="P402" s="5"/>
      <c r="Q402" s="5"/>
      <c r="R402" s="5"/>
      <c r="S402" s="5"/>
      <c r="T402" s="5"/>
      <c r="U402" s="5"/>
      <c r="V402" s="5"/>
      <c r="W402" s="5"/>
      <c r="X402" s="5"/>
      <c r="Y402" s="5"/>
      <c r="Z402" s="5"/>
      <c r="AA402" s="5"/>
      <c r="AB402" s="5"/>
      <c r="AC402" s="5"/>
      <c r="AD402" s="5"/>
      <c r="AE402" s="5"/>
      <c r="AF402" s="5"/>
    </row>
    <row r="403" spans="1:32" ht="12" customHeight="1">
      <c r="A403" s="65" t="s">
        <v>346</v>
      </c>
      <c r="B403" s="2"/>
      <c r="C403" s="2"/>
      <c r="D403" s="2"/>
      <c r="E403" s="5"/>
      <c r="F403" s="15" t="s">
        <v>31</v>
      </c>
      <c r="G403" s="15" t="s">
        <v>31</v>
      </c>
      <c r="H403" s="15" t="s">
        <v>31</v>
      </c>
      <c r="I403" s="15" t="s">
        <v>31</v>
      </c>
      <c r="J403" s="15" t="s">
        <v>31</v>
      </c>
      <c r="K403" s="15" t="s">
        <v>31</v>
      </c>
      <c r="L403" s="15" t="s">
        <v>31</v>
      </c>
      <c r="M403" s="13"/>
      <c r="N403" s="17"/>
      <c r="O403" s="5"/>
      <c r="P403" s="5"/>
      <c r="Q403" s="5"/>
      <c r="R403" s="5"/>
      <c r="S403" s="5"/>
      <c r="T403" s="5"/>
      <c r="U403" s="5"/>
      <c r="V403" s="5"/>
      <c r="W403" s="5"/>
      <c r="X403" s="5"/>
      <c r="Y403" s="5"/>
      <c r="Z403" s="5"/>
      <c r="AA403" s="5"/>
      <c r="AB403" s="5"/>
      <c r="AC403" s="5"/>
      <c r="AD403" s="5"/>
      <c r="AE403" s="5"/>
      <c r="AF403" s="5"/>
    </row>
    <row r="404" spans="1:32" ht="12" customHeight="1">
      <c r="A404" s="64"/>
      <c r="B404" s="2" t="s">
        <v>333</v>
      </c>
      <c r="C404" s="8">
        <v>15</v>
      </c>
      <c r="D404" s="2" t="s">
        <v>309</v>
      </c>
      <c r="E404" s="8"/>
      <c r="F404" s="16"/>
      <c r="G404" s="16"/>
      <c r="H404" s="16"/>
      <c r="I404" s="16"/>
      <c r="J404" s="15" t="s">
        <v>31</v>
      </c>
      <c r="K404" s="15" t="s">
        <v>31</v>
      </c>
      <c r="L404" s="3">
        <f t="shared" ref="L404:L407" si="65">SUM(F404:K404)</f>
        <v>0</v>
      </c>
      <c r="M404" s="13"/>
      <c r="N404" s="17"/>
      <c r="O404" s="5"/>
      <c r="P404" s="5"/>
      <c r="Q404" s="5"/>
      <c r="R404" s="5"/>
      <c r="S404" s="5"/>
      <c r="T404" s="5"/>
      <c r="U404" s="5"/>
      <c r="V404" s="5"/>
      <c r="W404" s="5"/>
      <c r="X404" s="5"/>
      <c r="Y404" s="5"/>
      <c r="Z404" s="5"/>
      <c r="AA404" s="5"/>
      <c r="AB404" s="5"/>
      <c r="AC404" s="5"/>
      <c r="AD404" s="5"/>
      <c r="AE404" s="5"/>
      <c r="AF404" s="5"/>
    </row>
    <row r="405" spans="1:32" ht="12" customHeight="1">
      <c r="A405" s="64"/>
      <c r="B405" s="2" t="s">
        <v>333</v>
      </c>
      <c r="C405" s="8">
        <v>16</v>
      </c>
      <c r="D405" s="2" t="s">
        <v>309</v>
      </c>
      <c r="E405" s="8"/>
      <c r="F405" s="16"/>
      <c r="G405" s="16"/>
      <c r="H405" s="16"/>
      <c r="I405" s="16"/>
      <c r="J405" s="15" t="s">
        <v>31</v>
      </c>
      <c r="K405" s="15" t="s">
        <v>31</v>
      </c>
      <c r="L405" s="3">
        <f t="shared" si="65"/>
        <v>0</v>
      </c>
      <c r="M405" s="13"/>
      <c r="N405" s="17"/>
      <c r="O405" s="5"/>
      <c r="P405" s="5"/>
      <c r="Q405" s="5"/>
      <c r="R405" s="5"/>
      <c r="S405" s="5"/>
      <c r="T405" s="5"/>
      <c r="U405" s="5"/>
      <c r="V405" s="5"/>
      <c r="W405" s="5"/>
      <c r="X405" s="5"/>
      <c r="Y405" s="5"/>
      <c r="Z405" s="5"/>
      <c r="AA405" s="5"/>
      <c r="AB405" s="5"/>
      <c r="AC405" s="5"/>
      <c r="AD405" s="5"/>
      <c r="AE405" s="5"/>
      <c r="AF405" s="5"/>
    </row>
    <row r="406" spans="1:32" ht="12" customHeight="1">
      <c r="A406" s="64"/>
      <c r="B406" s="2" t="s">
        <v>333</v>
      </c>
      <c r="C406" s="8">
        <v>17</v>
      </c>
      <c r="D406" s="2" t="s">
        <v>309</v>
      </c>
      <c r="E406" s="8"/>
      <c r="F406" s="16"/>
      <c r="G406" s="16"/>
      <c r="H406" s="16"/>
      <c r="I406" s="16"/>
      <c r="J406" s="15" t="s">
        <v>31</v>
      </c>
      <c r="K406" s="15" t="s">
        <v>31</v>
      </c>
      <c r="L406" s="3">
        <f t="shared" si="65"/>
        <v>0</v>
      </c>
      <c r="M406" s="13"/>
      <c r="N406" s="17"/>
      <c r="O406" s="5"/>
      <c r="P406" s="5"/>
      <c r="Q406" s="5"/>
      <c r="R406" s="5"/>
      <c r="S406" s="5"/>
      <c r="T406" s="5"/>
      <c r="U406" s="5"/>
      <c r="V406" s="5"/>
      <c r="W406" s="5"/>
      <c r="X406" s="5"/>
      <c r="Y406" s="5"/>
      <c r="Z406" s="5"/>
      <c r="AA406" s="5"/>
      <c r="AB406" s="5"/>
      <c r="AC406" s="5"/>
      <c r="AD406" s="5"/>
      <c r="AE406" s="5"/>
      <c r="AF406" s="5"/>
    </row>
    <row r="407" spans="1:32" ht="12" customHeight="1">
      <c r="A407" s="64"/>
      <c r="B407" s="2" t="s">
        <v>333</v>
      </c>
      <c r="C407" s="8">
        <v>18</v>
      </c>
      <c r="D407" s="2" t="s">
        <v>309</v>
      </c>
      <c r="E407" s="8"/>
      <c r="F407" s="16"/>
      <c r="G407" s="16"/>
      <c r="H407" s="16"/>
      <c r="I407" s="16"/>
      <c r="J407" s="15" t="s">
        <v>31</v>
      </c>
      <c r="K407" s="15" t="s">
        <v>31</v>
      </c>
      <c r="L407" s="3">
        <f t="shared" si="65"/>
        <v>0</v>
      </c>
      <c r="M407" s="13"/>
      <c r="N407" s="17"/>
      <c r="O407" s="5"/>
      <c r="P407" s="5"/>
      <c r="Q407" s="5"/>
      <c r="R407" s="5"/>
      <c r="S407" s="5"/>
      <c r="T407" s="5"/>
      <c r="U407" s="5"/>
      <c r="V407" s="5"/>
      <c r="W407" s="5"/>
      <c r="X407" s="5"/>
      <c r="Y407" s="5"/>
      <c r="Z407" s="5"/>
      <c r="AA407" s="5"/>
      <c r="AB407" s="5"/>
      <c r="AC407" s="5"/>
      <c r="AD407" s="5"/>
      <c r="AE407" s="5"/>
      <c r="AF407" s="5"/>
    </row>
    <row r="408" spans="1:32" ht="12" customHeight="1">
      <c r="A408" s="65" t="s">
        <v>347</v>
      </c>
      <c r="B408" s="2" t="s">
        <v>333</v>
      </c>
      <c r="C408" s="8">
        <v>19</v>
      </c>
      <c r="D408" s="2" t="s">
        <v>309</v>
      </c>
      <c r="E408" s="21">
        <v>5253</v>
      </c>
      <c r="F408" s="22">
        <f t="shared" ref="F408:I408" si="66">SUM(F404:F407)</f>
        <v>0</v>
      </c>
      <c r="G408" s="22">
        <f t="shared" si="66"/>
        <v>0</v>
      </c>
      <c r="H408" s="22">
        <f t="shared" si="66"/>
        <v>0</v>
      </c>
      <c r="I408" s="22">
        <f t="shared" si="66"/>
        <v>0</v>
      </c>
      <c r="J408" s="66" t="s">
        <v>31</v>
      </c>
      <c r="K408" s="66" t="s">
        <v>31</v>
      </c>
      <c r="L408" s="22">
        <f>SUM(L404:L407)</f>
        <v>0</v>
      </c>
      <c r="M408" s="13"/>
      <c r="N408" s="17"/>
      <c r="O408" s="5"/>
      <c r="P408" s="5"/>
      <c r="Q408" s="5"/>
      <c r="R408" s="5"/>
      <c r="S408" s="5"/>
      <c r="T408" s="5"/>
      <c r="U408" s="5"/>
      <c r="V408" s="5"/>
      <c r="W408" s="5"/>
      <c r="X408" s="5"/>
      <c r="Y408" s="5"/>
      <c r="Z408" s="5"/>
      <c r="AA408" s="5"/>
      <c r="AB408" s="5"/>
      <c r="AC408" s="5"/>
      <c r="AD408" s="5"/>
      <c r="AE408" s="5"/>
      <c r="AF408" s="5"/>
    </row>
    <row r="409" spans="1:32" ht="12" customHeight="1">
      <c r="A409" s="65" t="s">
        <v>348</v>
      </c>
      <c r="B409" s="2" t="s">
        <v>333</v>
      </c>
      <c r="C409" s="8">
        <v>20</v>
      </c>
      <c r="D409" s="8"/>
      <c r="E409" s="21"/>
      <c r="F409" s="22">
        <f t="shared" ref="F409:I409" si="67">F394+F402+F408</f>
        <v>0</v>
      </c>
      <c r="G409" s="22">
        <f t="shared" si="67"/>
        <v>50000</v>
      </c>
      <c r="H409" s="22">
        <f t="shared" si="67"/>
        <v>268.27</v>
      </c>
      <c r="I409" s="22">
        <f t="shared" si="67"/>
        <v>0</v>
      </c>
      <c r="J409" s="15" t="s">
        <v>31</v>
      </c>
      <c r="K409" s="15" t="s">
        <v>31</v>
      </c>
      <c r="L409" s="22">
        <f>L394+L402+L408</f>
        <v>50268.27</v>
      </c>
      <c r="M409" s="13"/>
      <c r="N409" s="17"/>
      <c r="O409" s="5"/>
      <c r="P409" s="5"/>
      <c r="Q409" s="5"/>
      <c r="R409" s="5"/>
      <c r="S409" s="5"/>
      <c r="T409" s="5"/>
      <c r="U409" s="5"/>
      <c r="V409" s="5"/>
      <c r="W409" s="5"/>
      <c r="X409" s="5"/>
      <c r="Y409" s="5"/>
      <c r="Z409" s="5"/>
      <c r="AA409" s="5"/>
      <c r="AB409" s="5"/>
      <c r="AC409" s="5"/>
      <c r="AD409" s="5"/>
      <c r="AE409" s="5"/>
      <c r="AF409" s="5"/>
    </row>
    <row r="410" spans="1:32" ht="12" customHeight="1">
      <c r="A410" s="65"/>
      <c r="B410" s="2"/>
      <c r="C410" s="8"/>
      <c r="D410" s="8"/>
      <c r="E410" s="8"/>
      <c r="F410" s="4" t="s">
        <v>206</v>
      </c>
      <c r="G410" s="4" t="s">
        <v>207</v>
      </c>
      <c r="H410" s="4" t="s">
        <v>208</v>
      </c>
      <c r="I410" s="4" t="s">
        <v>209</v>
      </c>
      <c r="J410" s="4" t="s">
        <v>210</v>
      </c>
      <c r="K410" s="4" t="s">
        <v>211</v>
      </c>
      <c r="L410" s="3"/>
      <c r="M410" s="13"/>
      <c r="N410" s="17"/>
      <c r="O410" s="5"/>
      <c r="P410" s="5"/>
      <c r="Q410" s="5"/>
      <c r="R410" s="5"/>
      <c r="S410" s="5"/>
      <c r="T410" s="5"/>
      <c r="U410" s="5"/>
      <c r="V410" s="5"/>
      <c r="W410" s="5"/>
      <c r="X410" s="5"/>
      <c r="Y410" s="5"/>
      <c r="Z410" s="5"/>
      <c r="AA410" s="5"/>
      <c r="AB410" s="5"/>
      <c r="AC410" s="5"/>
      <c r="AD410" s="5"/>
      <c r="AE410" s="5"/>
      <c r="AF410" s="5"/>
    </row>
    <row r="411" spans="1:32" ht="12" customHeight="1">
      <c r="A411" s="62" t="s">
        <v>322</v>
      </c>
      <c r="B411" s="63"/>
      <c r="C411" s="63"/>
      <c r="D411" s="63"/>
      <c r="E411" s="63"/>
      <c r="F411" s="61"/>
      <c r="G411" s="12" t="s">
        <v>349</v>
      </c>
      <c r="H411" s="12" t="s">
        <v>350</v>
      </c>
      <c r="I411" s="3"/>
      <c r="J411" s="3"/>
      <c r="K411" s="3"/>
      <c r="L411" s="3"/>
      <c r="M411" s="13"/>
      <c r="N411" s="17"/>
      <c r="O411" s="5"/>
      <c r="P411" s="5"/>
      <c r="Q411" s="5"/>
      <c r="R411" s="5"/>
      <c r="S411" s="5"/>
      <c r="T411" s="5"/>
      <c r="U411" s="5"/>
      <c r="V411" s="5"/>
      <c r="W411" s="5"/>
      <c r="X411" s="5"/>
      <c r="Y411" s="5"/>
      <c r="Z411" s="5"/>
      <c r="AA411" s="5"/>
      <c r="AB411" s="5"/>
      <c r="AC411" s="5"/>
      <c r="AD411" s="5"/>
      <c r="AE411" s="5"/>
      <c r="AF411" s="5"/>
    </row>
    <row r="412" spans="1:32" ht="12" customHeight="1">
      <c r="A412" s="62" t="s">
        <v>351</v>
      </c>
      <c r="B412" s="2"/>
      <c r="C412" s="2"/>
      <c r="D412" s="2"/>
      <c r="E412" s="2"/>
      <c r="F412" s="12" t="s">
        <v>352</v>
      </c>
      <c r="G412" s="12" t="s">
        <v>353</v>
      </c>
      <c r="H412" s="12" t="s">
        <v>354</v>
      </c>
      <c r="I412" s="12" t="s">
        <v>355</v>
      </c>
      <c r="J412" s="3" t="s">
        <v>356</v>
      </c>
      <c r="K412" s="3" t="s">
        <v>273</v>
      </c>
      <c r="L412" s="12" t="s">
        <v>307</v>
      </c>
      <c r="M412" s="13"/>
      <c r="N412" s="17"/>
      <c r="O412" s="5"/>
      <c r="P412" s="5"/>
      <c r="Q412" s="5"/>
      <c r="R412" s="5"/>
      <c r="S412" s="5"/>
      <c r="T412" s="5"/>
      <c r="U412" s="5"/>
      <c r="V412" s="5"/>
      <c r="W412" s="5"/>
      <c r="X412" s="5"/>
      <c r="Y412" s="5"/>
      <c r="Z412" s="5"/>
      <c r="AA412" s="5"/>
      <c r="AB412" s="5"/>
      <c r="AC412" s="5"/>
      <c r="AD412" s="5"/>
      <c r="AE412" s="5"/>
      <c r="AF412" s="5"/>
    </row>
    <row r="413" spans="1:32" ht="12" customHeight="1">
      <c r="A413" s="62" t="s">
        <v>327</v>
      </c>
      <c r="B413" s="2"/>
      <c r="C413" s="2"/>
      <c r="D413" s="2"/>
      <c r="E413" s="5"/>
      <c r="F413" s="15" t="s">
        <v>31</v>
      </c>
      <c r="G413" s="15" t="s">
        <v>31</v>
      </c>
      <c r="H413" s="15" t="s">
        <v>31</v>
      </c>
      <c r="I413" s="15" t="s">
        <v>31</v>
      </c>
      <c r="J413" s="15" t="s">
        <v>31</v>
      </c>
      <c r="K413" s="15" t="s">
        <v>31</v>
      </c>
      <c r="L413" s="15" t="s">
        <v>31</v>
      </c>
      <c r="M413" s="13"/>
      <c r="N413" s="17"/>
      <c r="O413" s="5"/>
      <c r="P413" s="5"/>
      <c r="Q413" s="5"/>
      <c r="R413" s="5"/>
      <c r="S413" s="5"/>
      <c r="T413" s="5"/>
      <c r="U413" s="5"/>
      <c r="V413" s="5"/>
      <c r="W413" s="5"/>
      <c r="X413" s="5"/>
      <c r="Y413" s="5"/>
      <c r="Z413" s="5"/>
      <c r="AA413" s="5"/>
      <c r="AB413" s="5"/>
      <c r="AC413" s="5"/>
      <c r="AD413" s="5"/>
      <c r="AE413" s="5"/>
      <c r="AF413" s="5"/>
    </row>
    <row r="414" spans="1:32" ht="12" customHeight="1">
      <c r="A414" s="64" t="s">
        <v>332</v>
      </c>
      <c r="B414" s="8">
        <v>17</v>
      </c>
      <c r="C414" s="8">
        <v>1</v>
      </c>
      <c r="D414" s="2" t="s">
        <v>309</v>
      </c>
      <c r="E414" s="8"/>
      <c r="F414" s="16"/>
      <c r="G414" s="16"/>
      <c r="H414" s="16"/>
      <c r="I414" s="16"/>
      <c r="J414" s="16"/>
      <c r="K414" s="16"/>
      <c r="L414" s="3">
        <f t="shared" ref="L414:L419" si="68">SUM(F414:K414)</f>
        <v>0</v>
      </c>
      <c r="M414" s="7"/>
      <c r="N414" s="27"/>
      <c r="O414" s="7"/>
      <c r="P414" s="7"/>
      <c r="Q414" s="7"/>
      <c r="R414" s="7"/>
      <c r="S414" s="7"/>
      <c r="T414" s="7"/>
      <c r="U414" s="7"/>
      <c r="V414" s="53"/>
      <c r="W414" s="53"/>
      <c r="X414" s="53"/>
      <c r="Y414" s="53"/>
      <c r="Z414" s="53"/>
      <c r="AA414" s="53"/>
      <c r="AB414" s="53"/>
      <c r="AC414" s="53"/>
      <c r="AD414" s="53"/>
      <c r="AE414" s="53"/>
      <c r="AF414" s="53"/>
    </row>
    <row r="415" spans="1:32" ht="12" customHeight="1">
      <c r="A415" s="64" t="s">
        <v>334</v>
      </c>
      <c r="B415" s="8">
        <v>17</v>
      </c>
      <c r="C415" s="8">
        <v>2</v>
      </c>
      <c r="D415" s="2" t="s">
        <v>309</v>
      </c>
      <c r="E415" s="8"/>
      <c r="F415" s="16"/>
      <c r="G415" s="16"/>
      <c r="H415" s="16"/>
      <c r="I415" s="16"/>
      <c r="J415" s="16"/>
      <c r="K415" s="16"/>
      <c r="L415" s="3">
        <f t="shared" si="68"/>
        <v>0</v>
      </c>
      <c r="M415" s="5"/>
      <c r="N415" s="17"/>
      <c r="O415" s="5"/>
      <c r="P415" s="5"/>
      <c r="Q415" s="5"/>
      <c r="R415" s="5"/>
      <c r="S415" s="5"/>
      <c r="T415" s="5"/>
      <c r="U415" s="5"/>
      <c r="V415" s="5"/>
      <c r="W415" s="5"/>
      <c r="X415" s="5"/>
      <c r="Y415" s="5"/>
      <c r="Z415" s="5"/>
      <c r="AA415" s="5"/>
      <c r="AB415" s="5"/>
      <c r="AC415" s="5"/>
      <c r="AD415" s="5"/>
      <c r="AE415" s="5"/>
      <c r="AF415" s="5"/>
    </row>
    <row r="416" spans="1:32" ht="12" customHeight="1">
      <c r="A416" s="64" t="s">
        <v>335</v>
      </c>
      <c r="B416" s="8">
        <v>17</v>
      </c>
      <c r="C416" s="8">
        <v>3</v>
      </c>
      <c r="D416" s="2" t="s">
        <v>309</v>
      </c>
      <c r="E416" s="8"/>
      <c r="F416" s="16"/>
      <c r="G416" s="16"/>
      <c r="H416" s="16"/>
      <c r="I416" s="16"/>
      <c r="J416" s="16"/>
      <c r="K416" s="16"/>
      <c r="L416" s="3">
        <f t="shared" si="68"/>
        <v>0</v>
      </c>
      <c r="M416" s="13"/>
      <c r="N416" s="17"/>
      <c r="O416" s="5"/>
      <c r="P416" s="5"/>
      <c r="Q416" s="5"/>
      <c r="R416" s="5"/>
      <c r="S416" s="5"/>
      <c r="T416" s="5"/>
      <c r="U416" s="5"/>
      <c r="V416" s="5"/>
      <c r="W416" s="5"/>
      <c r="X416" s="5"/>
      <c r="Y416" s="5"/>
      <c r="Z416" s="5"/>
      <c r="AA416" s="5"/>
      <c r="AB416" s="5"/>
      <c r="AC416" s="5"/>
      <c r="AD416" s="5"/>
      <c r="AE416" s="5"/>
      <c r="AF416" s="5"/>
    </row>
    <row r="417" spans="1:32" ht="12" customHeight="1">
      <c r="A417" s="64" t="s">
        <v>336</v>
      </c>
      <c r="B417" s="8">
        <v>17</v>
      </c>
      <c r="C417" s="8">
        <v>4</v>
      </c>
      <c r="D417" s="2" t="s">
        <v>309</v>
      </c>
      <c r="E417" s="8"/>
      <c r="F417" s="16"/>
      <c r="G417" s="16"/>
      <c r="H417" s="16"/>
      <c r="I417" s="16"/>
      <c r="J417" s="16"/>
      <c r="K417" s="16"/>
      <c r="L417" s="3">
        <f t="shared" si="68"/>
        <v>0</v>
      </c>
      <c r="M417" s="13"/>
      <c r="N417" s="17"/>
      <c r="O417" s="5"/>
      <c r="P417" s="5"/>
      <c r="Q417" s="5"/>
      <c r="R417" s="5"/>
      <c r="S417" s="5"/>
      <c r="T417" s="5"/>
      <c r="U417" s="5"/>
      <c r="V417" s="5"/>
      <c r="W417" s="5"/>
      <c r="X417" s="5"/>
      <c r="Y417" s="5"/>
      <c r="Z417" s="5"/>
      <c r="AA417" s="5"/>
      <c r="AB417" s="5"/>
      <c r="AC417" s="5"/>
      <c r="AD417" s="5"/>
      <c r="AE417" s="5"/>
      <c r="AF417" s="5"/>
    </row>
    <row r="418" spans="1:32" ht="12" customHeight="1">
      <c r="A418" s="64" t="s">
        <v>337</v>
      </c>
      <c r="B418" s="8">
        <v>17</v>
      </c>
      <c r="C418" s="8">
        <v>5</v>
      </c>
      <c r="D418" s="2" t="s">
        <v>309</v>
      </c>
      <c r="E418" s="8"/>
      <c r="F418" s="16"/>
      <c r="G418" s="16"/>
      <c r="H418" s="16"/>
      <c r="I418" s="16"/>
      <c r="J418" s="16"/>
      <c r="K418" s="16"/>
      <c r="L418" s="3">
        <f t="shared" si="68"/>
        <v>0</v>
      </c>
      <c r="M418" s="13"/>
      <c r="N418" s="17"/>
      <c r="O418" s="5"/>
      <c r="P418" s="5"/>
      <c r="Q418" s="5"/>
      <c r="R418" s="5"/>
      <c r="S418" s="5"/>
      <c r="T418" s="5"/>
      <c r="U418" s="5"/>
      <c r="V418" s="5"/>
      <c r="W418" s="5"/>
      <c r="X418" s="5"/>
      <c r="Y418" s="5"/>
      <c r="Z418" s="5"/>
      <c r="AA418" s="5"/>
      <c r="AB418" s="5"/>
      <c r="AC418" s="5"/>
      <c r="AD418" s="5"/>
      <c r="AE418" s="5"/>
      <c r="AF418" s="5"/>
    </row>
    <row r="419" spans="1:32" ht="12" customHeight="1">
      <c r="A419" s="64" t="s">
        <v>338</v>
      </c>
      <c r="B419" s="8">
        <v>17</v>
      </c>
      <c r="C419" s="8">
        <v>6</v>
      </c>
      <c r="D419" s="2" t="s">
        <v>309</v>
      </c>
      <c r="E419" s="8"/>
      <c r="F419" s="16"/>
      <c r="G419" s="16"/>
      <c r="H419" s="16"/>
      <c r="I419" s="16"/>
      <c r="J419" s="16"/>
      <c r="K419" s="16"/>
      <c r="L419" s="3">
        <f t="shared" si="68"/>
        <v>0</v>
      </c>
      <c r="M419" s="13"/>
      <c r="N419" s="17"/>
      <c r="O419" s="5"/>
      <c r="P419" s="5"/>
      <c r="Q419" s="5"/>
      <c r="R419" s="5"/>
      <c r="S419" s="5"/>
      <c r="T419" s="5"/>
      <c r="U419" s="5"/>
      <c r="V419" s="5"/>
      <c r="W419" s="5"/>
      <c r="X419" s="5"/>
      <c r="Y419" s="5"/>
      <c r="Z419" s="5"/>
      <c r="AA419" s="5"/>
      <c r="AB419" s="5"/>
      <c r="AC419" s="5"/>
      <c r="AD419" s="5"/>
      <c r="AE419" s="5"/>
      <c r="AF419" s="5"/>
    </row>
    <row r="420" spans="1:32" ht="12" customHeight="1">
      <c r="A420" s="65" t="s">
        <v>339</v>
      </c>
      <c r="B420" s="8">
        <v>17</v>
      </c>
      <c r="C420" s="8">
        <v>7</v>
      </c>
      <c r="D420" s="2" t="s">
        <v>309</v>
      </c>
      <c r="E420" s="21">
        <v>5251</v>
      </c>
      <c r="F420" s="60">
        <f t="shared" ref="F420:L420" si="69">SUM(F414:F419)</f>
        <v>0</v>
      </c>
      <c r="G420" s="60">
        <f t="shared" si="69"/>
        <v>0</v>
      </c>
      <c r="H420" s="60">
        <f t="shared" si="69"/>
        <v>0</v>
      </c>
      <c r="I420" s="60">
        <f t="shared" si="69"/>
        <v>0</v>
      </c>
      <c r="J420" s="60">
        <f t="shared" si="69"/>
        <v>0</v>
      </c>
      <c r="K420" s="60">
        <f t="shared" si="69"/>
        <v>0</v>
      </c>
      <c r="L420" s="22">
        <f t="shared" si="69"/>
        <v>0</v>
      </c>
      <c r="M420" s="13"/>
      <c r="N420" s="17"/>
      <c r="O420" s="5"/>
      <c r="P420" s="5"/>
      <c r="Q420" s="5"/>
      <c r="R420" s="5"/>
      <c r="S420" s="5"/>
      <c r="T420" s="5"/>
      <c r="U420" s="5"/>
      <c r="V420" s="5"/>
      <c r="W420" s="5"/>
      <c r="X420" s="5"/>
      <c r="Y420" s="5"/>
      <c r="Z420" s="5"/>
      <c r="AA420" s="5"/>
      <c r="AB420" s="5"/>
      <c r="AC420" s="5"/>
      <c r="AD420" s="5"/>
      <c r="AE420" s="5"/>
      <c r="AF420" s="5"/>
    </row>
    <row r="421" spans="1:32" ht="12" customHeight="1">
      <c r="A421" s="65" t="s">
        <v>340</v>
      </c>
      <c r="B421" s="2"/>
      <c r="C421" s="8"/>
      <c r="D421" s="8"/>
      <c r="E421" s="5"/>
      <c r="F421" s="15" t="s">
        <v>31</v>
      </c>
      <c r="G421" s="15" t="s">
        <v>31</v>
      </c>
      <c r="H421" s="15" t="s">
        <v>31</v>
      </c>
      <c r="I421" s="15" t="s">
        <v>31</v>
      </c>
      <c r="J421" s="15" t="s">
        <v>31</v>
      </c>
      <c r="K421" s="15" t="s">
        <v>31</v>
      </c>
      <c r="L421" s="15" t="s">
        <v>31</v>
      </c>
      <c r="M421" s="13"/>
      <c r="N421" s="17"/>
      <c r="O421" s="5"/>
      <c r="P421" s="5"/>
      <c r="Q421" s="5"/>
      <c r="R421" s="5"/>
      <c r="S421" s="5"/>
      <c r="T421" s="5"/>
      <c r="U421" s="5"/>
      <c r="V421" s="5"/>
      <c r="W421" s="5"/>
      <c r="X421" s="5"/>
      <c r="Y421" s="5"/>
      <c r="Z421" s="5"/>
      <c r="AA421" s="5"/>
      <c r="AB421" s="5"/>
      <c r="AC421" s="5"/>
      <c r="AD421" s="5"/>
      <c r="AE421" s="5"/>
      <c r="AF421" s="5"/>
    </row>
    <row r="422" spans="1:32" ht="12" customHeight="1">
      <c r="A422" s="64" t="s">
        <v>341</v>
      </c>
      <c r="B422" s="8">
        <v>17</v>
      </c>
      <c r="C422" s="8">
        <v>8</v>
      </c>
      <c r="D422" s="2" t="s">
        <v>309</v>
      </c>
      <c r="E422" s="8"/>
      <c r="F422" s="16"/>
      <c r="G422" s="16"/>
      <c r="H422" s="16"/>
      <c r="I422" s="16"/>
      <c r="J422" s="16"/>
      <c r="K422" s="16"/>
      <c r="L422" s="3">
        <f t="shared" ref="L422:L427" si="70">SUM(F422:K422)</f>
        <v>0</v>
      </c>
      <c r="M422" s="13"/>
      <c r="N422" s="17"/>
      <c r="O422" s="5"/>
      <c r="P422" s="5"/>
      <c r="Q422" s="5"/>
      <c r="R422" s="5"/>
      <c r="S422" s="5"/>
      <c r="T422" s="5"/>
      <c r="U422" s="5"/>
      <c r="V422" s="5"/>
      <c r="W422" s="5"/>
      <c r="X422" s="5"/>
      <c r="Y422" s="5"/>
      <c r="Z422" s="5"/>
      <c r="AA422" s="5"/>
      <c r="AB422" s="5"/>
      <c r="AC422" s="5"/>
      <c r="AD422" s="5"/>
      <c r="AE422" s="5"/>
      <c r="AF422" s="5"/>
    </row>
    <row r="423" spans="1:32" ht="12" customHeight="1">
      <c r="A423" s="64" t="s">
        <v>342</v>
      </c>
      <c r="B423" s="8">
        <v>17</v>
      </c>
      <c r="C423" s="8">
        <v>9</v>
      </c>
      <c r="D423" s="2" t="s">
        <v>309</v>
      </c>
      <c r="E423" s="8"/>
      <c r="F423" s="16"/>
      <c r="G423" s="16"/>
      <c r="H423" s="16"/>
      <c r="I423" s="16"/>
      <c r="J423" s="16"/>
      <c r="K423" s="16"/>
      <c r="L423" s="3">
        <f t="shared" si="70"/>
        <v>0</v>
      </c>
      <c r="M423" s="13"/>
      <c r="N423" s="17"/>
      <c r="O423" s="5"/>
      <c r="P423" s="5"/>
      <c r="Q423" s="5"/>
      <c r="R423" s="5"/>
      <c r="S423" s="5"/>
      <c r="T423" s="5"/>
      <c r="U423" s="5"/>
      <c r="V423" s="5"/>
      <c r="W423" s="5"/>
      <c r="X423" s="5"/>
      <c r="Y423" s="5"/>
      <c r="Z423" s="5"/>
      <c r="AA423" s="5"/>
      <c r="AB423" s="5"/>
      <c r="AC423" s="5"/>
      <c r="AD423" s="5"/>
      <c r="AE423" s="5"/>
      <c r="AF423" s="5"/>
    </row>
    <row r="424" spans="1:32" ht="12" customHeight="1">
      <c r="A424" s="64" t="s">
        <v>98</v>
      </c>
      <c r="B424" s="8">
        <v>17</v>
      </c>
      <c r="C424" s="8">
        <v>10</v>
      </c>
      <c r="D424" s="2" t="s">
        <v>309</v>
      </c>
      <c r="E424" s="8"/>
      <c r="F424" s="16"/>
      <c r="G424" s="16"/>
      <c r="H424" s="16"/>
      <c r="I424" s="16"/>
      <c r="J424" s="16"/>
      <c r="K424" s="16"/>
      <c r="L424" s="3">
        <f t="shared" si="70"/>
        <v>0</v>
      </c>
      <c r="M424" s="13"/>
      <c r="N424" s="17"/>
      <c r="O424" s="5"/>
      <c r="P424" s="5"/>
      <c r="Q424" s="5"/>
      <c r="R424" s="5"/>
      <c r="S424" s="5"/>
      <c r="T424" s="5"/>
      <c r="U424" s="5"/>
      <c r="V424" s="5"/>
      <c r="W424" s="5"/>
      <c r="X424" s="5"/>
      <c r="Y424" s="5"/>
      <c r="Z424" s="5"/>
      <c r="AA424" s="5"/>
      <c r="AB424" s="5"/>
      <c r="AC424" s="5"/>
      <c r="AD424" s="5"/>
      <c r="AE424" s="5"/>
      <c r="AF424" s="5"/>
    </row>
    <row r="425" spans="1:32" ht="12" customHeight="1">
      <c r="A425" s="64" t="s">
        <v>343</v>
      </c>
      <c r="B425" s="8">
        <v>17</v>
      </c>
      <c r="C425" s="8">
        <v>11</v>
      </c>
      <c r="D425" s="2" t="s">
        <v>309</v>
      </c>
      <c r="E425" s="8"/>
      <c r="F425" s="16"/>
      <c r="G425" s="16"/>
      <c r="H425" s="16"/>
      <c r="I425" s="16"/>
      <c r="J425" s="16"/>
      <c r="K425" s="16"/>
      <c r="L425" s="3">
        <f t="shared" si="70"/>
        <v>0</v>
      </c>
      <c r="M425" s="13"/>
      <c r="N425" s="17"/>
      <c r="O425" s="5"/>
      <c r="P425" s="5"/>
      <c r="Q425" s="5"/>
      <c r="R425" s="5"/>
      <c r="S425" s="5"/>
      <c r="T425" s="5"/>
      <c r="U425" s="5"/>
      <c r="V425" s="5"/>
      <c r="W425" s="5"/>
      <c r="X425" s="5"/>
      <c r="Y425" s="5"/>
      <c r="Z425" s="5"/>
      <c r="AA425" s="5"/>
      <c r="AB425" s="5"/>
      <c r="AC425" s="5"/>
      <c r="AD425" s="5"/>
      <c r="AE425" s="5"/>
      <c r="AF425" s="5"/>
    </row>
    <row r="426" spans="1:32" ht="12" customHeight="1">
      <c r="A426" s="64" t="s">
        <v>344</v>
      </c>
      <c r="B426" s="8">
        <v>17</v>
      </c>
      <c r="C426" s="8">
        <v>12</v>
      </c>
      <c r="D426" s="2" t="s">
        <v>309</v>
      </c>
      <c r="E426" s="8"/>
      <c r="F426" s="16"/>
      <c r="G426" s="16"/>
      <c r="H426" s="16"/>
      <c r="I426" s="16"/>
      <c r="J426" s="16"/>
      <c r="K426" s="16"/>
      <c r="L426" s="3">
        <f t="shared" si="70"/>
        <v>0</v>
      </c>
      <c r="M426" s="13"/>
      <c r="N426" s="17"/>
      <c r="O426" s="5"/>
      <c r="P426" s="5"/>
      <c r="Q426" s="5"/>
      <c r="R426" s="5"/>
      <c r="S426" s="5"/>
      <c r="T426" s="5"/>
      <c r="U426" s="5"/>
      <c r="V426" s="5"/>
      <c r="W426" s="5"/>
      <c r="X426" s="5"/>
      <c r="Y426" s="5"/>
      <c r="Z426" s="5"/>
      <c r="AA426" s="5"/>
      <c r="AB426" s="5"/>
      <c r="AC426" s="5"/>
      <c r="AD426" s="5"/>
      <c r="AE426" s="5"/>
      <c r="AF426" s="5"/>
    </row>
    <row r="427" spans="1:32" ht="12" customHeight="1">
      <c r="A427" s="64" t="s">
        <v>89</v>
      </c>
      <c r="B427" s="8">
        <v>17</v>
      </c>
      <c r="C427" s="8">
        <v>13</v>
      </c>
      <c r="D427" s="2" t="s">
        <v>309</v>
      </c>
      <c r="E427" s="8"/>
      <c r="F427" s="16"/>
      <c r="G427" s="16"/>
      <c r="H427" s="16"/>
      <c r="I427" s="16"/>
      <c r="J427" s="16"/>
      <c r="K427" s="16"/>
      <c r="L427" s="3">
        <f t="shared" si="70"/>
        <v>0</v>
      </c>
      <c r="M427" s="13"/>
      <c r="N427" s="17"/>
      <c r="O427" s="5"/>
      <c r="P427" s="5"/>
      <c r="Q427" s="5"/>
      <c r="R427" s="5"/>
      <c r="S427" s="5"/>
      <c r="T427" s="5"/>
      <c r="U427" s="5"/>
      <c r="V427" s="5"/>
      <c r="W427" s="5"/>
      <c r="X427" s="5"/>
      <c r="Y427" s="5"/>
      <c r="Z427" s="5"/>
      <c r="AA427" s="5"/>
      <c r="AB427" s="5"/>
      <c r="AC427" s="5"/>
      <c r="AD427" s="5"/>
      <c r="AE427" s="5"/>
      <c r="AF427" s="5"/>
    </row>
    <row r="428" spans="1:32" ht="12" customHeight="1">
      <c r="A428" s="65" t="s">
        <v>345</v>
      </c>
      <c r="B428" s="8">
        <v>17</v>
      </c>
      <c r="C428" s="8">
        <v>14</v>
      </c>
      <c r="D428" s="2" t="s">
        <v>309</v>
      </c>
      <c r="E428" s="21">
        <v>5252</v>
      </c>
      <c r="F428" s="22">
        <f t="shared" ref="F428:L428" si="71">SUM(F422:F427)</f>
        <v>0</v>
      </c>
      <c r="G428" s="22">
        <f t="shared" si="71"/>
        <v>0</v>
      </c>
      <c r="H428" s="22">
        <f t="shared" si="71"/>
        <v>0</v>
      </c>
      <c r="I428" s="22">
        <f t="shared" si="71"/>
        <v>0</v>
      </c>
      <c r="J428" s="22">
        <f t="shared" si="71"/>
        <v>0</v>
      </c>
      <c r="K428" s="22">
        <f t="shared" si="71"/>
        <v>0</v>
      </c>
      <c r="L428" s="22">
        <f t="shared" si="71"/>
        <v>0</v>
      </c>
      <c r="M428" s="13"/>
      <c r="N428" s="17"/>
      <c r="O428" s="5"/>
      <c r="P428" s="5"/>
      <c r="Q428" s="5"/>
      <c r="R428" s="5"/>
      <c r="S428" s="5"/>
      <c r="T428" s="5"/>
      <c r="U428" s="5"/>
      <c r="V428" s="67"/>
      <c r="W428" s="67"/>
      <c r="X428" s="67"/>
      <c r="Y428" s="67"/>
      <c r="Z428" s="67"/>
      <c r="AA428" s="67"/>
      <c r="AB428" s="67"/>
      <c r="AC428" s="67"/>
      <c r="AD428" s="67"/>
      <c r="AE428" s="67"/>
      <c r="AF428" s="67"/>
    </row>
    <row r="429" spans="1:32" ht="12" customHeight="1">
      <c r="A429" s="65" t="s">
        <v>346</v>
      </c>
      <c r="B429" s="2"/>
      <c r="C429" s="2"/>
      <c r="D429" s="2"/>
      <c r="E429" s="5"/>
      <c r="F429" s="15" t="s">
        <v>31</v>
      </c>
      <c r="G429" s="15" t="s">
        <v>31</v>
      </c>
      <c r="H429" s="15" t="s">
        <v>31</v>
      </c>
      <c r="I429" s="15" t="s">
        <v>31</v>
      </c>
      <c r="J429" s="15" t="s">
        <v>31</v>
      </c>
      <c r="K429" s="15" t="s">
        <v>31</v>
      </c>
      <c r="L429" s="15" t="s">
        <v>31</v>
      </c>
      <c r="M429" s="13"/>
      <c r="N429" s="17"/>
      <c r="O429" s="5"/>
      <c r="P429" s="5"/>
      <c r="Q429" s="5"/>
      <c r="R429" s="5"/>
      <c r="S429" s="5"/>
      <c r="T429" s="5"/>
      <c r="U429" s="5"/>
      <c r="V429" s="5"/>
      <c r="W429" s="5"/>
      <c r="X429" s="5"/>
      <c r="Y429" s="5"/>
      <c r="Z429" s="5"/>
      <c r="AA429" s="5"/>
      <c r="AB429" s="5"/>
      <c r="AC429" s="5"/>
      <c r="AD429" s="5"/>
      <c r="AE429" s="5"/>
      <c r="AF429" s="5"/>
    </row>
    <row r="430" spans="1:32" ht="12" customHeight="1">
      <c r="A430" s="64"/>
      <c r="B430" s="8">
        <v>17</v>
      </c>
      <c r="C430" s="8">
        <v>15</v>
      </c>
      <c r="D430" s="2" t="s">
        <v>309</v>
      </c>
      <c r="E430" s="8"/>
      <c r="F430" s="16"/>
      <c r="G430" s="16"/>
      <c r="H430" s="16"/>
      <c r="I430" s="16"/>
      <c r="J430" s="16"/>
      <c r="K430" s="16"/>
      <c r="L430" s="3">
        <f t="shared" ref="L430:L433" si="72">SUM(F430:K430)</f>
        <v>0</v>
      </c>
      <c r="M430" s="13"/>
      <c r="N430" s="17"/>
      <c r="O430" s="5"/>
      <c r="P430" s="5"/>
      <c r="Q430" s="5"/>
      <c r="R430" s="5"/>
      <c r="S430" s="5"/>
      <c r="T430" s="5"/>
      <c r="U430" s="5"/>
      <c r="V430" s="5"/>
      <c r="W430" s="5"/>
      <c r="X430" s="5"/>
      <c r="Y430" s="5"/>
      <c r="Z430" s="5"/>
      <c r="AA430" s="5"/>
      <c r="AB430" s="5"/>
      <c r="AC430" s="5"/>
      <c r="AD430" s="5"/>
      <c r="AE430" s="5"/>
      <c r="AF430" s="5"/>
    </row>
    <row r="431" spans="1:32" ht="12" customHeight="1">
      <c r="A431" s="64"/>
      <c r="B431" s="8">
        <v>17</v>
      </c>
      <c r="C431" s="8">
        <v>16</v>
      </c>
      <c r="D431" s="2" t="s">
        <v>309</v>
      </c>
      <c r="E431" s="8"/>
      <c r="F431" s="16"/>
      <c r="G431" s="16"/>
      <c r="H431" s="16"/>
      <c r="I431" s="16"/>
      <c r="J431" s="16"/>
      <c r="K431" s="16"/>
      <c r="L431" s="3">
        <f t="shared" si="72"/>
        <v>0</v>
      </c>
      <c r="N431" s="27"/>
    </row>
    <row r="432" spans="1:32" ht="12" customHeight="1">
      <c r="A432" s="64"/>
      <c r="B432" s="8">
        <v>17</v>
      </c>
      <c r="C432" s="8">
        <v>17</v>
      </c>
      <c r="D432" s="2" t="s">
        <v>309</v>
      </c>
      <c r="E432" s="8"/>
      <c r="F432" s="16"/>
      <c r="G432" s="16"/>
      <c r="H432" s="16"/>
      <c r="I432" s="16"/>
      <c r="J432" s="16"/>
      <c r="K432" s="16"/>
      <c r="L432" s="3">
        <f t="shared" si="72"/>
        <v>0</v>
      </c>
      <c r="M432" s="13"/>
      <c r="N432" s="17"/>
      <c r="O432" s="5"/>
      <c r="P432" s="5"/>
      <c r="Q432" s="5"/>
      <c r="R432" s="5"/>
      <c r="S432" s="5"/>
      <c r="T432" s="5"/>
      <c r="U432" s="5"/>
      <c r="V432" s="5"/>
      <c r="W432" s="5"/>
      <c r="X432" s="5"/>
      <c r="Y432" s="5"/>
      <c r="Z432" s="5"/>
      <c r="AA432" s="5"/>
      <c r="AB432" s="5"/>
      <c r="AC432" s="5"/>
      <c r="AD432" s="5"/>
      <c r="AE432" s="5"/>
      <c r="AF432" s="5"/>
    </row>
    <row r="433" spans="1:32" ht="12" customHeight="1">
      <c r="A433" s="64"/>
      <c r="B433" s="8">
        <v>17</v>
      </c>
      <c r="C433" s="8">
        <v>18</v>
      </c>
      <c r="D433" s="2" t="s">
        <v>309</v>
      </c>
      <c r="E433" s="8"/>
      <c r="F433" s="16"/>
      <c r="G433" s="16"/>
      <c r="H433" s="16"/>
      <c r="I433" s="16"/>
      <c r="J433" s="16"/>
      <c r="K433" s="16"/>
      <c r="L433" s="3">
        <f t="shared" si="72"/>
        <v>0</v>
      </c>
      <c r="M433" s="13"/>
      <c r="N433" s="17"/>
      <c r="O433" s="5"/>
      <c r="P433" s="5"/>
      <c r="Q433" s="5"/>
      <c r="R433" s="5"/>
      <c r="S433" s="5"/>
      <c r="T433" s="5"/>
      <c r="U433" s="5"/>
      <c r="V433" s="5"/>
      <c r="W433" s="5"/>
      <c r="X433" s="5"/>
      <c r="Y433" s="5"/>
      <c r="Z433" s="5"/>
      <c r="AA433" s="5"/>
      <c r="AB433" s="5"/>
      <c r="AC433" s="5"/>
      <c r="AD433" s="5"/>
      <c r="AE433" s="5"/>
      <c r="AF433" s="5"/>
    </row>
    <row r="434" spans="1:32" ht="12" customHeight="1">
      <c r="A434" s="65" t="s">
        <v>347</v>
      </c>
      <c r="B434" s="8">
        <v>17</v>
      </c>
      <c r="C434" s="8">
        <v>19</v>
      </c>
      <c r="D434" s="2" t="s">
        <v>309</v>
      </c>
      <c r="E434" s="21">
        <v>5253</v>
      </c>
      <c r="F434" s="22">
        <f t="shared" ref="F434:L434" si="73">SUM(F430:F433)</f>
        <v>0</v>
      </c>
      <c r="G434" s="22">
        <f t="shared" si="73"/>
        <v>0</v>
      </c>
      <c r="H434" s="22">
        <f t="shared" si="73"/>
        <v>0</v>
      </c>
      <c r="I434" s="22">
        <f t="shared" si="73"/>
        <v>0</v>
      </c>
      <c r="J434" s="22">
        <f t="shared" si="73"/>
        <v>0</v>
      </c>
      <c r="K434" s="22">
        <f t="shared" si="73"/>
        <v>0</v>
      </c>
      <c r="L434" s="22">
        <f t="shared" si="73"/>
        <v>0</v>
      </c>
      <c r="M434" s="13"/>
      <c r="N434" s="17"/>
      <c r="O434" s="5"/>
      <c r="P434" s="5"/>
      <c r="Q434" s="5"/>
      <c r="R434" s="5"/>
      <c r="S434" s="5"/>
      <c r="T434" s="5"/>
      <c r="U434" s="5"/>
      <c r="V434" s="5"/>
      <c r="W434" s="5"/>
      <c r="X434" s="5"/>
      <c r="Y434" s="5"/>
      <c r="Z434" s="5"/>
      <c r="AA434" s="5"/>
      <c r="AB434" s="5"/>
      <c r="AC434" s="5"/>
      <c r="AD434" s="5"/>
      <c r="AE434" s="5"/>
      <c r="AF434" s="5"/>
    </row>
    <row r="435" spans="1:32" ht="12" customHeight="1">
      <c r="A435" s="65" t="s">
        <v>357</v>
      </c>
      <c r="B435" s="8">
        <v>17</v>
      </c>
      <c r="C435" s="8">
        <v>20</v>
      </c>
      <c r="D435" s="2" t="s">
        <v>309</v>
      </c>
      <c r="E435" s="21"/>
      <c r="F435" s="22">
        <f t="shared" ref="F435:L435" si="74">F420+F428+F434</f>
        <v>0</v>
      </c>
      <c r="G435" s="22">
        <f t="shared" si="74"/>
        <v>0</v>
      </c>
      <c r="H435" s="22">
        <f t="shared" si="74"/>
        <v>0</v>
      </c>
      <c r="I435" s="22">
        <f t="shared" si="74"/>
        <v>0</v>
      </c>
      <c r="J435" s="22">
        <f t="shared" si="74"/>
        <v>0</v>
      </c>
      <c r="K435" s="22">
        <f t="shared" si="74"/>
        <v>0</v>
      </c>
      <c r="L435" s="22">
        <f t="shared" si="74"/>
        <v>0</v>
      </c>
      <c r="M435" s="13"/>
      <c r="N435" s="17"/>
      <c r="O435" s="5"/>
      <c r="P435" s="5"/>
      <c r="Q435" s="5"/>
      <c r="R435" s="5"/>
      <c r="S435" s="5"/>
      <c r="T435" s="5"/>
      <c r="U435" s="5"/>
      <c r="V435" s="5"/>
      <c r="W435" s="5"/>
      <c r="X435" s="5"/>
      <c r="Y435" s="5"/>
      <c r="Z435" s="5"/>
      <c r="AA435" s="5"/>
      <c r="AB435" s="5"/>
      <c r="AC435" s="5"/>
      <c r="AD435" s="5"/>
      <c r="AE435" s="5"/>
      <c r="AF435" s="5"/>
    </row>
    <row r="436" spans="1:32" ht="12" customHeight="1">
      <c r="A436" s="65"/>
      <c r="B436" s="8"/>
      <c r="C436" s="8"/>
      <c r="D436" s="8"/>
      <c r="E436" s="8"/>
      <c r="F436" s="3"/>
      <c r="G436" s="3"/>
      <c r="H436" s="3"/>
      <c r="I436" s="3"/>
      <c r="J436" s="3"/>
      <c r="K436" s="3"/>
      <c r="L436" s="3"/>
      <c r="M436" s="13"/>
      <c r="N436" s="17"/>
      <c r="O436" s="5"/>
      <c r="P436" s="5"/>
      <c r="Q436" s="5"/>
      <c r="R436" s="5"/>
      <c r="S436" s="5"/>
      <c r="T436" s="5"/>
      <c r="U436" s="5"/>
      <c r="V436" s="5"/>
      <c r="W436" s="5"/>
      <c r="X436" s="5"/>
      <c r="Y436" s="5"/>
      <c r="Z436" s="5"/>
      <c r="AA436" s="5"/>
      <c r="AB436" s="5"/>
      <c r="AC436" s="5"/>
      <c r="AD436" s="5"/>
      <c r="AE436" s="5"/>
      <c r="AF436" s="5"/>
    </row>
    <row r="437" spans="1:32" ht="12" customHeight="1">
      <c r="A437" s="44" t="s">
        <v>358</v>
      </c>
      <c r="B437" s="5"/>
      <c r="C437" s="5"/>
      <c r="D437" s="5"/>
      <c r="E437" s="5"/>
      <c r="F437" s="5"/>
      <c r="G437" s="5"/>
      <c r="H437" s="5"/>
      <c r="I437" s="5"/>
      <c r="J437" s="5"/>
      <c r="K437" s="3"/>
      <c r="L437" s="3"/>
      <c r="M437" s="13"/>
      <c r="N437" s="17"/>
      <c r="O437" s="5"/>
      <c r="P437" s="5"/>
      <c r="Q437" s="5"/>
      <c r="R437" s="5"/>
      <c r="S437" s="5"/>
      <c r="T437" s="5"/>
      <c r="U437" s="5"/>
      <c r="V437" s="5"/>
      <c r="W437" s="5"/>
      <c r="X437" s="5"/>
      <c r="Y437" s="5"/>
      <c r="Z437" s="5"/>
      <c r="AA437" s="5"/>
      <c r="AB437" s="5"/>
      <c r="AC437" s="5"/>
      <c r="AD437" s="5"/>
      <c r="AE437" s="5"/>
      <c r="AF437" s="5"/>
    </row>
    <row r="438" spans="1:32" ht="12" customHeight="1">
      <c r="A438" s="44" t="s">
        <v>359</v>
      </c>
      <c r="B438" s="5"/>
      <c r="C438" s="5"/>
      <c r="D438" s="5"/>
      <c r="E438" s="5"/>
      <c r="F438" s="10" t="s">
        <v>360</v>
      </c>
      <c r="G438" s="10" t="s">
        <v>361</v>
      </c>
      <c r="H438" s="10" t="s">
        <v>362</v>
      </c>
      <c r="I438" s="10" t="s">
        <v>219</v>
      </c>
      <c r="J438" s="5"/>
      <c r="K438" s="5"/>
      <c r="L438" s="5"/>
      <c r="M438" s="13"/>
      <c r="N438" s="17"/>
      <c r="O438" s="5"/>
      <c r="P438" s="5"/>
      <c r="Q438" s="5"/>
      <c r="R438" s="5"/>
      <c r="S438" s="5"/>
      <c r="T438" s="5"/>
      <c r="U438" s="5"/>
      <c r="V438" s="5"/>
      <c r="W438" s="5"/>
      <c r="X438" s="5"/>
      <c r="Y438" s="5"/>
      <c r="Z438" s="5"/>
      <c r="AA438" s="5"/>
      <c r="AB438" s="5"/>
      <c r="AC438" s="5"/>
      <c r="AD438" s="5"/>
      <c r="AE438" s="5"/>
      <c r="AF438" s="5"/>
    </row>
    <row r="439" spans="1:32" ht="12" customHeight="1">
      <c r="A439" s="44" t="s">
        <v>363</v>
      </c>
      <c r="B439" s="10"/>
      <c r="C439" s="10"/>
      <c r="D439" s="10"/>
      <c r="E439" s="10"/>
      <c r="F439" s="15" t="s">
        <v>31</v>
      </c>
      <c r="G439" s="15" t="s">
        <v>31</v>
      </c>
      <c r="H439" s="15" t="s">
        <v>31</v>
      </c>
      <c r="I439" s="15" t="s">
        <v>31</v>
      </c>
      <c r="J439" s="15" t="s">
        <v>31</v>
      </c>
      <c r="K439" s="15" t="s">
        <v>31</v>
      </c>
      <c r="L439" s="15" t="s">
        <v>31</v>
      </c>
      <c r="M439" s="13"/>
      <c r="N439" s="17"/>
      <c r="O439" s="5"/>
      <c r="P439" s="5"/>
      <c r="Q439" s="5"/>
      <c r="R439" s="5"/>
      <c r="S439" s="5"/>
      <c r="T439" s="5"/>
      <c r="U439" s="5"/>
      <c r="V439" s="5"/>
      <c r="W439" s="5"/>
      <c r="X439" s="5"/>
      <c r="Y439" s="5"/>
      <c r="Z439" s="5"/>
      <c r="AA439" s="5"/>
      <c r="AB439" s="5"/>
      <c r="AC439" s="5"/>
      <c r="AD439" s="5"/>
      <c r="AE439" s="5"/>
      <c r="AF439" s="5"/>
    </row>
    <row r="440" spans="1:32" ht="12" customHeight="1">
      <c r="A440" s="5" t="s">
        <v>32</v>
      </c>
      <c r="B440" s="10">
        <v>18</v>
      </c>
      <c r="C440" s="8">
        <v>1</v>
      </c>
      <c r="D440" s="2" t="s">
        <v>309</v>
      </c>
      <c r="E440" s="8">
        <v>100</v>
      </c>
      <c r="F440" s="16"/>
      <c r="G440" s="16">
        <f>200264.24+268.27</f>
        <v>200532.50999999998</v>
      </c>
      <c r="H440" s="16"/>
      <c r="I440" s="3">
        <f t="shared" ref="I440:I446" si="75">SUM(F440:H440)</f>
        <v>200532.50999999998</v>
      </c>
      <c r="J440" s="15" t="s">
        <v>31</v>
      </c>
      <c r="K440" s="15" t="s">
        <v>31</v>
      </c>
      <c r="L440" s="15" t="s">
        <v>31</v>
      </c>
      <c r="M440" s="13"/>
      <c r="N440" s="17"/>
      <c r="O440" s="5"/>
      <c r="P440" s="5"/>
      <c r="Q440" s="5"/>
      <c r="R440" s="5"/>
      <c r="S440" s="5"/>
      <c r="T440" s="5"/>
      <c r="U440" s="5"/>
      <c r="V440" s="5"/>
      <c r="W440" s="5"/>
      <c r="X440" s="5"/>
      <c r="Y440" s="5"/>
      <c r="Z440" s="5"/>
      <c r="AA440" s="5"/>
      <c r="AB440" s="5"/>
      <c r="AC440" s="5"/>
      <c r="AD440" s="5"/>
      <c r="AE440" s="5"/>
      <c r="AF440" s="5"/>
    </row>
    <row r="441" spans="1:32" ht="12" customHeight="1">
      <c r="A441" s="1" t="s">
        <v>35</v>
      </c>
      <c r="B441" s="10">
        <v>18</v>
      </c>
      <c r="C441" s="8">
        <v>2</v>
      </c>
      <c r="D441" s="2" t="s">
        <v>309</v>
      </c>
      <c r="E441" s="8">
        <v>110</v>
      </c>
      <c r="F441" s="16"/>
      <c r="G441" s="16"/>
      <c r="H441" s="16"/>
      <c r="I441" s="3">
        <f t="shared" si="75"/>
        <v>0</v>
      </c>
      <c r="J441" s="15" t="s">
        <v>31</v>
      </c>
      <c r="K441" s="15" t="s">
        <v>31</v>
      </c>
      <c r="L441" s="15" t="s">
        <v>31</v>
      </c>
      <c r="M441" s="13"/>
      <c r="N441" s="17"/>
      <c r="O441" s="5"/>
      <c r="P441" s="5"/>
      <c r="Q441" s="5"/>
      <c r="R441" s="5"/>
      <c r="S441" s="5"/>
      <c r="T441" s="5"/>
      <c r="U441" s="5"/>
      <c r="V441" s="5"/>
      <c r="W441" s="5"/>
      <c r="X441" s="5"/>
      <c r="Y441" s="5"/>
      <c r="Z441" s="5"/>
      <c r="AA441" s="5"/>
      <c r="AB441" s="5"/>
      <c r="AC441" s="5"/>
      <c r="AD441" s="5"/>
      <c r="AE441" s="5"/>
      <c r="AF441" s="5"/>
    </row>
    <row r="442" spans="1:32" ht="12" customHeight="1">
      <c r="A442" s="1" t="s">
        <v>364</v>
      </c>
      <c r="B442" s="10">
        <v>18</v>
      </c>
      <c r="C442" s="8">
        <v>3</v>
      </c>
      <c r="D442" s="2" t="s">
        <v>309</v>
      </c>
      <c r="E442" s="8">
        <v>130</v>
      </c>
      <c r="F442" s="16"/>
      <c r="G442" s="16">
        <v>50000</v>
      </c>
      <c r="H442" s="16"/>
      <c r="I442" s="3">
        <f t="shared" si="75"/>
        <v>50000</v>
      </c>
      <c r="J442" s="15" t="s">
        <v>31</v>
      </c>
      <c r="K442" s="15" t="s">
        <v>31</v>
      </c>
      <c r="L442" s="15" t="s">
        <v>31</v>
      </c>
      <c r="M442" s="13"/>
      <c r="N442" s="17"/>
      <c r="O442" s="5"/>
      <c r="P442" s="5"/>
      <c r="Q442" s="5"/>
      <c r="R442" s="5"/>
      <c r="S442" s="5"/>
      <c r="T442" s="5"/>
      <c r="U442" s="5"/>
      <c r="V442" s="5"/>
      <c r="W442" s="5"/>
      <c r="X442" s="5"/>
      <c r="Y442" s="5"/>
      <c r="Z442" s="5"/>
      <c r="AA442" s="5"/>
      <c r="AB442" s="5"/>
      <c r="AC442" s="5"/>
      <c r="AD442" s="5"/>
      <c r="AE442" s="5"/>
      <c r="AF442" s="5"/>
    </row>
    <row r="443" spans="1:32" ht="12" customHeight="1">
      <c r="A443" s="1" t="s">
        <v>38</v>
      </c>
      <c r="B443" s="10">
        <v>18</v>
      </c>
      <c r="C443" s="8">
        <v>4</v>
      </c>
      <c r="D443" s="2" t="s">
        <v>309</v>
      </c>
      <c r="E443" s="8">
        <v>140</v>
      </c>
      <c r="F443" s="16"/>
      <c r="G443" s="16"/>
      <c r="H443" s="16"/>
      <c r="I443" s="3">
        <f t="shared" si="75"/>
        <v>0</v>
      </c>
      <c r="J443" s="15" t="s">
        <v>31</v>
      </c>
      <c r="K443" s="15" t="s">
        <v>31</v>
      </c>
      <c r="L443" s="15" t="s">
        <v>31</v>
      </c>
      <c r="M443" s="13"/>
      <c r="N443" s="17"/>
      <c r="O443" s="5"/>
      <c r="P443" s="5"/>
      <c r="Q443" s="5"/>
      <c r="R443" s="5"/>
      <c r="S443" s="5"/>
      <c r="T443" s="5"/>
      <c r="U443" s="5"/>
      <c r="V443" s="5"/>
      <c r="W443" s="5"/>
      <c r="X443" s="5"/>
      <c r="Y443" s="5"/>
      <c r="Z443" s="5"/>
      <c r="AA443" s="5"/>
      <c r="AB443" s="5"/>
      <c r="AC443" s="5"/>
      <c r="AD443" s="5"/>
      <c r="AE443" s="5"/>
      <c r="AF443" s="5"/>
    </row>
    <row r="444" spans="1:32" ht="12" customHeight="1">
      <c r="A444" s="1" t="s">
        <v>39</v>
      </c>
      <c r="B444" s="10">
        <v>18</v>
      </c>
      <c r="C444" s="8">
        <v>5</v>
      </c>
      <c r="D444" s="2" t="s">
        <v>309</v>
      </c>
      <c r="E444" s="8">
        <v>150</v>
      </c>
      <c r="F444" s="16"/>
      <c r="G444" s="16"/>
      <c r="H444" s="16"/>
      <c r="I444" s="3">
        <f t="shared" si="75"/>
        <v>0</v>
      </c>
      <c r="J444" s="15" t="s">
        <v>31</v>
      </c>
      <c r="K444" s="15" t="s">
        <v>31</v>
      </c>
      <c r="L444" s="15" t="s">
        <v>31</v>
      </c>
      <c r="M444" s="13"/>
      <c r="N444" s="17"/>
      <c r="O444" s="5"/>
      <c r="P444" s="5"/>
      <c r="Q444" s="5"/>
      <c r="R444" s="5"/>
      <c r="S444" s="5"/>
      <c r="T444" s="5"/>
      <c r="U444" s="5"/>
      <c r="V444" s="5"/>
      <c r="W444" s="5"/>
      <c r="X444" s="5"/>
      <c r="Y444" s="5"/>
      <c r="Z444" s="5"/>
      <c r="AA444" s="5"/>
      <c r="AB444" s="5"/>
      <c r="AC444" s="5"/>
      <c r="AD444" s="5"/>
      <c r="AE444" s="5"/>
      <c r="AF444" s="5"/>
    </row>
    <row r="445" spans="1:32" ht="12" customHeight="1">
      <c r="A445" s="1" t="s">
        <v>365</v>
      </c>
      <c r="B445" s="10">
        <v>18</v>
      </c>
      <c r="C445" s="8">
        <v>6</v>
      </c>
      <c r="D445" s="2" t="s">
        <v>309</v>
      </c>
      <c r="E445" s="8">
        <v>180</v>
      </c>
      <c r="F445" s="16"/>
      <c r="G445" s="16"/>
      <c r="H445" s="16"/>
      <c r="I445" s="3">
        <f t="shared" si="75"/>
        <v>0</v>
      </c>
      <c r="J445" s="15" t="s">
        <v>31</v>
      </c>
      <c r="K445" s="15" t="s">
        <v>31</v>
      </c>
      <c r="L445" s="15" t="s">
        <v>31</v>
      </c>
      <c r="M445" s="13"/>
      <c r="N445" s="17"/>
      <c r="O445" s="5"/>
      <c r="P445" s="5"/>
      <c r="Q445" s="5"/>
      <c r="R445" s="5"/>
      <c r="S445" s="5"/>
      <c r="T445" s="5"/>
      <c r="U445" s="5"/>
      <c r="V445" s="5"/>
      <c r="W445" s="5"/>
      <c r="X445" s="5"/>
      <c r="Y445" s="5"/>
      <c r="Z445" s="5"/>
      <c r="AA445" s="5"/>
      <c r="AB445" s="5"/>
      <c r="AC445" s="5"/>
      <c r="AD445" s="5"/>
      <c r="AE445" s="5"/>
      <c r="AF445" s="5"/>
    </row>
    <row r="446" spans="1:32" ht="12" customHeight="1">
      <c r="A446" s="1" t="s">
        <v>366</v>
      </c>
      <c r="B446" s="10">
        <v>18</v>
      </c>
      <c r="C446" s="8">
        <v>7</v>
      </c>
      <c r="D446" s="2" t="s">
        <v>309</v>
      </c>
      <c r="E446" s="8">
        <v>190</v>
      </c>
      <c r="F446" s="16"/>
      <c r="G446" s="16"/>
      <c r="H446" s="16"/>
      <c r="I446" s="3">
        <f t="shared" si="75"/>
        <v>0</v>
      </c>
      <c r="J446" s="15" t="s">
        <v>31</v>
      </c>
      <c r="K446" s="15" t="s">
        <v>31</v>
      </c>
      <c r="L446" s="15" t="s">
        <v>31</v>
      </c>
      <c r="M446" s="13"/>
      <c r="N446" s="17"/>
      <c r="O446" s="5"/>
      <c r="P446" s="5"/>
      <c r="Q446" s="5"/>
      <c r="R446" s="5"/>
      <c r="S446" s="5"/>
      <c r="T446" s="5"/>
      <c r="U446" s="5"/>
      <c r="V446" s="5"/>
      <c r="W446" s="5"/>
      <c r="X446" s="5"/>
      <c r="Y446" s="5"/>
      <c r="Z446" s="5"/>
      <c r="AA446" s="5"/>
      <c r="AB446" s="5"/>
      <c r="AC446" s="5"/>
      <c r="AD446" s="5"/>
      <c r="AE446" s="5"/>
      <c r="AF446" s="5"/>
    </row>
    <row r="447" spans="1:32" ht="12" customHeight="1">
      <c r="A447" s="14" t="s">
        <v>44</v>
      </c>
      <c r="B447" s="10">
        <v>18</v>
      </c>
      <c r="C447" s="8">
        <v>8</v>
      </c>
      <c r="D447" s="2" t="s">
        <v>309</v>
      </c>
      <c r="E447" s="8"/>
      <c r="F447" s="3">
        <f t="shared" ref="F447:I447" si="76">SUM(F440:F446)</f>
        <v>0</v>
      </c>
      <c r="G447" s="3">
        <f t="shared" si="76"/>
        <v>250532.50999999998</v>
      </c>
      <c r="H447" s="3">
        <f t="shared" si="76"/>
        <v>0</v>
      </c>
      <c r="I447" s="3">
        <f t="shared" si="76"/>
        <v>250532.50999999998</v>
      </c>
      <c r="J447" s="15" t="s">
        <v>31</v>
      </c>
      <c r="K447" s="15" t="s">
        <v>31</v>
      </c>
      <c r="L447" s="15" t="s">
        <v>31</v>
      </c>
      <c r="M447" s="13"/>
      <c r="N447" s="17"/>
      <c r="O447" s="5"/>
      <c r="P447" s="5"/>
      <c r="Q447" s="5"/>
      <c r="R447" s="5"/>
      <c r="S447" s="5"/>
      <c r="T447" s="5"/>
      <c r="U447" s="5"/>
      <c r="V447" s="5"/>
      <c r="W447" s="5"/>
      <c r="X447" s="5"/>
      <c r="Y447" s="5"/>
      <c r="Z447" s="5"/>
      <c r="AA447" s="5"/>
      <c r="AB447" s="5"/>
      <c r="AC447" s="5"/>
      <c r="AD447" s="5"/>
      <c r="AE447" s="5"/>
      <c r="AF447" s="5"/>
    </row>
    <row r="448" spans="1:32" ht="12" customHeight="1">
      <c r="A448" s="19" t="s">
        <v>367</v>
      </c>
      <c r="B448" s="40"/>
      <c r="C448" s="21"/>
      <c r="D448" s="21"/>
      <c r="E448" s="21"/>
      <c r="F448" s="23" t="s">
        <v>31</v>
      </c>
      <c r="G448" s="23" t="s">
        <v>31</v>
      </c>
      <c r="H448" s="23" t="s">
        <v>31</v>
      </c>
      <c r="I448" s="23" t="s">
        <v>31</v>
      </c>
      <c r="J448" s="15" t="s">
        <v>31</v>
      </c>
      <c r="K448" s="15" t="s">
        <v>31</v>
      </c>
      <c r="L448" s="15" t="s">
        <v>31</v>
      </c>
      <c r="M448" s="13"/>
      <c r="N448" s="17"/>
      <c r="O448" s="5"/>
      <c r="P448" s="5"/>
      <c r="Q448" s="5"/>
      <c r="R448" s="5"/>
      <c r="S448" s="5"/>
      <c r="T448" s="5"/>
      <c r="U448" s="5"/>
      <c r="V448" s="5"/>
      <c r="W448" s="5"/>
      <c r="X448" s="5"/>
      <c r="Y448" s="5"/>
      <c r="Z448" s="5"/>
      <c r="AA448" s="5"/>
      <c r="AB448" s="5"/>
      <c r="AC448" s="5"/>
      <c r="AD448" s="5"/>
      <c r="AE448" s="5"/>
      <c r="AF448" s="5"/>
    </row>
    <row r="449" spans="1:32" ht="12" customHeight="1">
      <c r="A449" s="1" t="s">
        <v>47</v>
      </c>
      <c r="B449" s="10">
        <v>18</v>
      </c>
      <c r="C449" s="8">
        <v>9</v>
      </c>
      <c r="D449" s="2" t="s">
        <v>309</v>
      </c>
      <c r="E449" s="8">
        <v>400</v>
      </c>
      <c r="F449" s="16"/>
      <c r="G449" s="16"/>
      <c r="H449" s="16"/>
      <c r="I449" s="3">
        <f t="shared" ref="I449:I452" si="77">SUM(F449:H449)</f>
        <v>0</v>
      </c>
      <c r="J449" s="15" t="s">
        <v>31</v>
      </c>
      <c r="K449" s="15" t="s">
        <v>31</v>
      </c>
      <c r="L449" s="15" t="s">
        <v>31</v>
      </c>
      <c r="M449" s="13"/>
      <c r="N449" s="17"/>
      <c r="O449" s="5"/>
      <c r="P449" s="5"/>
      <c r="Q449" s="5"/>
      <c r="R449" s="5"/>
      <c r="S449" s="5"/>
      <c r="T449" s="5"/>
      <c r="U449" s="5"/>
      <c r="V449" s="5"/>
      <c r="W449" s="5"/>
      <c r="X449" s="5"/>
      <c r="Y449" s="5"/>
      <c r="Z449" s="5"/>
      <c r="AA449" s="5"/>
      <c r="AB449" s="5"/>
      <c r="AC449" s="5"/>
      <c r="AD449" s="5"/>
      <c r="AE449" s="5"/>
      <c r="AF449" s="5"/>
    </row>
    <row r="450" spans="1:32" ht="12" customHeight="1">
      <c r="A450" s="1" t="s">
        <v>49</v>
      </c>
      <c r="B450" s="10">
        <v>18</v>
      </c>
      <c r="C450" s="8">
        <v>10</v>
      </c>
      <c r="D450" s="2" t="s">
        <v>309</v>
      </c>
      <c r="E450" s="8">
        <v>410</v>
      </c>
      <c r="F450" s="16"/>
      <c r="G450" s="16"/>
      <c r="H450" s="16"/>
      <c r="I450" s="3">
        <f t="shared" si="77"/>
        <v>0</v>
      </c>
      <c r="J450" s="15" t="s">
        <v>31</v>
      </c>
      <c r="K450" s="15" t="s">
        <v>31</v>
      </c>
      <c r="L450" s="15" t="s">
        <v>31</v>
      </c>
      <c r="M450" s="13"/>
      <c r="N450" s="17"/>
      <c r="O450" s="5"/>
      <c r="P450" s="5"/>
      <c r="Q450" s="5"/>
      <c r="R450" s="5"/>
      <c r="S450" s="5"/>
      <c r="T450" s="5"/>
      <c r="U450" s="5"/>
      <c r="V450" s="5"/>
      <c r="W450" s="5"/>
      <c r="X450" s="5"/>
      <c r="Y450" s="5"/>
      <c r="Z450" s="5"/>
      <c r="AA450" s="5"/>
      <c r="AB450" s="5"/>
      <c r="AC450" s="5"/>
      <c r="AD450" s="5"/>
      <c r="AE450" s="5"/>
      <c r="AF450" s="5"/>
    </row>
    <row r="451" spans="1:32" ht="12" customHeight="1">
      <c r="A451" s="1" t="s">
        <v>50</v>
      </c>
      <c r="B451" s="10">
        <v>18</v>
      </c>
      <c r="C451" s="8">
        <v>11</v>
      </c>
      <c r="D451" s="2" t="s">
        <v>309</v>
      </c>
      <c r="E451" s="8">
        <v>420</v>
      </c>
      <c r="F451" s="16"/>
      <c r="G451" s="16"/>
      <c r="H451" s="16"/>
      <c r="I451" s="3">
        <f t="shared" si="77"/>
        <v>0</v>
      </c>
      <c r="J451" s="15" t="s">
        <v>31</v>
      </c>
      <c r="K451" s="15" t="s">
        <v>31</v>
      </c>
      <c r="L451" s="15" t="s">
        <v>31</v>
      </c>
      <c r="M451" s="13"/>
      <c r="N451" s="17"/>
      <c r="O451" s="5"/>
      <c r="P451" s="5"/>
      <c r="Q451" s="5"/>
      <c r="R451" s="5"/>
      <c r="S451" s="5"/>
      <c r="T451" s="5"/>
      <c r="U451" s="5"/>
      <c r="V451" s="5"/>
      <c r="W451" s="5"/>
      <c r="X451" s="5"/>
      <c r="Y451" s="5"/>
      <c r="Z451" s="5"/>
      <c r="AA451" s="5"/>
      <c r="AB451" s="5"/>
      <c r="AC451" s="5"/>
      <c r="AD451" s="5"/>
      <c r="AE451" s="5"/>
      <c r="AF451" s="5"/>
    </row>
    <row r="452" spans="1:32" ht="12" customHeight="1">
      <c r="A452" s="1" t="s">
        <v>368</v>
      </c>
      <c r="B452" s="10">
        <v>18</v>
      </c>
      <c r="C452" s="8">
        <v>12</v>
      </c>
      <c r="D452" s="2" t="s">
        <v>309</v>
      </c>
      <c r="E452" s="8">
        <v>490</v>
      </c>
      <c r="F452" s="16"/>
      <c r="G452" s="16"/>
      <c r="H452" s="16"/>
      <c r="I452" s="3">
        <f t="shared" si="77"/>
        <v>0</v>
      </c>
      <c r="J452" s="15" t="s">
        <v>31</v>
      </c>
      <c r="K452" s="15" t="s">
        <v>31</v>
      </c>
      <c r="L452" s="15" t="s">
        <v>31</v>
      </c>
      <c r="M452" s="13"/>
      <c r="N452" s="17"/>
      <c r="O452" s="5"/>
      <c r="P452" s="5"/>
      <c r="Q452" s="5"/>
      <c r="R452" s="5"/>
      <c r="S452" s="5"/>
      <c r="T452" s="5"/>
      <c r="U452" s="5"/>
      <c r="V452" s="5"/>
      <c r="W452" s="5"/>
      <c r="X452" s="5"/>
      <c r="Y452" s="5"/>
      <c r="Z452" s="5"/>
      <c r="AA452" s="5"/>
      <c r="AB452" s="5"/>
      <c r="AC452" s="5"/>
      <c r="AD452" s="5"/>
      <c r="AE452" s="5"/>
      <c r="AF452" s="5"/>
    </row>
    <row r="453" spans="1:32" ht="12" customHeight="1">
      <c r="A453" s="68" t="s">
        <v>369</v>
      </c>
      <c r="B453" s="69">
        <v>18</v>
      </c>
      <c r="C453" s="25">
        <v>13</v>
      </c>
      <c r="D453" s="2" t="s">
        <v>309</v>
      </c>
      <c r="E453" s="25"/>
      <c r="F453" s="70">
        <f t="shared" ref="F453:I453" si="78">SUM(F449:F452)</f>
        <v>0</v>
      </c>
      <c r="G453" s="70">
        <f t="shared" si="78"/>
        <v>0</v>
      </c>
      <c r="H453" s="70">
        <f t="shared" si="78"/>
        <v>0</v>
      </c>
      <c r="I453" s="70">
        <f t="shared" si="78"/>
        <v>0</v>
      </c>
      <c r="J453" s="15" t="s">
        <v>31</v>
      </c>
      <c r="K453" s="15" t="s">
        <v>31</v>
      </c>
      <c r="L453" s="15" t="s">
        <v>31</v>
      </c>
      <c r="M453" s="13"/>
      <c r="N453" s="17"/>
      <c r="O453" s="5"/>
      <c r="P453" s="5"/>
      <c r="Q453" s="5"/>
      <c r="R453" s="5"/>
      <c r="S453" s="5"/>
      <c r="T453" s="5"/>
      <c r="U453" s="5"/>
      <c r="V453" s="5"/>
      <c r="W453" s="5"/>
      <c r="X453" s="5"/>
      <c r="Y453" s="5"/>
      <c r="Z453" s="5"/>
      <c r="AA453" s="5"/>
      <c r="AB453" s="5"/>
      <c r="AC453" s="5"/>
      <c r="AD453" s="5"/>
      <c r="AE453" s="5"/>
      <c r="AF453" s="5"/>
    </row>
    <row r="454" spans="1:32" ht="12" customHeight="1">
      <c r="A454" s="44" t="s">
        <v>370</v>
      </c>
      <c r="B454" s="2"/>
      <c r="C454" s="10"/>
      <c r="D454" s="10"/>
      <c r="E454" s="10"/>
      <c r="F454" s="15" t="s">
        <v>31</v>
      </c>
      <c r="G454" s="15" t="s">
        <v>31</v>
      </c>
      <c r="H454" s="15" t="s">
        <v>31</v>
      </c>
      <c r="I454" s="15" t="s">
        <v>31</v>
      </c>
      <c r="J454" s="15" t="s">
        <v>31</v>
      </c>
      <c r="K454" s="15" t="s">
        <v>31</v>
      </c>
      <c r="L454" s="15" t="s">
        <v>31</v>
      </c>
      <c r="M454" s="13"/>
      <c r="N454" s="17"/>
      <c r="O454" s="5"/>
      <c r="P454" s="5"/>
      <c r="Q454" s="5"/>
      <c r="R454" s="5"/>
      <c r="S454" s="5"/>
      <c r="T454" s="5"/>
      <c r="U454" s="5"/>
      <c r="V454" s="5"/>
      <c r="W454" s="5"/>
      <c r="X454" s="5"/>
      <c r="Y454" s="5"/>
      <c r="Z454" s="5"/>
      <c r="AA454" s="5"/>
      <c r="AB454" s="5"/>
      <c r="AC454" s="5"/>
      <c r="AD454" s="5"/>
      <c r="AE454" s="5"/>
      <c r="AF454" s="5"/>
    </row>
    <row r="455" spans="1:32" ht="12" customHeight="1">
      <c r="A455" s="1" t="s">
        <v>371</v>
      </c>
      <c r="B455" s="10">
        <v>18</v>
      </c>
      <c r="C455" s="8">
        <v>14</v>
      </c>
      <c r="D455" s="2" t="s">
        <v>309</v>
      </c>
      <c r="E455" s="8">
        <v>753</v>
      </c>
      <c r="F455" s="16"/>
      <c r="G455" s="16"/>
      <c r="H455" s="16"/>
      <c r="I455" s="3">
        <f t="shared" ref="I455:I460" si="79">SUM(F455:H455)</f>
        <v>0</v>
      </c>
      <c r="J455" s="15" t="s">
        <v>31</v>
      </c>
      <c r="K455" s="15" t="s">
        <v>31</v>
      </c>
      <c r="L455" s="15" t="s">
        <v>31</v>
      </c>
      <c r="M455" s="13"/>
      <c r="N455" s="17"/>
      <c r="O455" s="5"/>
      <c r="P455" s="5"/>
      <c r="Q455" s="5"/>
      <c r="R455" s="5"/>
      <c r="S455" s="5"/>
      <c r="T455" s="5"/>
      <c r="U455" s="5"/>
      <c r="V455" s="5"/>
      <c r="W455" s="5"/>
      <c r="X455" s="5"/>
      <c r="Y455" s="5"/>
      <c r="Z455" s="5"/>
      <c r="AA455" s="5"/>
      <c r="AB455" s="5"/>
      <c r="AC455" s="5"/>
      <c r="AD455" s="5"/>
      <c r="AE455" s="5"/>
      <c r="AF455" s="5"/>
    </row>
    <row r="456" spans="1:32" ht="12" customHeight="1">
      <c r="A456" s="1" t="s">
        <v>372</v>
      </c>
      <c r="B456" s="10">
        <v>18</v>
      </c>
      <c r="C456" s="8">
        <v>15</v>
      </c>
      <c r="D456" s="2"/>
      <c r="E456" s="8">
        <v>753</v>
      </c>
      <c r="F456" s="16"/>
      <c r="G456" s="16"/>
      <c r="H456" s="16"/>
      <c r="I456" s="3">
        <f t="shared" si="79"/>
        <v>0</v>
      </c>
      <c r="J456" s="15"/>
      <c r="K456" s="15"/>
      <c r="L456" s="15"/>
      <c r="M456" s="13"/>
      <c r="N456" s="17"/>
      <c r="O456" s="5"/>
      <c r="P456" s="5"/>
      <c r="Q456" s="5"/>
      <c r="R456" s="5"/>
      <c r="S456" s="5"/>
      <c r="T456" s="5"/>
      <c r="U456" s="5"/>
      <c r="V456" s="5"/>
      <c r="W456" s="5"/>
      <c r="X456" s="5"/>
      <c r="Y456" s="5"/>
      <c r="Z456" s="5"/>
      <c r="AA456" s="5"/>
      <c r="AB456" s="5"/>
      <c r="AC456" s="5"/>
      <c r="AD456" s="5"/>
      <c r="AE456" s="5"/>
      <c r="AF456" s="5"/>
    </row>
    <row r="457" spans="1:32" ht="12" customHeight="1">
      <c r="A457" s="1" t="s">
        <v>373</v>
      </c>
      <c r="B457" s="10">
        <v>18</v>
      </c>
      <c r="C457" s="8">
        <v>16</v>
      </c>
      <c r="D457" s="2" t="s">
        <v>309</v>
      </c>
      <c r="E457" s="8">
        <v>754</v>
      </c>
      <c r="F457" s="16"/>
      <c r="G457" s="16"/>
      <c r="H457" s="16"/>
      <c r="I457" s="3">
        <f t="shared" si="79"/>
        <v>0</v>
      </c>
      <c r="J457" s="15" t="s">
        <v>31</v>
      </c>
      <c r="K457" s="15" t="s">
        <v>31</v>
      </c>
      <c r="L457" s="15" t="s">
        <v>31</v>
      </c>
      <c r="M457" s="13"/>
      <c r="N457" s="17"/>
      <c r="O457" s="5"/>
      <c r="P457" s="5"/>
      <c r="Q457" s="5"/>
      <c r="R457" s="5"/>
      <c r="S457" s="5"/>
      <c r="T457" s="5"/>
      <c r="U457" s="5"/>
      <c r="V457" s="5"/>
      <c r="W457" s="5"/>
      <c r="X457" s="5"/>
      <c r="Y457" s="5"/>
      <c r="Z457" s="5"/>
      <c r="AA457" s="5"/>
      <c r="AB457" s="5"/>
      <c r="AC457" s="5"/>
      <c r="AD457" s="5"/>
      <c r="AE457" s="5"/>
      <c r="AF457" s="5"/>
    </row>
    <row r="458" spans="1:32" ht="12" customHeight="1">
      <c r="A458" s="1" t="s">
        <v>374</v>
      </c>
      <c r="B458" s="10">
        <v>18</v>
      </c>
      <c r="C458" s="8">
        <v>17</v>
      </c>
      <c r="D458" s="2" t="s">
        <v>309</v>
      </c>
      <c r="E458" s="8">
        <v>756</v>
      </c>
      <c r="F458" s="16"/>
      <c r="G458" s="16"/>
      <c r="H458" s="16"/>
      <c r="I458" s="3">
        <f t="shared" si="79"/>
        <v>0</v>
      </c>
      <c r="J458" s="15" t="s">
        <v>31</v>
      </c>
      <c r="K458" s="15" t="s">
        <v>31</v>
      </c>
      <c r="L458" s="15" t="s">
        <v>31</v>
      </c>
      <c r="M458" s="7"/>
      <c r="N458" s="27"/>
      <c r="O458" s="7"/>
      <c r="P458" s="7"/>
      <c r="Q458" s="7"/>
      <c r="R458" s="7"/>
      <c r="S458" s="7"/>
      <c r="T458" s="7"/>
      <c r="U458" s="7"/>
      <c r="V458" s="7"/>
      <c r="W458" s="7"/>
      <c r="X458" s="7"/>
      <c r="Y458" s="7"/>
      <c r="Z458" s="7"/>
      <c r="AA458" s="7"/>
      <c r="AB458" s="7"/>
      <c r="AC458" s="7"/>
      <c r="AD458" s="7"/>
      <c r="AE458" s="7"/>
      <c r="AF458" s="7"/>
    </row>
    <row r="459" spans="1:32" ht="12" customHeight="1">
      <c r="A459" s="1" t="s">
        <v>375</v>
      </c>
      <c r="B459" s="10">
        <v>18</v>
      </c>
      <c r="C459" s="8">
        <v>18</v>
      </c>
      <c r="D459" s="2"/>
      <c r="E459" s="8">
        <v>756</v>
      </c>
      <c r="F459" s="16"/>
      <c r="G459" s="16"/>
      <c r="H459" s="16"/>
      <c r="I459" s="3">
        <f t="shared" si="79"/>
        <v>0</v>
      </c>
      <c r="J459" s="15"/>
      <c r="K459" s="15"/>
      <c r="L459" s="15"/>
      <c r="M459" s="7"/>
      <c r="N459" s="27"/>
      <c r="O459" s="7"/>
      <c r="P459" s="7"/>
      <c r="Q459" s="7"/>
      <c r="R459" s="7"/>
      <c r="S459" s="7"/>
      <c r="T459" s="7"/>
      <c r="U459" s="7"/>
      <c r="V459" s="7"/>
      <c r="W459" s="7"/>
      <c r="X459" s="7"/>
      <c r="Y459" s="7"/>
      <c r="Z459" s="7"/>
      <c r="AA459" s="7"/>
      <c r="AB459" s="7"/>
      <c r="AC459" s="7"/>
      <c r="AD459" s="7"/>
      <c r="AE459" s="7"/>
      <c r="AF459" s="7"/>
    </row>
    <row r="460" spans="1:32" ht="12" customHeight="1">
      <c r="A460" s="1" t="s">
        <v>376</v>
      </c>
      <c r="B460" s="10">
        <v>18</v>
      </c>
      <c r="C460" s="8">
        <v>19</v>
      </c>
      <c r="D460" s="2" t="s">
        <v>309</v>
      </c>
      <c r="E460" s="8">
        <v>760</v>
      </c>
      <c r="F460" s="16"/>
      <c r="G460" s="16">
        <v>250532.51</v>
      </c>
      <c r="H460" s="16"/>
      <c r="I460" s="3">
        <f t="shared" si="79"/>
        <v>250532.51</v>
      </c>
      <c r="J460" s="15" t="s">
        <v>31</v>
      </c>
      <c r="K460" s="15" t="s">
        <v>31</v>
      </c>
      <c r="L460" s="15" t="s">
        <v>31</v>
      </c>
      <c r="M460" s="7"/>
      <c r="N460" s="27"/>
      <c r="O460" s="7"/>
      <c r="P460" s="7"/>
      <c r="Q460" s="7"/>
      <c r="R460" s="7"/>
      <c r="S460" s="7"/>
      <c r="T460" s="7"/>
      <c r="U460" s="7"/>
      <c r="V460" s="7"/>
      <c r="W460" s="7"/>
      <c r="X460" s="7"/>
      <c r="Y460" s="7"/>
      <c r="Z460" s="7"/>
      <c r="AA460" s="7"/>
      <c r="AB460" s="7"/>
      <c r="AC460" s="7"/>
      <c r="AD460" s="7"/>
      <c r="AE460" s="7"/>
      <c r="AF460" s="7"/>
    </row>
    <row r="461" spans="1:32" ht="12" customHeight="1">
      <c r="A461" s="51" t="s">
        <v>80</v>
      </c>
      <c r="B461" s="71">
        <v>18</v>
      </c>
      <c r="C461" s="26">
        <v>20</v>
      </c>
      <c r="D461" s="52" t="s">
        <v>309</v>
      </c>
      <c r="E461" s="26"/>
      <c r="F461" s="72">
        <f t="shared" ref="F461:I461" si="80">SUM(F455:F460)</f>
        <v>0</v>
      </c>
      <c r="G461" s="72">
        <f t="shared" si="80"/>
        <v>250532.51</v>
      </c>
      <c r="H461" s="72">
        <f t="shared" si="80"/>
        <v>0</v>
      </c>
      <c r="I461" s="72">
        <f t="shared" si="80"/>
        <v>250532.51</v>
      </c>
      <c r="J461" s="15" t="s">
        <v>31</v>
      </c>
      <c r="K461" s="15" t="s">
        <v>31</v>
      </c>
      <c r="L461" s="15" t="s">
        <v>31</v>
      </c>
      <c r="M461" s="7"/>
      <c r="N461" s="27"/>
      <c r="O461" s="7"/>
      <c r="P461" s="7"/>
      <c r="Q461" s="7"/>
      <c r="R461" s="7"/>
      <c r="S461" s="7"/>
      <c r="T461" s="7"/>
      <c r="U461" s="7"/>
      <c r="V461" s="7"/>
      <c r="W461" s="7"/>
      <c r="X461" s="7"/>
      <c r="Y461" s="7"/>
      <c r="Z461" s="7"/>
      <c r="AA461" s="7"/>
      <c r="AB461" s="7"/>
      <c r="AC461" s="7"/>
      <c r="AD461" s="7"/>
      <c r="AE461" s="7"/>
      <c r="AF461" s="7"/>
    </row>
    <row r="462" spans="1:32" ht="12" customHeight="1">
      <c r="A462" s="46" t="s">
        <v>377</v>
      </c>
      <c r="B462" s="40">
        <v>18</v>
      </c>
      <c r="C462" s="73">
        <v>21</v>
      </c>
      <c r="D462" s="43" t="s">
        <v>309</v>
      </c>
      <c r="E462" s="73"/>
      <c r="F462" s="47">
        <f t="shared" ref="F462:I462" si="81">F453+F461</f>
        <v>0</v>
      </c>
      <c r="G462" s="47">
        <f t="shared" si="81"/>
        <v>250532.51</v>
      </c>
      <c r="H462" s="47">
        <f t="shared" si="81"/>
        <v>0</v>
      </c>
      <c r="I462" s="47">
        <f t="shared" si="81"/>
        <v>250532.51</v>
      </c>
      <c r="J462" s="15" t="s">
        <v>31</v>
      </c>
      <c r="K462" s="15" t="s">
        <v>31</v>
      </c>
      <c r="L462" s="15" t="s">
        <v>31</v>
      </c>
      <c r="M462" s="7"/>
      <c r="N462" s="27"/>
      <c r="O462" s="7"/>
      <c r="P462" s="7"/>
      <c r="Q462" s="7"/>
      <c r="R462" s="7"/>
      <c r="S462" s="7"/>
      <c r="T462" s="7"/>
      <c r="U462" s="7"/>
      <c r="V462" s="7"/>
      <c r="W462" s="7"/>
      <c r="X462" s="7"/>
      <c r="Y462" s="7"/>
      <c r="Z462" s="7"/>
      <c r="AA462" s="7"/>
      <c r="AB462" s="7"/>
      <c r="AC462" s="7"/>
      <c r="AD462" s="7"/>
      <c r="AE462" s="7"/>
      <c r="AF462" s="7"/>
    </row>
    <row r="463" spans="1:32" ht="12" customHeight="1">
      <c r="A463" s="49"/>
      <c r="B463" s="10"/>
      <c r="C463" s="34"/>
      <c r="D463" s="34"/>
      <c r="E463" s="34"/>
      <c r="F463" s="28"/>
      <c r="G463" s="28"/>
      <c r="H463" s="28"/>
      <c r="I463" s="28"/>
      <c r="J463" s="28"/>
      <c r="K463" s="28"/>
      <c r="L463" s="28"/>
      <c r="M463" s="7"/>
      <c r="N463" s="27"/>
      <c r="O463" s="7"/>
      <c r="P463" s="7"/>
      <c r="Q463" s="7"/>
      <c r="R463" s="7"/>
      <c r="S463" s="7"/>
      <c r="T463" s="7"/>
      <c r="U463" s="7"/>
      <c r="V463" s="7"/>
      <c r="W463" s="7"/>
      <c r="X463" s="7"/>
      <c r="Y463" s="7"/>
      <c r="Z463" s="7"/>
      <c r="AA463" s="7"/>
      <c r="AB463" s="7"/>
      <c r="AC463" s="7"/>
      <c r="AD463" s="7"/>
      <c r="AE463" s="7"/>
      <c r="AF463" s="7"/>
    </row>
    <row r="464" spans="1:32" ht="12" customHeight="1">
      <c r="A464" s="49" t="s">
        <v>378</v>
      </c>
      <c r="B464" s="10"/>
      <c r="C464" s="34"/>
      <c r="D464" s="34"/>
      <c r="E464" s="34"/>
      <c r="F464" s="10" t="s">
        <v>18</v>
      </c>
      <c r="G464" s="10" t="s">
        <v>19</v>
      </c>
      <c r="H464" s="10" t="s">
        <v>20</v>
      </c>
      <c r="I464" s="10" t="s">
        <v>21</v>
      </c>
      <c r="J464" s="10" t="s">
        <v>22</v>
      </c>
      <c r="K464" s="28"/>
      <c r="L464" s="28"/>
      <c r="M464" s="7"/>
      <c r="N464" s="27"/>
      <c r="O464" s="7"/>
      <c r="P464" s="7"/>
      <c r="Q464" s="7"/>
      <c r="R464" s="7"/>
      <c r="S464" s="7"/>
      <c r="T464" s="7"/>
      <c r="U464" s="7"/>
      <c r="V464" s="7"/>
      <c r="W464" s="7"/>
      <c r="X464" s="7"/>
      <c r="Y464" s="7"/>
      <c r="Z464" s="7"/>
      <c r="AA464" s="7"/>
      <c r="AB464" s="7"/>
      <c r="AC464" s="7"/>
      <c r="AD464" s="7"/>
      <c r="AE464" s="7"/>
      <c r="AF464" s="7"/>
    </row>
    <row r="465" spans="1:32" ht="12" customHeight="1">
      <c r="A465" s="49"/>
      <c r="B465" s="10"/>
      <c r="C465" s="34"/>
      <c r="D465" s="34"/>
      <c r="E465" s="34"/>
      <c r="F465" s="74" t="s">
        <v>379</v>
      </c>
      <c r="G465" s="74" t="s">
        <v>380</v>
      </c>
      <c r="H465" s="74" t="s">
        <v>381</v>
      </c>
      <c r="I465" s="74" t="s">
        <v>382</v>
      </c>
      <c r="J465" s="74" t="s">
        <v>383</v>
      </c>
      <c r="K465" s="28"/>
      <c r="L465" s="28"/>
      <c r="M465" s="7"/>
      <c r="N465" s="27"/>
      <c r="O465" s="7"/>
      <c r="P465" s="7"/>
      <c r="Q465" s="7"/>
      <c r="R465" s="7"/>
      <c r="S465" s="7"/>
      <c r="T465" s="7"/>
      <c r="U465" s="7"/>
      <c r="V465" s="7"/>
      <c r="W465" s="7"/>
      <c r="X465" s="7"/>
      <c r="Y465" s="7"/>
      <c r="Z465" s="7"/>
      <c r="AA465" s="7"/>
      <c r="AB465" s="7"/>
      <c r="AC465" s="7"/>
      <c r="AD465" s="7"/>
      <c r="AE465" s="7"/>
      <c r="AF465" s="7"/>
    </row>
    <row r="466" spans="1:32" ht="12" customHeight="1">
      <c r="A466" s="75" t="s">
        <v>384</v>
      </c>
      <c r="B466" s="10">
        <v>19</v>
      </c>
      <c r="C466" s="34">
        <v>1</v>
      </c>
      <c r="D466" s="2" t="s">
        <v>309</v>
      </c>
      <c r="E466" s="34"/>
      <c r="F466" s="16">
        <v>457724</v>
      </c>
      <c r="G466" s="16">
        <v>677</v>
      </c>
      <c r="H466" s="16"/>
      <c r="I466" s="16">
        <f>I48</f>
        <v>4485.38</v>
      </c>
      <c r="J466" s="16">
        <v>200264.24</v>
      </c>
      <c r="K466" s="15" t="s">
        <v>31</v>
      </c>
      <c r="L466" s="15" t="s">
        <v>31</v>
      </c>
      <c r="M466" s="7"/>
      <c r="N466" s="27"/>
      <c r="O466" s="7"/>
      <c r="P466" s="7"/>
      <c r="Q466" s="7"/>
      <c r="R466" s="7"/>
      <c r="S466" s="7"/>
      <c r="T466" s="7"/>
      <c r="U466" s="7"/>
      <c r="V466" s="7"/>
      <c r="W466" s="7"/>
      <c r="X466" s="7"/>
      <c r="Y466" s="7"/>
      <c r="Z466" s="7"/>
      <c r="AA466" s="7"/>
      <c r="AB466" s="7"/>
      <c r="AC466" s="7"/>
      <c r="AD466" s="7"/>
      <c r="AE466" s="7"/>
      <c r="AF466" s="7"/>
    </row>
    <row r="467" spans="1:32" ht="12" customHeight="1">
      <c r="A467" s="15" t="s">
        <v>31</v>
      </c>
      <c r="B467" s="15" t="s">
        <v>31</v>
      </c>
      <c r="C467" s="15" t="s">
        <v>31</v>
      </c>
      <c r="D467" s="15"/>
      <c r="E467" s="15"/>
      <c r="F467" s="15" t="s">
        <v>31</v>
      </c>
      <c r="G467" s="15" t="s">
        <v>31</v>
      </c>
      <c r="H467" s="15" t="s">
        <v>31</v>
      </c>
      <c r="I467" s="15" t="s">
        <v>31</v>
      </c>
      <c r="J467" s="15" t="s">
        <v>31</v>
      </c>
      <c r="K467" s="15" t="s">
        <v>31</v>
      </c>
      <c r="L467" s="15" t="s">
        <v>31</v>
      </c>
      <c r="M467" s="7"/>
      <c r="N467" s="27"/>
      <c r="O467" s="7"/>
      <c r="P467" s="7"/>
      <c r="Q467" s="7"/>
      <c r="R467" s="7"/>
      <c r="S467" s="7"/>
      <c r="T467" s="7"/>
      <c r="U467" s="7"/>
      <c r="V467" s="7"/>
      <c r="W467" s="7"/>
      <c r="X467" s="7"/>
      <c r="Y467" s="7"/>
      <c r="Z467" s="7"/>
      <c r="AA467" s="7"/>
      <c r="AB467" s="7"/>
      <c r="AC467" s="7"/>
      <c r="AD467" s="7"/>
      <c r="AE467" s="7"/>
      <c r="AF467" s="7"/>
    </row>
    <row r="468" spans="1:32" ht="12" customHeight="1">
      <c r="A468" s="76" t="s">
        <v>385</v>
      </c>
      <c r="B468" s="15" t="s">
        <v>31</v>
      </c>
      <c r="C468" s="15" t="s">
        <v>31</v>
      </c>
      <c r="D468" s="15"/>
      <c r="E468" s="15"/>
      <c r="F468" s="15" t="s">
        <v>31</v>
      </c>
      <c r="G468" s="15" t="s">
        <v>31</v>
      </c>
      <c r="H468" s="15" t="s">
        <v>31</v>
      </c>
      <c r="I468" s="15" t="s">
        <v>31</v>
      </c>
      <c r="J468" s="15" t="s">
        <v>31</v>
      </c>
      <c r="K468" s="15" t="s">
        <v>31</v>
      </c>
      <c r="L468" s="15" t="s">
        <v>31</v>
      </c>
      <c r="M468" s="7"/>
      <c r="N468" s="27"/>
      <c r="O468" s="7"/>
      <c r="P468" s="7"/>
      <c r="Q468" s="7"/>
      <c r="R468" s="7"/>
      <c r="S468" s="7"/>
      <c r="T468" s="7"/>
      <c r="U468" s="7"/>
      <c r="V468" s="7"/>
      <c r="W468" s="7"/>
      <c r="X468" s="7"/>
      <c r="Y468" s="7"/>
      <c r="Z468" s="7"/>
      <c r="AA468" s="7"/>
      <c r="AB468" s="7"/>
      <c r="AC468" s="7"/>
      <c r="AD468" s="7"/>
      <c r="AE468" s="7"/>
      <c r="AF468" s="7"/>
    </row>
    <row r="469" spans="1:32" ht="12" customHeight="1">
      <c r="A469" s="7" t="s">
        <v>386</v>
      </c>
      <c r="B469" s="10">
        <v>19</v>
      </c>
      <c r="C469" s="34">
        <v>2</v>
      </c>
      <c r="D469" s="2" t="s">
        <v>309</v>
      </c>
      <c r="E469" s="34"/>
      <c r="F469" s="16">
        <f>F194</f>
        <v>2880658.67</v>
      </c>
      <c r="G469" s="16">
        <f>64927.2+11311.42</f>
        <v>76238.62</v>
      </c>
      <c r="H469" s="16">
        <f>H163</f>
        <v>29264.6</v>
      </c>
      <c r="I469" s="16"/>
      <c r="J469" s="16">
        <f>50000+268.27</f>
        <v>50268.27</v>
      </c>
      <c r="K469" s="15" t="s">
        <v>31</v>
      </c>
      <c r="L469" s="15" t="s">
        <v>31</v>
      </c>
      <c r="M469" s="7"/>
      <c r="N469" s="27"/>
      <c r="O469" s="7"/>
      <c r="P469" s="7"/>
      <c r="Q469" s="7"/>
      <c r="R469" s="7"/>
      <c r="S469" s="7"/>
      <c r="T469" s="7"/>
      <c r="U469" s="7"/>
      <c r="V469" s="7"/>
      <c r="W469" s="7"/>
      <c r="X469" s="7"/>
      <c r="Y469" s="7"/>
      <c r="Z469" s="7"/>
      <c r="AA469" s="7"/>
      <c r="AB469" s="7"/>
      <c r="AC469" s="7"/>
      <c r="AD469" s="7"/>
      <c r="AE469" s="7"/>
      <c r="AF469" s="7"/>
    </row>
    <row r="470" spans="1:32" ht="12" customHeight="1">
      <c r="A470" s="7" t="s">
        <v>387</v>
      </c>
      <c r="B470" s="10">
        <v>19</v>
      </c>
      <c r="C470" s="34">
        <v>3</v>
      </c>
      <c r="D470" s="2" t="s">
        <v>309</v>
      </c>
      <c r="E470" s="34"/>
      <c r="F470" s="16"/>
      <c r="G470" s="16"/>
      <c r="H470" s="16"/>
      <c r="I470" s="16"/>
      <c r="J470" s="16"/>
      <c r="K470" s="15" t="s">
        <v>31</v>
      </c>
      <c r="L470" s="15" t="s">
        <v>31</v>
      </c>
      <c r="M470" s="7"/>
      <c r="N470" s="27"/>
      <c r="O470" s="7"/>
      <c r="P470" s="7"/>
      <c r="Q470" s="7"/>
      <c r="R470" s="7"/>
      <c r="S470" s="7"/>
      <c r="T470" s="7"/>
      <c r="U470" s="7"/>
      <c r="V470" s="7"/>
      <c r="W470" s="7"/>
      <c r="X470" s="7"/>
      <c r="Y470" s="7"/>
      <c r="Z470" s="7"/>
      <c r="AA470" s="7"/>
      <c r="AB470" s="7"/>
      <c r="AC470" s="7"/>
      <c r="AD470" s="7"/>
      <c r="AE470" s="7"/>
      <c r="AF470" s="7"/>
    </row>
    <row r="471" spans="1:32" ht="12" customHeight="1">
      <c r="A471" s="49" t="s">
        <v>388</v>
      </c>
      <c r="B471" s="10">
        <v>19</v>
      </c>
      <c r="C471" s="34">
        <v>4</v>
      </c>
      <c r="D471" s="2" t="s">
        <v>309</v>
      </c>
      <c r="E471" s="34"/>
      <c r="F471" s="28">
        <f t="shared" ref="F471:J471" si="82">SUM(F469:F470)</f>
        <v>2880658.67</v>
      </c>
      <c r="G471" s="28">
        <f t="shared" si="82"/>
        <v>76238.62</v>
      </c>
      <c r="H471" s="28">
        <f t="shared" si="82"/>
        <v>29264.6</v>
      </c>
      <c r="I471" s="28">
        <f t="shared" si="82"/>
        <v>0</v>
      </c>
      <c r="J471" s="28">
        <f t="shared" si="82"/>
        <v>50268.27</v>
      </c>
      <c r="K471" s="15" t="s">
        <v>31</v>
      </c>
      <c r="L471" s="15" t="s">
        <v>31</v>
      </c>
      <c r="M471" s="7"/>
      <c r="N471" s="27"/>
      <c r="O471" s="7"/>
      <c r="P471" s="7"/>
      <c r="Q471" s="7"/>
      <c r="R471" s="7"/>
      <c r="S471" s="7"/>
      <c r="T471" s="7"/>
      <c r="U471" s="7"/>
      <c r="V471" s="7"/>
      <c r="W471" s="7"/>
      <c r="X471" s="7"/>
      <c r="Y471" s="7"/>
      <c r="Z471" s="7"/>
      <c r="AA471" s="7"/>
      <c r="AB471" s="7"/>
      <c r="AC471" s="7"/>
      <c r="AD471" s="7"/>
      <c r="AE471" s="7"/>
      <c r="AF471" s="7"/>
    </row>
    <row r="472" spans="1:32" ht="12" customHeight="1">
      <c r="A472" s="76" t="s">
        <v>389</v>
      </c>
      <c r="B472" s="15" t="s">
        <v>31</v>
      </c>
      <c r="C472" s="15" t="s">
        <v>31</v>
      </c>
      <c r="D472" s="15"/>
      <c r="E472" s="15"/>
      <c r="F472" s="15" t="s">
        <v>31</v>
      </c>
      <c r="G472" s="15" t="s">
        <v>31</v>
      </c>
      <c r="H472" s="15" t="s">
        <v>31</v>
      </c>
      <c r="I472" s="15" t="s">
        <v>31</v>
      </c>
      <c r="J472" s="15" t="s">
        <v>31</v>
      </c>
      <c r="K472" s="15" t="s">
        <v>31</v>
      </c>
      <c r="L472" s="15" t="s">
        <v>31</v>
      </c>
      <c r="M472" s="7"/>
      <c r="N472" s="27"/>
      <c r="O472" s="7"/>
      <c r="P472" s="7"/>
      <c r="Q472" s="7"/>
      <c r="R472" s="7"/>
      <c r="S472" s="7"/>
      <c r="T472" s="7"/>
      <c r="U472" s="7"/>
      <c r="V472" s="7"/>
      <c r="W472" s="7"/>
      <c r="X472" s="7"/>
      <c r="Y472" s="7"/>
      <c r="Z472" s="7"/>
      <c r="AA472" s="7"/>
      <c r="AB472" s="7"/>
      <c r="AC472" s="7"/>
      <c r="AD472" s="7"/>
      <c r="AE472" s="7"/>
      <c r="AF472" s="7"/>
    </row>
    <row r="473" spans="1:32" ht="12" customHeight="1">
      <c r="A473" s="7" t="s">
        <v>390</v>
      </c>
      <c r="B473" s="10">
        <v>19</v>
      </c>
      <c r="C473" s="34">
        <v>5</v>
      </c>
      <c r="D473" s="2" t="s">
        <v>309</v>
      </c>
      <c r="E473" s="34"/>
      <c r="F473" s="16">
        <v>2988390.45</v>
      </c>
      <c r="G473" s="16">
        <v>76238.62</v>
      </c>
      <c r="H473" s="16">
        <f>L353</f>
        <v>28967.599999999999</v>
      </c>
      <c r="I473" s="16"/>
      <c r="J473" s="16"/>
      <c r="K473" s="15" t="s">
        <v>31</v>
      </c>
      <c r="L473" s="15" t="s">
        <v>31</v>
      </c>
      <c r="M473" s="7"/>
      <c r="N473" s="27"/>
      <c r="O473" s="7"/>
      <c r="P473" s="7"/>
      <c r="Q473" s="7"/>
      <c r="R473" s="7"/>
      <c r="S473" s="7"/>
      <c r="T473" s="7"/>
      <c r="U473" s="7"/>
      <c r="V473" s="7"/>
      <c r="W473" s="7"/>
      <c r="X473" s="7"/>
      <c r="Y473" s="7"/>
      <c r="Z473" s="7"/>
      <c r="AA473" s="7"/>
      <c r="AB473" s="7"/>
      <c r="AC473" s="7"/>
      <c r="AD473" s="7"/>
      <c r="AE473" s="7"/>
      <c r="AF473" s="7"/>
    </row>
    <row r="474" spans="1:32" ht="12" customHeight="1">
      <c r="A474" s="7" t="s">
        <v>391</v>
      </c>
      <c r="B474" s="10">
        <v>19</v>
      </c>
      <c r="C474" s="34">
        <v>6</v>
      </c>
      <c r="D474" s="2" t="s">
        <v>309</v>
      </c>
      <c r="E474" s="34"/>
      <c r="F474" s="16">
        <f>3962.88+0.8</f>
        <v>3963.6800000000003</v>
      </c>
      <c r="G474" s="16"/>
      <c r="H474" s="16">
        <v>297</v>
      </c>
      <c r="I474" s="16"/>
      <c r="J474" s="16"/>
      <c r="K474" s="15" t="s">
        <v>31</v>
      </c>
      <c r="L474" s="15" t="s">
        <v>31</v>
      </c>
      <c r="M474" s="7"/>
      <c r="N474" s="27"/>
      <c r="O474" s="7"/>
      <c r="P474" s="7"/>
      <c r="Q474" s="7"/>
      <c r="R474" s="7"/>
      <c r="S474" s="7"/>
      <c r="T474" s="7"/>
      <c r="U474" s="7"/>
      <c r="V474" s="7"/>
      <c r="W474" s="7"/>
      <c r="X474" s="7"/>
      <c r="Y474" s="7"/>
      <c r="Z474" s="7"/>
      <c r="AA474" s="7"/>
      <c r="AB474" s="7"/>
      <c r="AC474" s="7"/>
      <c r="AD474" s="7"/>
      <c r="AE474" s="7"/>
      <c r="AF474" s="7"/>
    </row>
    <row r="475" spans="1:32" ht="12" customHeight="1">
      <c r="A475" s="49" t="s">
        <v>392</v>
      </c>
      <c r="B475" s="10">
        <v>19</v>
      </c>
      <c r="C475" s="34">
        <v>7</v>
      </c>
      <c r="D475" s="2" t="s">
        <v>309</v>
      </c>
      <c r="E475" s="34"/>
      <c r="F475" s="28">
        <f t="shared" ref="F475:J475" si="83">SUM(F473:F474)</f>
        <v>2992354.1300000004</v>
      </c>
      <c r="G475" s="28">
        <f t="shared" si="83"/>
        <v>76238.62</v>
      </c>
      <c r="H475" s="28">
        <f t="shared" si="83"/>
        <v>29264.6</v>
      </c>
      <c r="I475" s="28">
        <f t="shared" si="83"/>
        <v>0</v>
      </c>
      <c r="J475" s="28">
        <f t="shared" si="83"/>
        <v>0</v>
      </c>
      <c r="K475" s="15" t="s">
        <v>31</v>
      </c>
      <c r="L475" s="15" t="s">
        <v>31</v>
      </c>
      <c r="M475" s="7"/>
      <c r="N475" s="27"/>
      <c r="O475" s="7"/>
      <c r="P475" s="7"/>
      <c r="Q475" s="7"/>
      <c r="R475" s="7"/>
      <c r="S475" s="7"/>
      <c r="T475" s="7"/>
      <c r="U475" s="7"/>
      <c r="V475" s="7"/>
      <c r="W475" s="7"/>
      <c r="X475" s="7"/>
      <c r="Y475" s="7"/>
      <c r="Z475" s="7"/>
      <c r="AA475" s="7"/>
      <c r="AB475" s="7"/>
      <c r="AC475" s="7"/>
      <c r="AD475" s="7"/>
      <c r="AE475" s="7"/>
      <c r="AF475" s="7"/>
    </row>
    <row r="476" spans="1:32" ht="12" customHeight="1">
      <c r="A476" s="15" t="s">
        <v>31</v>
      </c>
      <c r="B476" s="15" t="s">
        <v>31</v>
      </c>
      <c r="C476" s="15" t="s">
        <v>31</v>
      </c>
      <c r="D476" s="15"/>
      <c r="E476" s="15"/>
      <c r="F476" s="15" t="s">
        <v>31</v>
      </c>
      <c r="G476" s="15" t="s">
        <v>31</v>
      </c>
      <c r="H476" s="15" t="s">
        <v>31</v>
      </c>
      <c r="I476" s="15" t="s">
        <v>31</v>
      </c>
      <c r="J476" s="15" t="s">
        <v>31</v>
      </c>
      <c r="K476" s="15" t="s">
        <v>31</v>
      </c>
      <c r="L476" s="15" t="s">
        <v>31</v>
      </c>
      <c r="M476" s="7"/>
      <c r="N476" s="27"/>
      <c r="O476" s="7"/>
      <c r="P476" s="7"/>
      <c r="Q476" s="7"/>
      <c r="R476" s="7"/>
      <c r="S476" s="7"/>
      <c r="T476" s="7"/>
      <c r="U476" s="7"/>
      <c r="V476" s="7"/>
      <c r="W476" s="7"/>
      <c r="X476" s="7"/>
      <c r="Y476" s="7"/>
      <c r="Z476" s="7"/>
      <c r="AA476" s="7"/>
      <c r="AB476" s="7"/>
      <c r="AC476" s="7"/>
      <c r="AD476" s="7"/>
      <c r="AE476" s="7"/>
      <c r="AF476" s="7"/>
    </row>
    <row r="477" spans="1:32" ht="12" customHeight="1">
      <c r="A477" s="77" t="s">
        <v>393</v>
      </c>
      <c r="B477" s="10">
        <v>19</v>
      </c>
      <c r="C477" s="10">
        <v>8</v>
      </c>
      <c r="D477" s="2" t="s">
        <v>309</v>
      </c>
      <c r="E477" s="10"/>
      <c r="F477" s="28">
        <f t="shared" ref="F477:J477" si="84">(F466+F471)- F475</f>
        <v>346028.53999999957</v>
      </c>
      <c r="G477" s="28">
        <f t="shared" si="84"/>
        <v>677</v>
      </c>
      <c r="H477" s="28">
        <f t="shared" si="84"/>
        <v>0</v>
      </c>
      <c r="I477" s="28">
        <f t="shared" si="84"/>
        <v>4485.38</v>
      </c>
      <c r="J477" s="28">
        <f t="shared" si="84"/>
        <v>250532.50999999998</v>
      </c>
      <c r="K477" s="15" t="s">
        <v>31</v>
      </c>
      <c r="L477" s="15" t="s">
        <v>31</v>
      </c>
      <c r="M477" s="7"/>
      <c r="N477" s="27"/>
      <c r="O477" s="7"/>
      <c r="P477" s="7"/>
      <c r="Q477" s="7"/>
      <c r="R477" s="7"/>
      <c r="S477" s="7"/>
      <c r="T477" s="7"/>
      <c r="U477" s="7"/>
      <c r="V477" s="7"/>
      <c r="W477" s="7"/>
      <c r="X477" s="7"/>
      <c r="Y477" s="7"/>
      <c r="Z477" s="7"/>
      <c r="AA477" s="7"/>
      <c r="AB477" s="7"/>
      <c r="AC477" s="7"/>
      <c r="AD477" s="7"/>
      <c r="AE477" s="7"/>
      <c r="AF477" s="7"/>
    </row>
    <row r="478" spans="1:32" ht="12" customHeight="1">
      <c r="A478" s="16"/>
      <c r="B478" s="16"/>
      <c r="C478" s="16"/>
      <c r="D478" s="16"/>
      <c r="E478" s="16"/>
      <c r="F478" s="16"/>
      <c r="G478" s="16"/>
      <c r="H478" s="16"/>
      <c r="I478" s="16"/>
      <c r="J478" s="16"/>
      <c r="K478" s="16"/>
      <c r="L478" s="16"/>
      <c r="M478" s="7"/>
      <c r="N478" s="27"/>
      <c r="O478" s="7"/>
      <c r="P478" s="7"/>
      <c r="Q478" s="7"/>
      <c r="R478" s="7"/>
      <c r="S478" s="7"/>
      <c r="T478" s="7"/>
      <c r="U478" s="7"/>
      <c r="V478" s="7"/>
      <c r="W478" s="7"/>
      <c r="X478" s="7"/>
      <c r="Y478" s="7"/>
      <c r="Z478" s="7"/>
      <c r="AA478" s="7"/>
      <c r="AB478" s="7"/>
      <c r="AC478" s="7"/>
      <c r="AD478" s="7"/>
      <c r="AE478" s="7"/>
      <c r="AF478" s="7"/>
    </row>
    <row r="479" spans="1:32" ht="12" customHeight="1">
      <c r="A479" s="16" t="s">
        <v>394</v>
      </c>
      <c r="B479" s="16"/>
      <c r="C479" s="16"/>
      <c r="D479" s="16"/>
      <c r="E479" s="16"/>
      <c r="F479" s="16"/>
      <c r="G479" s="16"/>
      <c r="H479" s="16"/>
      <c r="I479" s="16"/>
      <c r="J479" s="16"/>
      <c r="K479" s="16"/>
      <c r="L479" s="16"/>
      <c r="M479" s="7"/>
      <c r="N479" s="27"/>
      <c r="O479" s="7"/>
      <c r="P479" s="7"/>
      <c r="Q479" s="7"/>
      <c r="R479" s="7"/>
      <c r="S479" s="7"/>
      <c r="T479" s="7"/>
      <c r="U479" s="7"/>
      <c r="V479" s="7"/>
      <c r="W479" s="7"/>
      <c r="X479" s="7"/>
      <c r="Y479" s="7"/>
      <c r="Z479" s="7"/>
      <c r="AA479" s="7"/>
      <c r="AB479" s="7"/>
      <c r="AC479" s="7"/>
      <c r="AD479" s="7"/>
      <c r="AE479" s="7"/>
      <c r="AF479" s="7"/>
    </row>
    <row r="480" spans="1:32" ht="12" customHeight="1">
      <c r="A480" s="16" t="s">
        <v>395</v>
      </c>
      <c r="B480" s="16"/>
      <c r="C480" s="16"/>
      <c r="D480" s="16"/>
      <c r="E480" s="16"/>
      <c r="F480" s="16"/>
      <c r="G480" s="16"/>
      <c r="H480" s="16"/>
      <c r="I480" s="16" t="s">
        <v>396</v>
      </c>
      <c r="J480" s="16"/>
      <c r="K480" s="16"/>
      <c r="L480" s="16"/>
      <c r="M480" s="7"/>
      <c r="N480" s="27"/>
      <c r="O480" s="7"/>
      <c r="P480" s="7"/>
      <c r="Q480" s="7"/>
      <c r="R480" s="7"/>
      <c r="S480" s="7"/>
      <c r="T480" s="7"/>
      <c r="U480" s="7"/>
      <c r="V480" s="7"/>
      <c r="W480" s="7"/>
      <c r="X480" s="7"/>
      <c r="Y480" s="7"/>
      <c r="Z480" s="7"/>
      <c r="AA480" s="7"/>
      <c r="AB480" s="7"/>
      <c r="AC480" s="7"/>
      <c r="AD480" s="7"/>
      <c r="AE480" s="7"/>
      <c r="AF480" s="7"/>
    </row>
    <row r="481" spans="1:32" ht="12" customHeight="1">
      <c r="A481" s="16"/>
      <c r="B481" s="16"/>
      <c r="C481" s="16"/>
      <c r="D481" s="16"/>
      <c r="E481" s="16"/>
      <c r="F481" s="16"/>
      <c r="G481" s="16"/>
      <c r="H481" s="16"/>
      <c r="I481" s="16" t="s">
        <v>397</v>
      </c>
      <c r="J481" s="16"/>
      <c r="K481" s="16"/>
      <c r="L481" s="16"/>
      <c r="M481" s="7"/>
      <c r="N481" s="27"/>
      <c r="O481" s="7"/>
      <c r="P481" s="7"/>
      <c r="Q481" s="7"/>
      <c r="R481" s="7"/>
      <c r="S481" s="7"/>
      <c r="T481" s="7"/>
      <c r="U481" s="7"/>
      <c r="V481" s="7"/>
      <c r="W481" s="7"/>
      <c r="X481" s="7"/>
      <c r="Y481" s="7"/>
      <c r="Z481" s="7"/>
      <c r="AA481" s="7"/>
      <c r="AB481" s="7"/>
      <c r="AC481" s="7"/>
      <c r="AD481" s="7"/>
      <c r="AE481" s="7"/>
      <c r="AF481" s="7"/>
    </row>
    <row r="482" spans="1:32" ht="12" customHeight="1">
      <c r="A482" s="7"/>
      <c r="B482" s="16"/>
      <c r="C482" s="16"/>
      <c r="D482" s="16"/>
      <c r="E482" s="16"/>
      <c r="F482" s="16"/>
      <c r="G482" s="16"/>
      <c r="H482" s="16"/>
      <c r="I482" s="16" t="s">
        <v>398</v>
      </c>
      <c r="J482" s="16"/>
      <c r="K482" s="16"/>
      <c r="L482" s="16"/>
      <c r="M482" s="7"/>
      <c r="N482" s="27"/>
      <c r="O482" s="7"/>
      <c r="P482" s="7"/>
      <c r="Q482" s="7"/>
      <c r="R482" s="7"/>
      <c r="S482" s="7"/>
      <c r="T482" s="7"/>
      <c r="U482" s="7"/>
      <c r="V482" s="7"/>
      <c r="W482" s="7"/>
      <c r="X482" s="7"/>
      <c r="Y482" s="7"/>
      <c r="Z482" s="7"/>
      <c r="AA482" s="7"/>
      <c r="AB482" s="7"/>
      <c r="AC482" s="7"/>
      <c r="AD482" s="7"/>
      <c r="AE482" s="7"/>
      <c r="AF482" s="7"/>
    </row>
    <row r="483" spans="1:32" ht="12" customHeight="1">
      <c r="A483" s="16" t="s">
        <v>399</v>
      </c>
      <c r="B483" s="16"/>
      <c r="C483" s="16"/>
      <c r="D483" s="16"/>
      <c r="E483" s="16"/>
      <c r="F483" s="16"/>
      <c r="G483" s="16"/>
      <c r="H483" s="16"/>
      <c r="I483" s="16" t="s">
        <v>400</v>
      </c>
      <c r="J483" s="16"/>
      <c r="K483" s="16"/>
      <c r="L483" s="16"/>
      <c r="M483" s="7"/>
      <c r="N483" s="27"/>
      <c r="O483" s="7"/>
      <c r="P483" s="7"/>
      <c r="Q483" s="7"/>
      <c r="R483" s="7"/>
      <c r="S483" s="7"/>
      <c r="T483" s="7"/>
      <c r="U483" s="7"/>
      <c r="V483" s="7"/>
      <c r="W483" s="7"/>
      <c r="X483" s="7"/>
      <c r="Y483" s="7"/>
      <c r="Z483" s="7"/>
      <c r="AA483" s="7"/>
      <c r="AB483" s="7"/>
      <c r="AC483" s="7"/>
      <c r="AD483" s="7"/>
      <c r="AE483" s="7"/>
      <c r="AF483" s="7"/>
    </row>
    <row r="484" spans="1:32" ht="12" customHeight="1">
      <c r="A484" s="61"/>
      <c r="B484" s="16"/>
      <c r="C484" s="16"/>
      <c r="D484" s="16"/>
      <c r="E484" s="16"/>
      <c r="F484" s="16"/>
      <c r="G484" s="16"/>
      <c r="H484" s="16"/>
      <c r="I484" s="16" t="s">
        <v>401</v>
      </c>
      <c r="J484" s="16"/>
      <c r="K484" s="16"/>
      <c r="L484" s="16"/>
      <c r="M484" s="7"/>
      <c r="N484" s="27"/>
      <c r="O484" s="7"/>
      <c r="P484" s="7"/>
      <c r="Q484" s="7"/>
      <c r="R484" s="7"/>
      <c r="S484" s="7"/>
      <c r="T484" s="7"/>
      <c r="U484" s="7"/>
      <c r="V484" s="7"/>
      <c r="W484" s="7"/>
      <c r="X484" s="7"/>
      <c r="Y484" s="7"/>
      <c r="Z484" s="7"/>
      <c r="AA484" s="7"/>
      <c r="AB484" s="7"/>
      <c r="AC484" s="7"/>
      <c r="AD484" s="7"/>
      <c r="AE484" s="7"/>
      <c r="AF484" s="7"/>
    </row>
    <row r="485" spans="1:32" ht="12" customHeight="1">
      <c r="A485" s="61"/>
      <c r="B485" s="16"/>
      <c r="C485" s="16"/>
      <c r="D485" s="16"/>
      <c r="E485" s="16"/>
      <c r="F485" s="16"/>
      <c r="G485" s="16"/>
      <c r="H485" s="16"/>
      <c r="I485" s="16" t="s">
        <v>402</v>
      </c>
      <c r="J485" s="16"/>
      <c r="K485" s="16"/>
      <c r="L485" s="16"/>
      <c r="M485" s="7"/>
      <c r="N485" s="27"/>
      <c r="O485" s="7"/>
      <c r="P485" s="7"/>
      <c r="Q485" s="7"/>
      <c r="R485" s="7"/>
      <c r="S485" s="7"/>
      <c r="T485" s="7"/>
      <c r="U485" s="7"/>
      <c r="V485" s="7"/>
      <c r="W485" s="7"/>
      <c r="X485" s="7"/>
      <c r="Y485" s="7"/>
      <c r="Z485" s="7"/>
      <c r="AA485" s="7"/>
      <c r="AB485" s="7"/>
      <c r="AC485" s="7"/>
      <c r="AD485" s="7"/>
      <c r="AE485" s="7"/>
      <c r="AF485" s="7"/>
    </row>
    <row r="486" spans="1:32" ht="12" customHeight="1">
      <c r="A486" s="61"/>
      <c r="B486" s="16"/>
      <c r="C486" s="16"/>
      <c r="D486" s="16"/>
      <c r="E486" s="16"/>
      <c r="F486" s="16"/>
      <c r="G486" s="16"/>
      <c r="H486" s="16"/>
      <c r="I486" s="16" t="s">
        <v>403</v>
      </c>
      <c r="J486" s="16"/>
      <c r="K486" s="16"/>
      <c r="L486" s="16"/>
      <c r="M486" s="7"/>
      <c r="N486" s="27"/>
      <c r="O486" s="7"/>
      <c r="P486" s="7"/>
      <c r="Q486" s="7"/>
      <c r="R486" s="7"/>
      <c r="S486" s="7"/>
      <c r="T486" s="7"/>
      <c r="U486" s="7"/>
      <c r="V486" s="7"/>
      <c r="W486" s="7"/>
      <c r="X486" s="7"/>
      <c r="Y486" s="7"/>
      <c r="Z486" s="7"/>
      <c r="AA486" s="7"/>
      <c r="AB486" s="7"/>
      <c r="AC486" s="7"/>
      <c r="AD486" s="7"/>
      <c r="AE486" s="7"/>
      <c r="AF486" s="7"/>
    </row>
    <row r="487" spans="1:32" ht="12" customHeight="1">
      <c r="A487" s="61"/>
      <c r="B487" s="16"/>
      <c r="C487" s="16"/>
      <c r="D487" s="16"/>
      <c r="E487" s="16"/>
      <c r="F487" s="16"/>
      <c r="G487" s="16"/>
      <c r="H487" s="16"/>
      <c r="I487" s="16"/>
      <c r="J487" s="16"/>
      <c r="K487" s="16"/>
      <c r="L487" s="16"/>
      <c r="M487" s="7"/>
      <c r="N487" s="27"/>
      <c r="O487" s="7"/>
      <c r="P487" s="7"/>
      <c r="Q487" s="7"/>
      <c r="R487" s="7"/>
      <c r="S487" s="7"/>
      <c r="T487" s="7"/>
      <c r="U487" s="7"/>
      <c r="V487" s="7"/>
      <c r="W487" s="7"/>
      <c r="X487" s="7"/>
      <c r="Y487" s="7"/>
      <c r="Z487" s="7"/>
      <c r="AA487" s="7"/>
      <c r="AB487" s="7"/>
      <c r="AC487" s="7"/>
      <c r="AD487" s="7"/>
      <c r="AE487" s="7"/>
      <c r="AF487" s="7"/>
    </row>
    <row r="488" spans="1:32" ht="12" customHeight="1">
      <c r="A488" s="78" t="s">
        <v>404</v>
      </c>
      <c r="B488" s="10"/>
      <c r="C488" s="10"/>
      <c r="D488" s="10"/>
      <c r="E488" s="10"/>
      <c r="F488" s="28"/>
      <c r="G488" s="28"/>
      <c r="H488" s="28"/>
      <c r="I488" s="28"/>
      <c r="J488" s="28"/>
      <c r="K488" s="28"/>
      <c r="L488" s="28"/>
      <c r="M488" s="7"/>
      <c r="N488" s="27"/>
      <c r="O488" s="7"/>
      <c r="P488" s="7"/>
      <c r="Q488" s="7"/>
      <c r="R488" s="7"/>
      <c r="S488" s="7"/>
      <c r="T488" s="7"/>
      <c r="U488" s="7"/>
      <c r="V488" s="7"/>
      <c r="W488" s="7"/>
      <c r="X488" s="7"/>
      <c r="Y488" s="7"/>
      <c r="Z488" s="7"/>
      <c r="AA488" s="7"/>
      <c r="AB488" s="7"/>
      <c r="AC488" s="7"/>
      <c r="AD488" s="7"/>
      <c r="AE488" s="7"/>
      <c r="AF488" s="7"/>
    </row>
    <row r="489" spans="1:32" ht="12" customHeight="1">
      <c r="A489" s="79" t="s">
        <v>405</v>
      </c>
      <c r="B489" s="10"/>
      <c r="C489" s="10"/>
      <c r="D489" s="10"/>
      <c r="E489" s="10"/>
      <c r="F489" s="4" t="s">
        <v>5</v>
      </c>
      <c r="G489" s="4" t="s">
        <v>6</v>
      </c>
      <c r="H489" s="4" t="s">
        <v>7</v>
      </c>
      <c r="I489" s="4" t="s">
        <v>8</v>
      </c>
      <c r="J489" s="4" t="s">
        <v>9</v>
      </c>
      <c r="K489" s="4" t="s">
        <v>10</v>
      </c>
      <c r="L489" s="28"/>
      <c r="M489" s="7"/>
      <c r="N489" s="27"/>
      <c r="O489" s="7"/>
      <c r="P489" s="7"/>
      <c r="Q489" s="7"/>
      <c r="R489" s="7"/>
      <c r="S489" s="7"/>
      <c r="T489" s="7"/>
      <c r="U489" s="7"/>
      <c r="V489" s="7"/>
      <c r="W489" s="7"/>
      <c r="X489" s="7"/>
      <c r="Y489" s="7"/>
      <c r="Z489" s="7"/>
      <c r="AA489" s="7"/>
      <c r="AB489" s="7"/>
      <c r="AC489" s="7"/>
      <c r="AD489" s="7"/>
      <c r="AE489" s="7"/>
      <c r="AF489" s="7"/>
    </row>
    <row r="490" spans="1:32" ht="12" customHeight="1">
      <c r="A490" s="78" t="s">
        <v>406</v>
      </c>
      <c r="B490" s="10"/>
      <c r="C490" s="10"/>
      <c r="D490" s="10"/>
      <c r="E490" s="10"/>
      <c r="F490" s="80" t="s">
        <v>407</v>
      </c>
      <c r="G490" s="80" t="s">
        <v>408</v>
      </c>
      <c r="H490" s="80" t="s">
        <v>409</v>
      </c>
      <c r="I490" s="80" t="s">
        <v>410</v>
      </c>
      <c r="J490" s="80" t="s">
        <v>411</v>
      </c>
      <c r="K490" s="80" t="s">
        <v>307</v>
      </c>
      <c r="L490" s="28"/>
      <c r="M490" s="7"/>
      <c r="N490" s="27"/>
      <c r="O490" s="7"/>
      <c r="P490" s="7"/>
      <c r="Q490" s="7"/>
      <c r="R490" s="7"/>
      <c r="S490" s="7"/>
      <c r="T490" s="7"/>
      <c r="U490" s="7"/>
      <c r="V490" s="7"/>
      <c r="W490" s="7"/>
      <c r="X490" s="7"/>
      <c r="Y490" s="7"/>
      <c r="Z490" s="7"/>
      <c r="AA490" s="7"/>
      <c r="AB490" s="7"/>
      <c r="AC490" s="7"/>
      <c r="AD490" s="7"/>
      <c r="AE490" s="7"/>
      <c r="AF490" s="7"/>
    </row>
    <row r="491" spans="1:32" ht="12" customHeight="1">
      <c r="A491" s="61" t="s">
        <v>412</v>
      </c>
      <c r="B491" s="10">
        <v>20</v>
      </c>
      <c r="C491" s="10">
        <v>1</v>
      </c>
      <c r="D491" s="2" t="s">
        <v>309</v>
      </c>
      <c r="E491" s="10"/>
      <c r="F491" s="81">
        <v>20</v>
      </c>
      <c r="G491" s="81"/>
      <c r="H491" s="81"/>
      <c r="I491" s="81"/>
      <c r="J491" s="81"/>
      <c r="K491" s="15" t="s">
        <v>31</v>
      </c>
      <c r="L491" s="15" t="s">
        <v>31</v>
      </c>
      <c r="M491" s="7"/>
      <c r="N491" s="27"/>
      <c r="O491" s="7"/>
      <c r="P491" s="7"/>
      <c r="Q491" s="7"/>
      <c r="R491" s="7"/>
      <c r="S491" s="7"/>
      <c r="T491" s="7"/>
      <c r="U491" s="7"/>
      <c r="V491" s="7"/>
      <c r="W491" s="7"/>
      <c r="X491" s="7"/>
      <c r="Y491" s="7"/>
      <c r="Z491" s="7"/>
      <c r="AA491" s="7"/>
      <c r="AB491" s="7"/>
      <c r="AC491" s="7"/>
      <c r="AD491" s="7"/>
      <c r="AE491" s="7"/>
      <c r="AF491" s="7"/>
    </row>
    <row r="492" spans="1:32" ht="12" customHeight="1">
      <c r="A492" s="61" t="s">
        <v>413</v>
      </c>
      <c r="B492" s="10">
        <v>20</v>
      </c>
      <c r="C492" s="10">
        <v>2</v>
      </c>
      <c r="D492" s="2" t="s">
        <v>309</v>
      </c>
      <c r="E492" s="10"/>
      <c r="F492" s="82" t="s">
        <v>414</v>
      </c>
      <c r="G492" s="82"/>
      <c r="H492" s="81"/>
      <c r="I492" s="81"/>
      <c r="J492" s="81"/>
      <c r="K492" s="15" t="s">
        <v>31</v>
      </c>
      <c r="L492" s="15" t="s">
        <v>31</v>
      </c>
      <c r="M492" s="7"/>
      <c r="N492" s="27"/>
      <c r="O492" s="7"/>
      <c r="P492" s="7"/>
      <c r="Q492" s="7"/>
      <c r="R492" s="7"/>
      <c r="S492" s="7"/>
      <c r="T492" s="7"/>
      <c r="U492" s="7"/>
      <c r="V492" s="7"/>
      <c r="W492" s="7"/>
      <c r="X492" s="7"/>
      <c r="Y492" s="7"/>
      <c r="Z492" s="7"/>
      <c r="AA492" s="7"/>
      <c r="AB492" s="7"/>
      <c r="AC492" s="7"/>
      <c r="AD492" s="7"/>
      <c r="AE492" s="7"/>
      <c r="AF492" s="7"/>
    </row>
    <row r="493" spans="1:32" ht="12" customHeight="1">
      <c r="A493" s="61" t="s">
        <v>415</v>
      </c>
      <c r="B493" s="10">
        <v>20</v>
      </c>
      <c r="C493" s="10">
        <v>3</v>
      </c>
      <c r="D493" s="2" t="s">
        <v>309</v>
      </c>
      <c r="E493" s="10"/>
      <c r="F493" s="82" t="s">
        <v>416</v>
      </c>
      <c r="G493" s="82"/>
      <c r="H493" s="81"/>
      <c r="I493" s="81"/>
      <c r="J493" s="81"/>
      <c r="K493" s="15" t="s">
        <v>31</v>
      </c>
      <c r="L493" s="15" t="s">
        <v>31</v>
      </c>
      <c r="M493" s="7"/>
      <c r="N493" s="27"/>
      <c r="O493" s="7"/>
      <c r="P493" s="7"/>
      <c r="Q493" s="7"/>
      <c r="R493" s="7"/>
      <c r="S493" s="7"/>
      <c r="T493" s="7"/>
      <c r="U493" s="7"/>
      <c r="V493" s="7"/>
      <c r="W493" s="7"/>
      <c r="X493" s="7"/>
      <c r="Y493" s="7"/>
      <c r="Z493" s="7"/>
      <c r="AA493" s="7"/>
      <c r="AB493" s="7"/>
      <c r="AC493" s="7"/>
      <c r="AD493" s="7"/>
      <c r="AE493" s="7"/>
      <c r="AF493" s="7"/>
    </row>
    <row r="494" spans="1:32" ht="12" customHeight="1">
      <c r="A494" s="61" t="s">
        <v>417</v>
      </c>
      <c r="B494" s="10">
        <v>20</v>
      </c>
      <c r="C494" s="10">
        <v>4</v>
      </c>
      <c r="D494" s="2" t="s">
        <v>309</v>
      </c>
      <c r="E494" s="10"/>
      <c r="F494" s="16">
        <v>4975910</v>
      </c>
      <c r="G494" s="16"/>
      <c r="H494" s="16"/>
      <c r="I494" s="16"/>
      <c r="J494" s="16"/>
      <c r="K494" s="15" t="s">
        <v>31</v>
      </c>
      <c r="L494" s="15" t="s">
        <v>31</v>
      </c>
      <c r="M494" s="7"/>
      <c r="N494" s="27"/>
      <c r="O494" s="7"/>
      <c r="P494" s="7"/>
      <c r="Q494" s="7"/>
      <c r="R494" s="7"/>
      <c r="S494" s="7"/>
      <c r="T494" s="7"/>
      <c r="U494" s="7"/>
      <c r="V494" s="7"/>
      <c r="W494" s="7"/>
      <c r="X494" s="7"/>
      <c r="Y494" s="7"/>
      <c r="Z494" s="7"/>
      <c r="AA494" s="7"/>
      <c r="AB494" s="7"/>
      <c r="AC494" s="7"/>
      <c r="AD494" s="7"/>
      <c r="AE494" s="7"/>
      <c r="AF494" s="7"/>
    </row>
    <row r="495" spans="1:32" ht="12" customHeight="1">
      <c r="A495" s="61" t="s">
        <v>418</v>
      </c>
      <c r="B495" s="10">
        <v>20</v>
      </c>
      <c r="C495" s="10">
        <v>5</v>
      </c>
      <c r="D495" s="2" t="s">
        <v>309</v>
      </c>
      <c r="E495" s="10"/>
      <c r="F495" s="83" t="s">
        <v>419</v>
      </c>
      <c r="G495" s="16"/>
      <c r="H495" s="16"/>
      <c r="I495" s="16"/>
      <c r="J495" s="16"/>
      <c r="K495" s="15" t="s">
        <v>31</v>
      </c>
      <c r="L495" s="15" t="s">
        <v>31</v>
      </c>
      <c r="M495" s="7"/>
      <c r="N495" s="27"/>
      <c r="O495" s="7"/>
      <c r="P495" s="7"/>
      <c r="Q495" s="7"/>
      <c r="R495" s="7"/>
      <c r="S495" s="7"/>
      <c r="T495" s="7"/>
      <c r="U495" s="7"/>
      <c r="V495" s="7"/>
      <c r="W495" s="7"/>
      <c r="X495" s="7"/>
      <c r="Y495" s="7"/>
      <c r="Z495" s="7"/>
      <c r="AA495" s="7"/>
      <c r="AB495" s="7"/>
      <c r="AC495" s="7"/>
      <c r="AD495" s="7"/>
      <c r="AE495" s="7"/>
      <c r="AF495" s="7"/>
    </row>
    <row r="496" spans="1:32" ht="12" customHeight="1">
      <c r="A496" s="61" t="s">
        <v>420</v>
      </c>
      <c r="B496" s="10">
        <v>20</v>
      </c>
      <c r="C496" s="10">
        <v>6</v>
      </c>
      <c r="D496" s="2" t="s">
        <v>309</v>
      </c>
      <c r="E496" s="10"/>
      <c r="F496" s="16">
        <v>2195000</v>
      </c>
      <c r="G496" s="16"/>
      <c r="H496" s="16"/>
      <c r="I496" s="16"/>
      <c r="J496" s="16"/>
      <c r="K496" s="28">
        <f t="shared" ref="K496:K504" si="85">SUM(F496:J496)</f>
        <v>2195000</v>
      </c>
      <c r="L496" s="15" t="s">
        <v>31</v>
      </c>
      <c r="M496" s="7"/>
      <c r="N496" s="27"/>
      <c r="O496" s="7"/>
      <c r="P496" s="7"/>
      <c r="Q496" s="7"/>
      <c r="R496" s="7"/>
      <c r="S496" s="7"/>
      <c r="T496" s="7"/>
      <c r="U496" s="7"/>
      <c r="V496" s="7"/>
      <c r="W496" s="7"/>
      <c r="X496" s="7"/>
      <c r="Y496" s="7"/>
      <c r="Z496" s="7"/>
      <c r="AA496" s="7"/>
      <c r="AB496" s="7"/>
      <c r="AC496" s="7"/>
      <c r="AD496" s="7"/>
      <c r="AE496" s="7"/>
      <c r="AF496" s="7"/>
    </row>
    <row r="497" spans="1:32" ht="12" customHeight="1">
      <c r="A497" s="61" t="s">
        <v>421</v>
      </c>
      <c r="B497" s="10">
        <v>20</v>
      </c>
      <c r="C497" s="10">
        <v>7</v>
      </c>
      <c r="D497" s="2" t="s">
        <v>309</v>
      </c>
      <c r="E497" s="10"/>
      <c r="F497" s="16"/>
      <c r="G497" s="16"/>
      <c r="H497" s="16"/>
      <c r="I497" s="16"/>
      <c r="J497" s="16"/>
      <c r="K497" s="28">
        <f t="shared" si="85"/>
        <v>0</v>
      </c>
      <c r="L497" s="15" t="s">
        <v>31</v>
      </c>
      <c r="M497" s="7"/>
      <c r="N497" s="27"/>
      <c r="O497" s="7"/>
      <c r="P497" s="7"/>
      <c r="Q497" s="7"/>
      <c r="R497" s="7"/>
      <c r="S497" s="7"/>
      <c r="T497" s="7"/>
      <c r="U497" s="7"/>
      <c r="V497" s="7"/>
      <c r="W497" s="7"/>
      <c r="X497" s="7"/>
      <c r="Y497" s="7"/>
      <c r="Z497" s="7"/>
      <c r="AA497" s="7"/>
      <c r="AB497" s="7"/>
      <c r="AC497" s="7"/>
      <c r="AD497" s="7"/>
      <c r="AE497" s="7"/>
      <c r="AF497" s="7"/>
    </row>
    <row r="498" spans="1:32" ht="12" customHeight="1">
      <c r="A498" s="61" t="s">
        <v>422</v>
      </c>
      <c r="B498" s="10">
        <v>20</v>
      </c>
      <c r="C498" s="10">
        <v>8</v>
      </c>
      <c r="D498" s="2" t="s">
        <v>309</v>
      </c>
      <c r="E498" s="10"/>
      <c r="F498" s="16">
        <v>245000</v>
      </c>
      <c r="G498" s="16"/>
      <c r="H498" s="16"/>
      <c r="I498" s="16"/>
      <c r="J498" s="16"/>
      <c r="K498" s="28">
        <f t="shared" si="85"/>
        <v>245000</v>
      </c>
      <c r="L498" s="15" t="s">
        <v>31</v>
      </c>
      <c r="M498" s="7"/>
      <c r="N498" s="27"/>
      <c r="O498" s="7"/>
      <c r="P498" s="7"/>
      <c r="Q498" s="7"/>
      <c r="R498" s="7"/>
      <c r="S498" s="7"/>
      <c r="T498" s="7"/>
      <c r="U498" s="7"/>
      <c r="V498" s="7"/>
      <c r="W498" s="7"/>
      <c r="X498" s="7"/>
      <c r="Y498" s="7"/>
      <c r="Z498" s="7"/>
      <c r="AA498" s="7"/>
      <c r="AB498" s="7"/>
      <c r="AC498" s="7"/>
      <c r="AD498" s="7"/>
      <c r="AE498" s="7"/>
      <c r="AF498" s="7"/>
    </row>
    <row r="499" spans="1:32" ht="12" customHeight="1">
      <c r="A499" s="84" t="s">
        <v>423</v>
      </c>
      <c r="B499" s="85">
        <v>20</v>
      </c>
      <c r="C499" s="85">
        <v>9</v>
      </c>
      <c r="D499" s="86" t="s">
        <v>309</v>
      </c>
      <c r="E499" s="85"/>
      <c r="F499" s="87">
        <f>F496-F498</f>
        <v>1950000</v>
      </c>
      <c r="G499" s="87"/>
      <c r="H499" s="87"/>
      <c r="I499" s="87"/>
      <c r="J499" s="87"/>
      <c r="K499" s="88">
        <f t="shared" si="85"/>
        <v>1950000</v>
      </c>
      <c r="L499" s="89" t="s">
        <v>31</v>
      </c>
      <c r="M499" s="7"/>
      <c r="N499" s="27"/>
      <c r="O499" s="7"/>
      <c r="P499" s="7"/>
      <c r="Q499" s="7"/>
      <c r="R499" s="7"/>
      <c r="S499" s="7"/>
      <c r="T499" s="7"/>
      <c r="U499" s="7"/>
      <c r="V499" s="7"/>
      <c r="W499" s="7"/>
      <c r="X499" s="7"/>
      <c r="Y499" s="7"/>
      <c r="Z499" s="7"/>
      <c r="AA499" s="7"/>
      <c r="AB499" s="7"/>
      <c r="AC499" s="7"/>
      <c r="AD499" s="7"/>
      <c r="AE499" s="7"/>
      <c r="AF499" s="7"/>
    </row>
    <row r="500" spans="1:32" ht="12" customHeight="1">
      <c r="A500" s="61" t="s">
        <v>424</v>
      </c>
      <c r="B500" s="10">
        <v>20</v>
      </c>
      <c r="C500" s="10">
        <v>10</v>
      </c>
      <c r="D500" s="2" t="s">
        <v>309</v>
      </c>
      <c r="E500" s="10"/>
      <c r="F500" s="16">
        <f>600303-K262</f>
        <v>518254.75</v>
      </c>
      <c r="G500" s="16"/>
      <c r="H500" s="16"/>
      <c r="I500" s="16"/>
      <c r="J500" s="16"/>
      <c r="K500" s="28">
        <f t="shared" si="85"/>
        <v>518254.75</v>
      </c>
      <c r="L500" s="15" t="s">
        <v>31</v>
      </c>
      <c r="M500" s="7"/>
      <c r="N500" s="27"/>
      <c r="O500" s="7"/>
      <c r="P500" s="7"/>
      <c r="Q500" s="7"/>
      <c r="R500" s="7"/>
      <c r="S500" s="7"/>
      <c r="T500" s="7"/>
      <c r="U500" s="7"/>
      <c r="V500" s="7"/>
      <c r="W500" s="7"/>
      <c r="X500" s="7"/>
      <c r="Y500" s="7"/>
      <c r="Z500" s="7"/>
      <c r="AA500" s="7"/>
      <c r="AB500" s="7"/>
      <c r="AC500" s="7"/>
      <c r="AD500" s="7"/>
      <c r="AE500" s="7"/>
      <c r="AF500" s="7"/>
    </row>
    <row r="501" spans="1:32" ht="12" customHeight="1">
      <c r="A501" s="60" t="s">
        <v>425</v>
      </c>
      <c r="B501" s="40">
        <v>20</v>
      </c>
      <c r="C501" s="40">
        <v>11</v>
      </c>
      <c r="D501" s="20" t="s">
        <v>309</v>
      </c>
      <c r="E501" s="40"/>
      <c r="F501" s="47">
        <f t="shared" ref="F501:J501" si="86">SUM(F499:F500)</f>
        <v>2468254.75</v>
      </c>
      <c r="G501" s="47">
        <f t="shared" si="86"/>
        <v>0</v>
      </c>
      <c r="H501" s="47">
        <f t="shared" si="86"/>
        <v>0</v>
      </c>
      <c r="I501" s="47">
        <f t="shared" si="86"/>
        <v>0</v>
      </c>
      <c r="J501" s="47">
        <f t="shared" si="86"/>
        <v>0</v>
      </c>
      <c r="K501" s="47">
        <f t="shared" si="85"/>
        <v>2468254.75</v>
      </c>
      <c r="L501" s="23" t="s">
        <v>31</v>
      </c>
      <c r="M501" s="7"/>
      <c r="N501" s="27"/>
      <c r="O501" s="7"/>
      <c r="P501" s="7"/>
      <c r="Q501" s="7"/>
      <c r="R501" s="7"/>
      <c r="S501" s="7"/>
      <c r="T501" s="7"/>
      <c r="U501" s="7"/>
      <c r="V501" s="7"/>
      <c r="W501" s="7"/>
      <c r="X501" s="7"/>
      <c r="Y501" s="7"/>
      <c r="Z501" s="7"/>
      <c r="AA501" s="7"/>
      <c r="AB501" s="7"/>
      <c r="AC501" s="7"/>
      <c r="AD501" s="7"/>
      <c r="AE501" s="7"/>
      <c r="AF501" s="7"/>
    </row>
    <row r="502" spans="1:32" ht="12" customHeight="1">
      <c r="A502" s="84" t="s">
        <v>426</v>
      </c>
      <c r="B502" s="85">
        <v>20</v>
      </c>
      <c r="C502" s="85">
        <v>12</v>
      </c>
      <c r="D502" s="86" t="s">
        <v>309</v>
      </c>
      <c r="E502" s="85"/>
      <c r="F502" s="87">
        <v>245000</v>
      </c>
      <c r="G502" s="87"/>
      <c r="H502" s="87"/>
      <c r="I502" s="87"/>
      <c r="J502" s="87"/>
      <c r="K502" s="88">
        <f t="shared" si="85"/>
        <v>245000</v>
      </c>
      <c r="L502" s="89" t="s">
        <v>31</v>
      </c>
      <c r="M502" s="7"/>
      <c r="N502" s="27"/>
      <c r="O502" s="7"/>
      <c r="P502" s="7"/>
      <c r="Q502" s="7"/>
      <c r="R502" s="7"/>
      <c r="S502" s="7"/>
      <c r="T502" s="7"/>
      <c r="U502" s="7"/>
      <c r="V502" s="7"/>
      <c r="W502" s="7"/>
      <c r="X502" s="7"/>
      <c r="Y502" s="7"/>
      <c r="Z502" s="7"/>
      <c r="AA502" s="7"/>
      <c r="AB502" s="7"/>
      <c r="AC502" s="7"/>
      <c r="AD502" s="7"/>
      <c r="AE502" s="7"/>
      <c r="AF502" s="7"/>
    </row>
    <row r="503" spans="1:32" ht="12" customHeight="1">
      <c r="A503" s="61" t="s">
        <v>427</v>
      </c>
      <c r="B503" s="10">
        <v>20</v>
      </c>
      <c r="C503" s="10">
        <v>13</v>
      </c>
      <c r="D503" s="2" t="s">
        <v>309</v>
      </c>
      <c r="E503" s="10"/>
      <c r="F503" s="16">
        <f>55979.58+38829.98</f>
        <v>94809.56</v>
      </c>
      <c r="G503" s="16"/>
      <c r="H503" s="16"/>
      <c r="I503" s="16"/>
      <c r="J503" s="16"/>
      <c r="K503" s="28">
        <f t="shared" si="85"/>
        <v>94809.56</v>
      </c>
      <c r="L503" s="15" t="s">
        <v>31</v>
      </c>
      <c r="M503" s="7"/>
      <c r="N503" s="27"/>
      <c r="O503" s="7"/>
      <c r="P503" s="7"/>
      <c r="Q503" s="7"/>
      <c r="R503" s="7"/>
      <c r="S503" s="7"/>
      <c r="T503" s="7"/>
      <c r="U503" s="7"/>
      <c r="V503" s="7"/>
      <c r="W503" s="7"/>
      <c r="X503" s="7"/>
      <c r="Y503" s="7"/>
      <c r="Z503" s="7"/>
      <c r="AA503" s="7"/>
      <c r="AB503" s="7"/>
      <c r="AC503" s="7"/>
      <c r="AD503" s="7"/>
      <c r="AE503" s="7"/>
      <c r="AF503" s="7"/>
    </row>
    <row r="504" spans="1:32" ht="12" customHeight="1">
      <c r="A504" s="60" t="s">
        <v>428</v>
      </c>
      <c r="B504" s="40">
        <v>20</v>
      </c>
      <c r="C504" s="40">
        <v>14</v>
      </c>
      <c r="D504" s="20" t="s">
        <v>309</v>
      </c>
      <c r="E504" s="40"/>
      <c r="F504" s="47">
        <f t="shared" ref="F504:J504" si="87">SUM(F502:F503)</f>
        <v>339809.56</v>
      </c>
      <c r="G504" s="47">
        <f t="shared" si="87"/>
        <v>0</v>
      </c>
      <c r="H504" s="47">
        <f t="shared" si="87"/>
        <v>0</v>
      </c>
      <c r="I504" s="47">
        <f t="shared" si="87"/>
        <v>0</v>
      </c>
      <c r="J504" s="47">
        <f t="shared" si="87"/>
        <v>0</v>
      </c>
      <c r="K504" s="47">
        <f t="shared" si="85"/>
        <v>339809.56</v>
      </c>
      <c r="L504" s="23" t="s">
        <v>31</v>
      </c>
      <c r="M504" s="7"/>
      <c r="N504" s="27"/>
      <c r="O504" s="7"/>
      <c r="P504" s="7"/>
      <c r="Q504" s="7"/>
      <c r="R504" s="7"/>
      <c r="S504" s="7"/>
      <c r="T504" s="7"/>
      <c r="U504" s="7"/>
      <c r="V504" s="7"/>
      <c r="W504" s="7"/>
      <c r="X504" s="7"/>
      <c r="Y504" s="7"/>
      <c r="Z504" s="7"/>
      <c r="AA504" s="7"/>
      <c r="AB504" s="7"/>
      <c r="AC504" s="7"/>
      <c r="AD504" s="7"/>
      <c r="AE504" s="7"/>
      <c r="AF504" s="7"/>
    </row>
    <row r="505" spans="1:32" ht="12" customHeight="1">
      <c r="A505" s="78"/>
      <c r="B505" s="10"/>
      <c r="C505" s="10"/>
      <c r="D505" s="10"/>
      <c r="E505" s="10"/>
      <c r="F505" s="45"/>
      <c r="G505" s="45"/>
      <c r="H505" s="90"/>
      <c r="I505" s="90"/>
      <c r="J505" s="90"/>
      <c r="K505" s="90"/>
      <c r="L505" s="90"/>
      <c r="M505" s="7"/>
      <c r="N505" s="27"/>
      <c r="O505" s="7"/>
      <c r="P505" s="7"/>
      <c r="Q505" s="7"/>
      <c r="R505" s="7"/>
      <c r="S505" s="7"/>
      <c r="T505" s="7"/>
      <c r="U505" s="7"/>
      <c r="V505" s="7"/>
      <c r="W505" s="7"/>
      <c r="X505" s="7"/>
      <c r="Y505" s="7"/>
      <c r="Z505" s="7"/>
      <c r="AA505" s="7"/>
      <c r="AB505" s="7"/>
      <c r="AC505" s="7"/>
      <c r="AD505" s="7"/>
      <c r="AE505" s="7"/>
      <c r="AF505" s="7"/>
    </row>
    <row r="506" spans="1:32" ht="12" customHeight="1">
      <c r="A506" s="7"/>
      <c r="B506" s="7"/>
      <c r="C506" s="10"/>
      <c r="D506" s="10"/>
      <c r="E506" s="10"/>
      <c r="F506" s="45"/>
      <c r="G506" s="45"/>
      <c r="H506" s="90"/>
      <c r="I506" s="90"/>
      <c r="J506" s="90"/>
      <c r="K506" s="90"/>
      <c r="L506" s="90"/>
      <c r="M506" s="7"/>
      <c r="N506" s="27"/>
      <c r="O506" s="7"/>
      <c r="P506" s="7"/>
      <c r="Q506" s="7"/>
      <c r="R506" s="7"/>
      <c r="S506" s="7"/>
      <c r="T506" s="7"/>
      <c r="U506" s="7"/>
      <c r="V506" s="7"/>
      <c r="W506" s="7"/>
      <c r="X506" s="7"/>
      <c r="Y506" s="7"/>
      <c r="Z506" s="7"/>
      <c r="AA506" s="7"/>
      <c r="AB506" s="7"/>
      <c r="AC506" s="7"/>
      <c r="AD506" s="7"/>
      <c r="AE506" s="7"/>
      <c r="AF506" s="7"/>
    </row>
    <row r="507" spans="1:32" ht="12" customHeight="1">
      <c r="A507" s="7"/>
      <c r="B507" s="10"/>
      <c r="C507" s="7"/>
      <c r="D507" s="7"/>
      <c r="E507" s="7"/>
      <c r="F507" s="7" t="s">
        <v>429</v>
      </c>
      <c r="G507" s="45" t="s">
        <v>430</v>
      </c>
      <c r="H507" s="45" t="s">
        <v>431</v>
      </c>
      <c r="I507" s="90" t="s">
        <v>432</v>
      </c>
      <c r="J507" s="15" t="s">
        <v>31</v>
      </c>
      <c r="K507" s="15" t="s">
        <v>31</v>
      </c>
      <c r="L507" s="15" t="s">
        <v>31</v>
      </c>
      <c r="M507" s="7"/>
      <c r="N507" s="27"/>
      <c r="O507" s="7"/>
      <c r="P507" s="7"/>
      <c r="Q507" s="7"/>
      <c r="R507" s="7"/>
      <c r="S507" s="7"/>
      <c r="T507" s="7"/>
      <c r="U507" s="7"/>
      <c r="V507" s="7"/>
      <c r="W507" s="7"/>
      <c r="X507" s="7"/>
      <c r="Y507" s="7"/>
      <c r="Z507" s="7"/>
      <c r="AA507" s="7"/>
      <c r="AB507" s="7"/>
      <c r="AC507" s="7"/>
      <c r="AD507" s="7"/>
      <c r="AE507" s="7"/>
      <c r="AF507" s="7"/>
    </row>
    <row r="508" spans="1:32" ht="12" customHeight="1">
      <c r="A508" s="78" t="s">
        <v>433</v>
      </c>
      <c r="B508" s="10">
        <v>20</v>
      </c>
      <c r="C508" s="10">
        <v>15</v>
      </c>
      <c r="D508" s="2" t="s">
        <v>309</v>
      </c>
      <c r="E508" s="10"/>
      <c r="F508" s="28"/>
      <c r="G508" s="28"/>
      <c r="H508" s="28"/>
      <c r="I508" s="28"/>
      <c r="J508" s="15" t="s">
        <v>31</v>
      </c>
      <c r="K508" s="15" t="s">
        <v>31</v>
      </c>
      <c r="L508" s="15" t="s">
        <v>31</v>
      </c>
      <c r="M508" s="7"/>
      <c r="N508" s="27"/>
      <c r="O508" s="7"/>
      <c r="P508" s="7"/>
      <c r="Q508" s="7"/>
      <c r="R508" s="7"/>
      <c r="S508" s="7"/>
      <c r="T508" s="7"/>
      <c r="U508" s="7"/>
      <c r="V508" s="7"/>
      <c r="W508" s="7"/>
      <c r="X508" s="7"/>
      <c r="Y508" s="7"/>
      <c r="Z508" s="7"/>
      <c r="AA508" s="7"/>
      <c r="AB508" s="7"/>
      <c r="AC508" s="7"/>
      <c r="AD508" s="7"/>
      <c r="AE508" s="7"/>
      <c r="AF508" s="7"/>
    </row>
    <row r="509" spans="1:32" ht="12" customHeight="1">
      <c r="A509" s="78" t="s">
        <v>434</v>
      </c>
      <c r="B509" s="61"/>
      <c r="C509" s="61"/>
      <c r="D509" s="61"/>
      <c r="E509" s="61"/>
      <c r="F509" s="61"/>
      <c r="G509" s="61"/>
      <c r="H509" s="61"/>
      <c r="I509" s="61"/>
      <c r="J509" s="28"/>
      <c r="K509" s="28"/>
      <c r="L509" s="28"/>
      <c r="M509" s="7"/>
      <c r="N509" s="27"/>
      <c r="O509" s="7"/>
      <c r="P509" s="7"/>
      <c r="Q509" s="7"/>
      <c r="R509" s="7"/>
      <c r="S509" s="7"/>
      <c r="T509" s="7"/>
      <c r="U509" s="7"/>
      <c r="V509" s="7"/>
      <c r="W509" s="7"/>
      <c r="X509" s="7"/>
      <c r="Y509" s="7"/>
      <c r="Z509" s="7"/>
      <c r="AA509" s="7"/>
      <c r="AB509" s="7"/>
      <c r="AC509" s="7"/>
      <c r="AD509" s="7"/>
      <c r="AE509" s="7"/>
      <c r="AF509" s="7"/>
    </row>
    <row r="510" spans="1:32" ht="12" customHeight="1">
      <c r="A510" s="79" t="s">
        <v>435</v>
      </c>
      <c r="B510" s="61"/>
      <c r="C510" s="61"/>
      <c r="D510" s="61"/>
      <c r="E510" s="61"/>
      <c r="F510" s="259" t="s">
        <v>436</v>
      </c>
      <c r="G510" s="260"/>
      <c r="H510" s="261" t="s">
        <v>437</v>
      </c>
      <c r="I510" s="260"/>
      <c r="J510" s="28"/>
      <c r="K510" s="28"/>
      <c r="L510" s="28"/>
      <c r="M510" s="7"/>
      <c r="N510" s="27"/>
      <c r="O510" s="7"/>
      <c r="P510" s="7"/>
      <c r="Q510" s="7"/>
      <c r="R510" s="7"/>
      <c r="S510" s="7"/>
      <c r="T510" s="7"/>
      <c r="U510" s="7"/>
      <c r="V510" s="7"/>
      <c r="W510" s="7"/>
      <c r="X510" s="7"/>
      <c r="Y510" s="7"/>
      <c r="Z510" s="7"/>
      <c r="AA510" s="7"/>
      <c r="AB510" s="7"/>
      <c r="AC510" s="7"/>
      <c r="AD510" s="7"/>
      <c r="AE510" s="7"/>
      <c r="AF510" s="7"/>
    </row>
    <row r="511" spans="1:32" ht="12" customHeight="1">
      <c r="A511" s="78"/>
      <c r="B511" s="61"/>
      <c r="C511" s="61"/>
      <c r="D511" s="61"/>
      <c r="E511" s="61"/>
      <c r="F511" s="91" t="s">
        <v>438</v>
      </c>
      <c r="G511" s="91" t="s">
        <v>439</v>
      </c>
      <c r="H511" s="92" t="s">
        <v>438</v>
      </c>
      <c r="I511" s="92" t="s">
        <v>439</v>
      </c>
      <c r="J511" s="28"/>
      <c r="K511" s="28"/>
      <c r="L511" s="28"/>
      <c r="M511" s="7"/>
      <c r="N511" s="27"/>
      <c r="O511" s="7"/>
      <c r="P511" s="7"/>
      <c r="Q511" s="7"/>
      <c r="R511" s="7"/>
      <c r="S511" s="7"/>
      <c r="T511" s="7"/>
      <c r="U511" s="7"/>
      <c r="V511" s="7"/>
      <c r="W511" s="7"/>
      <c r="X511" s="7"/>
      <c r="Y511" s="7"/>
      <c r="Z511" s="7"/>
      <c r="AA511" s="7"/>
      <c r="AB511" s="7"/>
      <c r="AC511" s="7"/>
      <c r="AD511" s="7"/>
      <c r="AE511" s="7"/>
      <c r="AF511" s="7"/>
    </row>
    <row r="512" spans="1:32" ht="12" customHeight="1">
      <c r="A512" s="61" t="s">
        <v>440</v>
      </c>
      <c r="B512" s="10">
        <v>20</v>
      </c>
      <c r="C512" s="10">
        <v>16</v>
      </c>
      <c r="D512" s="2" t="s">
        <v>309</v>
      </c>
      <c r="E512" s="10">
        <v>210</v>
      </c>
      <c r="F512" s="16"/>
      <c r="G512" s="15" t="s">
        <v>31</v>
      </c>
      <c r="H512" s="16"/>
      <c r="I512" s="15" t="s">
        <v>31</v>
      </c>
      <c r="J512" s="15" t="s">
        <v>31</v>
      </c>
      <c r="K512" s="15" t="s">
        <v>31</v>
      </c>
      <c r="L512" s="15" t="s">
        <v>31</v>
      </c>
      <c r="M512" s="7"/>
      <c r="N512" s="27"/>
      <c r="O512" s="7"/>
      <c r="P512" s="7"/>
      <c r="Q512" s="7"/>
      <c r="R512" s="7"/>
      <c r="S512" s="7"/>
      <c r="T512" s="7"/>
      <c r="U512" s="7"/>
      <c r="V512" s="7"/>
      <c r="W512" s="7"/>
      <c r="X512" s="7"/>
      <c r="Y512" s="7"/>
      <c r="Z512" s="7"/>
      <c r="AA512" s="7"/>
      <c r="AB512" s="7"/>
      <c r="AC512" s="7"/>
      <c r="AD512" s="7"/>
      <c r="AE512" s="7"/>
      <c r="AF512" s="7"/>
    </row>
    <row r="513" spans="1:32" ht="12" customHeight="1">
      <c r="A513" s="61" t="s">
        <v>441</v>
      </c>
      <c r="B513" s="10">
        <v>20</v>
      </c>
      <c r="C513" s="10">
        <v>17</v>
      </c>
      <c r="D513" s="2" t="s">
        <v>309</v>
      </c>
      <c r="E513" s="10">
        <v>220</v>
      </c>
      <c r="F513" s="16"/>
      <c r="G513" s="15" t="s">
        <v>31</v>
      </c>
      <c r="H513" s="16"/>
      <c r="I513" s="15" t="s">
        <v>31</v>
      </c>
      <c r="J513" s="15" t="s">
        <v>31</v>
      </c>
      <c r="K513" s="15" t="s">
        <v>31</v>
      </c>
      <c r="L513" s="15" t="s">
        <v>31</v>
      </c>
      <c r="M513" s="7"/>
      <c r="N513" s="27"/>
      <c r="O513" s="7"/>
      <c r="P513" s="7"/>
      <c r="Q513" s="7"/>
      <c r="R513" s="7"/>
      <c r="S513" s="7"/>
      <c r="T513" s="7"/>
      <c r="U513" s="7"/>
      <c r="V513" s="7"/>
      <c r="W513" s="7"/>
      <c r="X513" s="7"/>
      <c r="Y513" s="7"/>
      <c r="Z513" s="7"/>
      <c r="AA513" s="7"/>
      <c r="AB513" s="7"/>
      <c r="AC513" s="7"/>
      <c r="AD513" s="7"/>
      <c r="AE513" s="7"/>
      <c r="AF513" s="7"/>
    </row>
    <row r="514" spans="1:32" ht="12" customHeight="1">
      <c r="A514" s="61" t="s">
        <v>442</v>
      </c>
      <c r="B514" s="10">
        <v>20</v>
      </c>
      <c r="C514" s="10">
        <v>18</v>
      </c>
      <c r="D514" s="2" t="s">
        <v>309</v>
      </c>
      <c r="E514" s="10">
        <v>230</v>
      </c>
      <c r="F514" s="16"/>
      <c r="G514" s="15" t="s">
        <v>31</v>
      </c>
      <c r="H514" s="16"/>
      <c r="I514" s="15" t="s">
        <v>31</v>
      </c>
      <c r="J514" s="15" t="s">
        <v>31</v>
      </c>
      <c r="K514" s="15" t="s">
        <v>31</v>
      </c>
      <c r="L514" s="15" t="s">
        <v>31</v>
      </c>
      <c r="M514" s="7"/>
      <c r="N514" s="27"/>
      <c r="O514" s="7"/>
      <c r="P514" s="7"/>
      <c r="Q514" s="7"/>
      <c r="R514" s="7"/>
      <c r="S514" s="7"/>
      <c r="T514" s="7"/>
      <c r="U514" s="7"/>
      <c r="V514" s="7"/>
      <c r="W514" s="7"/>
      <c r="X514" s="7"/>
      <c r="Y514" s="7"/>
      <c r="Z514" s="7"/>
      <c r="AA514" s="7"/>
      <c r="AB514" s="7"/>
      <c r="AC514" s="7"/>
      <c r="AD514" s="7"/>
      <c r="AE514" s="7"/>
      <c r="AF514" s="7"/>
    </row>
    <row r="515" spans="1:32" ht="12" customHeight="1">
      <c r="A515" s="61" t="s">
        <v>443</v>
      </c>
      <c r="B515" s="10">
        <v>20</v>
      </c>
      <c r="C515" s="10">
        <v>19</v>
      </c>
      <c r="D515" s="2" t="s">
        <v>309</v>
      </c>
      <c r="E515" s="10">
        <v>240</v>
      </c>
      <c r="F515" s="16"/>
      <c r="G515" s="15" t="s">
        <v>31</v>
      </c>
      <c r="H515" s="16"/>
      <c r="I515" s="15" t="s">
        <v>31</v>
      </c>
      <c r="J515" s="15" t="s">
        <v>31</v>
      </c>
      <c r="K515" s="15" t="s">
        <v>31</v>
      </c>
      <c r="L515" s="15" t="s">
        <v>31</v>
      </c>
      <c r="M515" s="7"/>
      <c r="N515" s="27"/>
      <c r="O515" s="7"/>
      <c r="P515" s="7"/>
      <c r="Q515" s="7"/>
      <c r="R515" s="7"/>
      <c r="S515" s="7"/>
      <c r="T515" s="7"/>
      <c r="U515" s="7"/>
      <c r="V515" s="7"/>
      <c r="W515" s="7"/>
      <c r="X515" s="7"/>
      <c r="Y515" s="7"/>
      <c r="Z515" s="7"/>
      <c r="AA515" s="7"/>
      <c r="AB515" s="7"/>
      <c r="AC515" s="7"/>
      <c r="AD515" s="7"/>
      <c r="AE515" s="7"/>
      <c r="AF515" s="7"/>
    </row>
    <row r="516" spans="1:32" ht="12" customHeight="1">
      <c r="A516" s="61" t="s">
        <v>444</v>
      </c>
      <c r="B516" s="10">
        <v>20</v>
      </c>
      <c r="C516" s="10">
        <v>20</v>
      </c>
      <c r="D516" s="2" t="s">
        <v>309</v>
      </c>
      <c r="E516" s="10">
        <v>250</v>
      </c>
      <c r="F516" s="16"/>
      <c r="G516" s="15" t="s">
        <v>31</v>
      </c>
      <c r="H516" s="16"/>
      <c r="I516" s="15" t="s">
        <v>31</v>
      </c>
      <c r="J516" s="15" t="s">
        <v>31</v>
      </c>
      <c r="K516" s="15" t="s">
        <v>31</v>
      </c>
      <c r="L516" s="15" t="s">
        <v>31</v>
      </c>
      <c r="M516" s="7"/>
      <c r="N516" s="27"/>
      <c r="O516" s="7"/>
      <c r="P516" s="7"/>
      <c r="Q516" s="7"/>
      <c r="R516" s="7"/>
      <c r="S516" s="7"/>
      <c r="T516" s="7"/>
      <c r="U516" s="7"/>
      <c r="V516" s="7"/>
      <c r="W516" s="7"/>
      <c r="X516" s="7"/>
      <c r="Y516" s="7"/>
      <c r="Z516" s="7"/>
      <c r="AA516" s="7"/>
      <c r="AB516" s="7"/>
      <c r="AC516" s="7"/>
      <c r="AD516" s="7"/>
      <c r="AE516" s="7"/>
      <c r="AF516" s="7"/>
    </row>
    <row r="517" spans="1:32" ht="12" customHeight="1">
      <c r="A517" s="61" t="s">
        <v>445</v>
      </c>
      <c r="B517" s="10">
        <v>20</v>
      </c>
      <c r="C517" s="10">
        <v>21</v>
      </c>
      <c r="D517" s="2" t="s">
        <v>309</v>
      </c>
      <c r="E517" s="10">
        <v>710</v>
      </c>
      <c r="F517" s="15" t="s">
        <v>31</v>
      </c>
      <c r="G517" s="16"/>
      <c r="H517" s="15" t="s">
        <v>31</v>
      </c>
      <c r="I517" s="16"/>
      <c r="J517" s="15" t="s">
        <v>31</v>
      </c>
      <c r="K517" s="15" t="s">
        <v>31</v>
      </c>
      <c r="L517" s="15" t="s">
        <v>31</v>
      </c>
      <c r="M517" s="7"/>
      <c r="N517" s="27"/>
      <c r="O517" s="7"/>
      <c r="P517" s="7"/>
      <c r="Q517" s="7"/>
      <c r="R517" s="7"/>
      <c r="S517" s="7"/>
      <c r="T517" s="7"/>
      <c r="U517" s="7"/>
      <c r="V517" s="7"/>
      <c r="W517" s="7"/>
      <c r="X517" s="7"/>
      <c r="Y517" s="7"/>
      <c r="Z517" s="7"/>
      <c r="AA517" s="7"/>
      <c r="AB517" s="7"/>
      <c r="AC517" s="7"/>
      <c r="AD517" s="7"/>
      <c r="AE517" s="7"/>
      <c r="AF517" s="7"/>
    </row>
    <row r="518" spans="1:32" ht="12" customHeight="1">
      <c r="A518" s="78" t="s">
        <v>446</v>
      </c>
      <c r="B518" s="10">
        <v>20</v>
      </c>
      <c r="C518" s="10">
        <v>22</v>
      </c>
      <c r="D518" s="2" t="s">
        <v>309</v>
      </c>
      <c r="E518" s="10"/>
      <c r="F518" s="47">
        <f t="shared" ref="F518:I518" si="88">SUM(F512:F517)</f>
        <v>0</v>
      </c>
      <c r="G518" s="47">
        <f t="shared" si="88"/>
        <v>0</v>
      </c>
      <c r="H518" s="47">
        <f t="shared" si="88"/>
        <v>0</v>
      </c>
      <c r="I518" s="47">
        <f t="shared" si="88"/>
        <v>0</v>
      </c>
      <c r="J518" s="15" t="s">
        <v>31</v>
      </c>
      <c r="K518" s="15" t="s">
        <v>31</v>
      </c>
      <c r="L518" s="15" t="s">
        <v>31</v>
      </c>
      <c r="M518" s="7"/>
      <c r="N518" s="27"/>
      <c r="O518" s="7"/>
      <c r="P518" s="7"/>
      <c r="Q518" s="7"/>
      <c r="R518" s="7"/>
      <c r="S518" s="7"/>
      <c r="T518" s="7"/>
      <c r="U518" s="7"/>
      <c r="V518" s="7"/>
      <c r="W518" s="7"/>
      <c r="X518" s="7"/>
      <c r="Y518" s="7"/>
      <c r="Z518" s="7"/>
      <c r="AA518" s="7"/>
      <c r="AB518" s="7"/>
      <c r="AC518" s="7"/>
      <c r="AD518" s="7"/>
      <c r="AE518" s="7"/>
      <c r="AF518" s="7"/>
    </row>
    <row r="519" spans="1:32" ht="12" customHeight="1">
      <c r="A519" s="78" t="s">
        <v>447</v>
      </c>
      <c r="B519" s="10"/>
      <c r="C519" s="10"/>
      <c r="D519" s="10"/>
      <c r="E519" s="10"/>
      <c r="F519" s="4" t="s">
        <v>206</v>
      </c>
      <c r="G519" s="4" t="s">
        <v>207</v>
      </c>
      <c r="H519" s="4" t="s">
        <v>208</v>
      </c>
      <c r="I519" s="4" t="s">
        <v>209</v>
      </c>
      <c r="J519" s="4" t="s">
        <v>210</v>
      </c>
      <c r="K519" s="4" t="s">
        <v>211</v>
      </c>
      <c r="L519" s="90"/>
      <c r="M519" s="7"/>
      <c r="N519" s="27"/>
      <c r="O519" s="7"/>
      <c r="P519" s="7"/>
      <c r="Q519" s="7"/>
      <c r="R519" s="7"/>
      <c r="S519" s="7"/>
      <c r="T519" s="7"/>
      <c r="U519" s="7"/>
      <c r="V519" s="7"/>
      <c r="W519" s="7"/>
      <c r="X519" s="7"/>
      <c r="Y519" s="7"/>
      <c r="Z519" s="7"/>
      <c r="AA519" s="7"/>
      <c r="AB519" s="7"/>
      <c r="AC519" s="7"/>
      <c r="AD519" s="7"/>
      <c r="AE519" s="7"/>
      <c r="AF519" s="7"/>
    </row>
    <row r="520" spans="1:32" ht="12" customHeight="1">
      <c r="A520" s="93" t="s">
        <v>448</v>
      </c>
      <c r="B520" s="10"/>
      <c r="C520" s="10"/>
      <c r="D520" s="10"/>
      <c r="E520" s="10"/>
      <c r="F520" s="45" t="s">
        <v>213</v>
      </c>
      <c r="G520" s="45" t="s">
        <v>214</v>
      </c>
      <c r="H520" s="90" t="s">
        <v>215</v>
      </c>
      <c r="I520" s="90" t="s">
        <v>216</v>
      </c>
      <c r="J520" s="90" t="s">
        <v>217</v>
      </c>
      <c r="K520" s="90" t="s">
        <v>218</v>
      </c>
      <c r="L520" s="90" t="s">
        <v>219</v>
      </c>
      <c r="M520" s="7"/>
      <c r="N520" s="27"/>
      <c r="O520" s="7"/>
      <c r="P520" s="7"/>
      <c r="Q520" s="7"/>
      <c r="R520" s="7"/>
      <c r="S520" s="7"/>
      <c r="T520" s="7"/>
      <c r="U520" s="7"/>
      <c r="V520" s="7"/>
      <c r="W520" s="7"/>
      <c r="X520" s="7"/>
      <c r="Y520" s="7"/>
      <c r="Z520" s="7"/>
      <c r="AA520" s="7"/>
      <c r="AB520" s="7"/>
      <c r="AC520" s="7"/>
      <c r="AD520" s="7"/>
      <c r="AE520" s="7"/>
      <c r="AF520" s="7"/>
    </row>
    <row r="521" spans="1:32" ht="12" customHeight="1">
      <c r="A521" s="78" t="s">
        <v>449</v>
      </c>
      <c r="B521" s="10"/>
      <c r="C521" s="10"/>
      <c r="D521" s="10"/>
      <c r="E521" s="10"/>
      <c r="F521" s="15" t="s">
        <v>31</v>
      </c>
      <c r="G521" s="15" t="s">
        <v>31</v>
      </c>
      <c r="H521" s="15" t="s">
        <v>31</v>
      </c>
      <c r="I521" s="15" t="s">
        <v>31</v>
      </c>
      <c r="J521" s="15" t="s">
        <v>31</v>
      </c>
      <c r="K521" s="15" t="s">
        <v>31</v>
      </c>
      <c r="L521" s="15" t="s">
        <v>31</v>
      </c>
      <c r="M521" s="7"/>
      <c r="N521" s="27"/>
      <c r="O521" s="7"/>
      <c r="P521" s="7"/>
      <c r="Q521" s="7"/>
      <c r="R521" s="7"/>
      <c r="S521" s="7"/>
      <c r="T521" s="7"/>
      <c r="U521" s="7"/>
      <c r="V521" s="7"/>
      <c r="W521" s="7"/>
      <c r="X521" s="7"/>
      <c r="Y521" s="7"/>
      <c r="Z521" s="7"/>
      <c r="AA521" s="7"/>
      <c r="AB521" s="7"/>
      <c r="AC521" s="7"/>
      <c r="AD521" s="7"/>
      <c r="AE521" s="7"/>
      <c r="AF521" s="7"/>
    </row>
    <row r="522" spans="1:32" ht="12" customHeight="1">
      <c r="A522" s="61" t="s">
        <v>450</v>
      </c>
      <c r="B522" s="10">
        <v>21</v>
      </c>
      <c r="C522" s="10">
        <v>1</v>
      </c>
      <c r="D522" s="2" t="s">
        <v>309</v>
      </c>
      <c r="E522" s="10"/>
      <c r="F522" s="16">
        <f>3992.94+5228.97+1930.5+28049.98</f>
        <v>39202.39</v>
      </c>
      <c r="G522" s="16">
        <f>5679.32+1328.28+154.58+166+62.49+14.61+1735.76+405.86</f>
        <v>9546.9</v>
      </c>
      <c r="H522" s="16"/>
      <c r="I522" s="16">
        <f>1446.89+668.8</f>
        <v>2115.69</v>
      </c>
      <c r="J522" s="16"/>
      <c r="K522" s="16">
        <f>63</f>
        <v>63</v>
      </c>
      <c r="L522" s="94">
        <f t="shared" ref="L522:L524" si="89">SUM(F522:K522)</f>
        <v>50927.98</v>
      </c>
      <c r="M522" s="7"/>
      <c r="N522" s="27"/>
      <c r="O522" s="7"/>
      <c r="P522" s="7"/>
      <c r="Q522" s="7"/>
      <c r="R522" s="7"/>
      <c r="S522" s="7"/>
      <c r="T522" s="7"/>
      <c r="U522" s="7"/>
      <c r="V522" s="7"/>
      <c r="W522" s="7"/>
      <c r="X522" s="7"/>
      <c r="Y522" s="7"/>
      <c r="Z522" s="7"/>
      <c r="AA522" s="7"/>
      <c r="AB522" s="7"/>
      <c r="AC522" s="7"/>
      <c r="AD522" s="7"/>
      <c r="AE522" s="7"/>
      <c r="AF522" s="7"/>
    </row>
    <row r="523" spans="1:32" ht="12" customHeight="1">
      <c r="A523" s="61" t="s">
        <v>451</v>
      </c>
      <c r="B523" s="10">
        <v>21</v>
      </c>
      <c r="C523" s="10">
        <v>2</v>
      </c>
      <c r="D523" s="2" t="s">
        <v>309</v>
      </c>
      <c r="E523" s="10"/>
      <c r="F523" s="16"/>
      <c r="G523" s="16"/>
      <c r="H523" s="16">
        <v>38489.89</v>
      </c>
      <c r="I523" s="16"/>
      <c r="J523" s="16"/>
      <c r="K523" s="16"/>
      <c r="L523" s="94">
        <f t="shared" si="89"/>
        <v>38489.89</v>
      </c>
      <c r="M523" s="7"/>
      <c r="N523" s="27"/>
      <c r="O523" s="7"/>
      <c r="P523" s="7"/>
      <c r="Q523" s="7"/>
      <c r="R523" s="7"/>
      <c r="S523" s="7"/>
      <c r="T523" s="7"/>
      <c r="U523" s="7"/>
      <c r="V523" s="7"/>
      <c r="W523" s="7"/>
      <c r="X523" s="7"/>
      <c r="Y523" s="7"/>
      <c r="Z523" s="7"/>
      <c r="AA523" s="7"/>
      <c r="AB523" s="7"/>
      <c r="AC523" s="7"/>
      <c r="AD523" s="7"/>
      <c r="AE523" s="7"/>
      <c r="AF523" s="7"/>
    </row>
    <row r="524" spans="1:32" ht="12" customHeight="1">
      <c r="A524" s="61" t="s">
        <v>452</v>
      </c>
      <c r="B524" s="10">
        <v>21</v>
      </c>
      <c r="C524" s="10">
        <v>3</v>
      </c>
      <c r="D524" s="2" t="s">
        <v>309</v>
      </c>
      <c r="E524" s="10"/>
      <c r="F524" s="16"/>
      <c r="G524" s="16"/>
      <c r="H524" s="16">
        <v>10629.75</v>
      </c>
      <c r="I524" s="16"/>
      <c r="J524" s="16"/>
      <c r="K524" s="16"/>
      <c r="L524" s="94">
        <f t="shared" si="89"/>
        <v>10629.75</v>
      </c>
      <c r="M524" s="7"/>
      <c r="N524" s="27"/>
      <c r="O524" s="7"/>
      <c r="P524" s="7"/>
      <c r="Q524" s="7"/>
      <c r="R524" s="7"/>
      <c r="S524" s="7"/>
      <c r="T524" s="7"/>
      <c r="U524" s="7"/>
      <c r="V524" s="7"/>
      <c r="W524" s="7"/>
      <c r="X524" s="7"/>
      <c r="Y524" s="7"/>
      <c r="Z524" s="7"/>
      <c r="AA524" s="7"/>
      <c r="AB524" s="7"/>
      <c r="AC524" s="7"/>
      <c r="AD524" s="7"/>
      <c r="AE524" s="7"/>
      <c r="AF524" s="7"/>
    </row>
    <row r="525" spans="1:32" ht="12" customHeight="1">
      <c r="A525" s="60" t="s">
        <v>453</v>
      </c>
      <c r="B525" s="40">
        <v>21</v>
      </c>
      <c r="C525" s="40">
        <v>4</v>
      </c>
      <c r="D525" s="95" t="s">
        <v>309</v>
      </c>
      <c r="E525" s="40"/>
      <c r="F525" s="96">
        <f t="shared" ref="F525:L525" si="90">SUM(F522:F524)</f>
        <v>39202.39</v>
      </c>
      <c r="G525" s="96">
        <f t="shared" si="90"/>
        <v>9546.9</v>
      </c>
      <c r="H525" s="96">
        <f t="shared" si="90"/>
        <v>49119.64</v>
      </c>
      <c r="I525" s="96">
        <f t="shared" si="90"/>
        <v>2115.69</v>
      </c>
      <c r="J525" s="96">
        <f t="shared" si="90"/>
        <v>0</v>
      </c>
      <c r="K525" s="96">
        <f t="shared" si="90"/>
        <v>63</v>
      </c>
      <c r="L525" s="97">
        <f t="shared" si="90"/>
        <v>100047.62</v>
      </c>
      <c r="M525" s="7"/>
      <c r="N525" s="27"/>
      <c r="O525" s="7"/>
      <c r="P525" s="7"/>
      <c r="Q525" s="7"/>
      <c r="R525" s="7"/>
      <c r="S525" s="7"/>
      <c r="T525" s="7"/>
      <c r="U525" s="7"/>
      <c r="V525" s="7"/>
      <c r="W525" s="7"/>
      <c r="X525" s="7"/>
      <c r="Y525" s="7"/>
      <c r="Z525" s="7"/>
      <c r="AA525" s="7"/>
      <c r="AB525" s="7"/>
      <c r="AC525" s="7"/>
      <c r="AD525" s="7"/>
      <c r="AE525" s="7"/>
      <c r="AF525" s="7"/>
    </row>
    <row r="526" spans="1:32" ht="12" customHeight="1">
      <c r="A526" s="78" t="s">
        <v>454</v>
      </c>
      <c r="B526" s="10"/>
      <c r="C526" s="10"/>
      <c r="D526" s="10"/>
      <c r="E526" s="10"/>
      <c r="F526" s="15" t="s">
        <v>31</v>
      </c>
      <c r="G526" s="15" t="s">
        <v>31</v>
      </c>
      <c r="H526" s="15" t="s">
        <v>31</v>
      </c>
      <c r="I526" s="15" t="s">
        <v>31</v>
      </c>
      <c r="J526" s="15" t="s">
        <v>31</v>
      </c>
      <c r="K526" s="15" t="s">
        <v>31</v>
      </c>
      <c r="L526" s="15" t="s">
        <v>31</v>
      </c>
      <c r="M526" s="13"/>
      <c r="N526" s="17"/>
      <c r="O526" s="5"/>
      <c r="P526" s="5"/>
      <c r="Q526" s="5"/>
      <c r="R526" s="5"/>
      <c r="S526" s="5"/>
      <c r="T526" s="5"/>
      <c r="U526" s="5"/>
      <c r="V526" s="5"/>
      <c r="W526" s="5"/>
      <c r="X526" s="5"/>
      <c r="Y526" s="5"/>
      <c r="Z526" s="5"/>
      <c r="AA526" s="5"/>
      <c r="AB526" s="5"/>
      <c r="AC526" s="5"/>
      <c r="AD526" s="5"/>
      <c r="AE526" s="5"/>
      <c r="AF526" s="5"/>
    </row>
    <row r="527" spans="1:32" ht="12" customHeight="1">
      <c r="A527" s="61" t="s">
        <v>450</v>
      </c>
      <c r="B527" s="10">
        <v>21</v>
      </c>
      <c r="C527" s="10">
        <v>5</v>
      </c>
      <c r="D527" s="2" t="s">
        <v>309</v>
      </c>
      <c r="E527" s="10"/>
      <c r="F527" s="16"/>
      <c r="G527" s="16">
        <f>12863.95+143+333.84+820.16+191.8+47</f>
        <v>14399.75</v>
      </c>
      <c r="H527" s="16">
        <f>16232.5+40798.94+19698.75+13227.69</f>
        <v>89957.88</v>
      </c>
      <c r="I527" s="16"/>
      <c r="J527" s="16"/>
      <c r="K527" s="16"/>
      <c r="L527" s="94">
        <f t="shared" ref="L527:L529" si="91">SUM(F527:K527)</f>
        <v>104357.63</v>
      </c>
      <c r="M527" s="13"/>
      <c r="N527" s="17"/>
      <c r="O527" s="5"/>
      <c r="P527" s="5"/>
      <c r="Q527" s="5"/>
      <c r="R527" s="5"/>
      <c r="S527" s="5"/>
      <c r="T527" s="5"/>
      <c r="U527" s="5"/>
      <c r="V527" s="5"/>
      <c r="W527" s="5"/>
      <c r="X527" s="5"/>
      <c r="Y527" s="5"/>
      <c r="Z527" s="5"/>
      <c r="AA527" s="5"/>
      <c r="AB527" s="5"/>
      <c r="AC527" s="5"/>
      <c r="AD527" s="5"/>
      <c r="AE527" s="5"/>
      <c r="AF527" s="5"/>
    </row>
    <row r="528" spans="1:32" ht="12" customHeight="1">
      <c r="A528" s="61" t="s">
        <v>451</v>
      </c>
      <c r="B528" s="10">
        <v>21</v>
      </c>
      <c r="C528" s="10">
        <v>6</v>
      </c>
      <c r="D528" s="2" t="s">
        <v>309</v>
      </c>
      <c r="E528" s="10"/>
      <c r="F528" s="16"/>
      <c r="G528" s="16"/>
      <c r="H528" s="16"/>
      <c r="I528" s="16"/>
      <c r="J528" s="16"/>
      <c r="K528" s="16"/>
      <c r="L528" s="94">
        <f t="shared" si="91"/>
        <v>0</v>
      </c>
      <c r="M528" s="13"/>
      <c r="N528" s="17"/>
      <c r="O528" s="5"/>
      <c r="P528" s="5"/>
      <c r="Q528" s="5"/>
      <c r="R528" s="5"/>
      <c r="S528" s="5"/>
      <c r="T528" s="5"/>
      <c r="U528" s="5"/>
      <c r="V528" s="5"/>
      <c r="W528" s="5"/>
      <c r="X528" s="5"/>
      <c r="Y528" s="5"/>
      <c r="Z528" s="5"/>
      <c r="AA528" s="5"/>
      <c r="AB528" s="5"/>
      <c r="AC528" s="5"/>
      <c r="AD528" s="5"/>
      <c r="AE528" s="5"/>
      <c r="AF528" s="5"/>
    </row>
    <row r="529" spans="1:32" ht="12" customHeight="1">
      <c r="A529" s="61" t="s">
        <v>452</v>
      </c>
      <c r="B529" s="10">
        <v>21</v>
      </c>
      <c r="C529" s="10">
        <v>7</v>
      </c>
      <c r="D529" s="2" t="s">
        <v>309</v>
      </c>
      <c r="E529" s="10"/>
      <c r="F529" s="16"/>
      <c r="G529" s="16"/>
      <c r="H529" s="16"/>
      <c r="I529" s="16"/>
      <c r="J529" s="16"/>
      <c r="K529" s="16"/>
      <c r="L529" s="94">
        <f t="shared" si="91"/>
        <v>0</v>
      </c>
      <c r="M529" s="13"/>
      <c r="N529" s="17"/>
      <c r="O529" s="5"/>
      <c r="P529" s="5"/>
      <c r="Q529" s="5"/>
      <c r="R529" s="5"/>
      <c r="S529" s="5"/>
      <c r="T529" s="5"/>
      <c r="U529" s="5"/>
      <c r="V529" s="5"/>
      <c r="W529" s="5"/>
      <c r="X529" s="5"/>
      <c r="Y529" s="5"/>
      <c r="Z529" s="5"/>
      <c r="AA529" s="5"/>
      <c r="AB529" s="5"/>
      <c r="AC529" s="5"/>
      <c r="AD529" s="5"/>
      <c r="AE529" s="5"/>
      <c r="AF529" s="5"/>
    </row>
    <row r="530" spans="1:32" ht="12" customHeight="1">
      <c r="A530" s="60" t="s">
        <v>455</v>
      </c>
      <c r="B530" s="40">
        <v>21</v>
      </c>
      <c r="C530" s="40">
        <v>8</v>
      </c>
      <c r="D530" s="95" t="s">
        <v>309</v>
      </c>
      <c r="E530" s="40"/>
      <c r="F530" s="97">
        <f t="shared" ref="F530:L530" si="92">SUM(F527:F529)</f>
        <v>0</v>
      </c>
      <c r="G530" s="97">
        <f t="shared" si="92"/>
        <v>14399.75</v>
      </c>
      <c r="H530" s="97">
        <f t="shared" si="92"/>
        <v>89957.88</v>
      </c>
      <c r="I530" s="97">
        <f t="shared" si="92"/>
        <v>0</v>
      </c>
      <c r="J530" s="97">
        <f t="shared" si="92"/>
        <v>0</v>
      </c>
      <c r="K530" s="97">
        <f t="shared" si="92"/>
        <v>0</v>
      </c>
      <c r="L530" s="97">
        <f t="shared" si="92"/>
        <v>104357.63</v>
      </c>
      <c r="M530" s="13"/>
      <c r="N530" s="17"/>
      <c r="O530" s="5"/>
      <c r="P530" s="5"/>
      <c r="Q530" s="5"/>
      <c r="R530" s="5"/>
      <c r="S530" s="5"/>
      <c r="T530" s="5"/>
      <c r="U530" s="5"/>
      <c r="V530" s="5"/>
      <c r="W530" s="5"/>
      <c r="X530" s="5"/>
      <c r="Y530" s="5"/>
      <c r="Z530" s="5"/>
      <c r="AA530" s="5"/>
      <c r="AB530" s="5"/>
      <c r="AC530" s="5"/>
      <c r="AD530" s="5"/>
      <c r="AE530" s="5"/>
      <c r="AF530" s="5"/>
    </row>
    <row r="531" spans="1:32" ht="12" customHeight="1">
      <c r="A531" s="78" t="s">
        <v>456</v>
      </c>
      <c r="B531" s="10"/>
      <c r="C531" s="10"/>
      <c r="D531" s="10"/>
      <c r="E531" s="10"/>
      <c r="F531" s="15" t="s">
        <v>31</v>
      </c>
      <c r="G531" s="15" t="s">
        <v>31</v>
      </c>
      <c r="H531" s="15" t="s">
        <v>31</v>
      </c>
      <c r="I531" s="15" t="s">
        <v>31</v>
      </c>
      <c r="J531" s="15" t="s">
        <v>31</v>
      </c>
      <c r="K531" s="15" t="s">
        <v>31</v>
      </c>
      <c r="L531" s="15" t="s">
        <v>31</v>
      </c>
      <c r="M531" s="13"/>
      <c r="N531" s="17"/>
      <c r="O531" s="5"/>
      <c r="P531" s="5"/>
      <c r="Q531" s="5"/>
      <c r="R531" s="5"/>
      <c r="S531" s="5"/>
      <c r="T531" s="5"/>
      <c r="U531" s="5"/>
      <c r="V531" s="5"/>
      <c r="W531" s="5"/>
      <c r="X531" s="5"/>
      <c r="Y531" s="5"/>
      <c r="Z531" s="5"/>
      <c r="AA531" s="5"/>
      <c r="AB531" s="5"/>
      <c r="AC531" s="5"/>
      <c r="AD531" s="5"/>
      <c r="AE531" s="5"/>
      <c r="AF531" s="5"/>
    </row>
    <row r="532" spans="1:32" ht="12" customHeight="1">
      <c r="A532" s="61" t="s">
        <v>450</v>
      </c>
      <c r="B532" s="10">
        <v>21</v>
      </c>
      <c r="C532" s="10">
        <v>9</v>
      </c>
      <c r="D532" s="2" t="s">
        <v>309</v>
      </c>
      <c r="E532" s="10"/>
      <c r="F532" s="16"/>
      <c r="G532" s="16"/>
      <c r="H532" s="16"/>
      <c r="I532" s="16"/>
      <c r="J532" s="16"/>
      <c r="K532" s="16"/>
      <c r="L532" s="94">
        <f t="shared" ref="L532:L534" si="93">SUM(F532:K532)</f>
        <v>0</v>
      </c>
      <c r="M532" s="13"/>
      <c r="N532" s="17"/>
      <c r="O532" s="5"/>
      <c r="P532" s="5"/>
      <c r="Q532" s="5"/>
      <c r="R532" s="5"/>
      <c r="S532" s="5"/>
      <c r="T532" s="5"/>
      <c r="U532" s="5"/>
      <c r="V532" s="5"/>
      <c r="W532" s="5"/>
      <c r="X532" s="5"/>
      <c r="Y532" s="5"/>
      <c r="Z532" s="5"/>
      <c r="AA532" s="5"/>
      <c r="AB532" s="5"/>
      <c r="AC532" s="5"/>
      <c r="AD532" s="5"/>
      <c r="AE532" s="5"/>
      <c r="AF532" s="5"/>
    </row>
    <row r="533" spans="1:32" ht="12" customHeight="1">
      <c r="A533" s="61" t="s">
        <v>451</v>
      </c>
      <c r="B533" s="10">
        <v>21</v>
      </c>
      <c r="C533" s="10">
        <v>10</v>
      </c>
      <c r="D533" s="2" t="s">
        <v>309</v>
      </c>
      <c r="E533" s="10"/>
      <c r="F533" s="16"/>
      <c r="G533" s="16"/>
      <c r="H533" s="16"/>
      <c r="I533" s="16"/>
      <c r="J533" s="16"/>
      <c r="K533" s="16"/>
      <c r="L533" s="94">
        <f t="shared" si="93"/>
        <v>0</v>
      </c>
      <c r="M533" s="13"/>
      <c r="N533" s="17"/>
      <c r="O533" s="5"/>
      <c r="P533" s="5"/>
      <c r="Q533" s="5"/>
      <c r="R533" s="5"/>
      <c r="S533" s="5"/>
      <c r="T533" s="5"/>
      <c r="U533" s="5"/>
      <c r="V533" s="5"/>
      <c r="W533" s="5"/>
      <c r="X533" s="5"/>
      <c r="Y533" s="5"/>
      <c r="Z533" s="5"/>
      <c r="AA533" s="5"/>
      <c r="AB533" s="5"/>
      <c r="AC533" s="5"/>
      <c r="AD533" s="5"/>
      <c r="AE533" s="5"/>
      <c r="AF533" s="5"/>
    </row>
    <row r="534" spans="1:32" ht="12" customHeight="1">
      <c r="A534" s="61" t="s">
        <v>452</v>
      </c>
      <c r="B534" s="10">
        <v>21</v>
      </c>
      <c r="C534" s="10">
        <v>11</v>
      </c>
      <c r="D534" s="2" t="s">
        <v>309</v>
      </c>
      <c r="E534" s="10"/>
      <c r="F534" s="16"/>
      <c r="G534" s="16"/>
      <c r="H534" s="16"/>
      <c r="I534" s="16"/>
      <c r="J534" s="16"/>
      <c r="K534" s="16"/>
      <c r="L534" s="94">
        <f t="shared" si="93"/>
        <v>0</v>
      </c>
      <c r="M534" s="13"/>
      <c r="N534" s="17"/>
      <c r="O534" s="5"/>
      <c r="P534" s="5"/>
      <c r="Q534" s="5"/>
      <c r="R534" s="5"/>
      <c r="S534" s="5"/>
      <c r="T534" s="5"/>
      <c r="U534" s="5"/>
      <c r="V534" s="5"/>
      <c r="W534" s="5"/>
      <c r="X534" s="5"/>
      <c r="Y534" s="5"/>
      <c r="Z534" s="5"/>
      <c r="AA534" s="5"/>
      <c r="AB534" s="5"/>
      <c r="AC534" s="5"/>
      <c r="AD534" s="5"/>
      <c r="AE534" s="5"/>
      <c r="AF534" s="5"/>
    </row>
    <row r="535" spans="1:32" ht="12" customHeight="1">
      <c r="A535" s="60" t="s">
        <v>457</v>
      </c>
      <c r="B535" s="40">
        <v>21</v>
      </c>
      <c r="C535" s="40">
        <v>12</v>
      </c>
      <c r="D535" s="95" t="s">
        <v>309</v>
      </c>
      <c r="E535" s="40"/>
      <c r="F535" s="97">
        <f t="shared" ref="F535:L535" si="94">SUM(F532:F534)</f>
        <v>0</v>
      </c>
      <c r="G535" s="97">
        <f t="shared" si="94"/>
        <v>0</v>
      </c>
      <c r="H535" s="97">
        <f t="shared" si="94"/>
        <v>0</v>
      </c>
      <c r="I535" s="97">
        <f t="shared" si="94"/>
        <v>0</v>
      </c>
      <c r="J535" s="97">
        <f t="shared" si="94"/>
        <v>0</v>
      </c>
      <c r="K535" s="97">
        <f t="shared" si="94"/>
        <v>0</v>
      </c>
      <c r="L535" s="97">
        <f t="shared" si="94"/>
        <v>0</v>
      </c>
      <c r="M535" s="13"/>
      <c r="N535" s="17"/>
      <c r="O535" s="5"/>
      <c r="P535" s="5"/>
      <c r="Q535" s="5"/>
      <c r="R535" s="5"/>
      <c r="S535" s="5"/>
      <c r="T535" s="5"/>
      <c r="U535" s="5"/>
      <c r="V535" s="5"/>
      <c r="W535" s="5"/>
      <c r="X535" s="5"/>
      <c r="Y535" s="5"/>
      <c r="Z535" s="5"/>
      <c r="AA535" s="5"/>
      <c r="AB535" s="5"/>
      <c r="AC535" s="5"/>
      <c r="AD535" s="5"/>
      <c r="AE535" s="5"/>
      <c r="AF535" s="5"/>
    </row>
    <row r="536" spans="1:32" ht="12" customHeight="1">
      <c r="A536" s="78" t="s">
        <v>458</v>
      </c>
      <c r="B536" s="10"/>
      <c r="C536" s="10"/>
      <c r="D536" s="10"/>
      <c r="E536" s="10"/>
      <c r="F536" s="15" t="s">
        <v>31</v>
      </c>
      <c r="G536" s="15" t="s">
        <v>31</v>
      </c>
      <c r="H536" s="15" t="s">
        <v>31</v>
      </c>
      <c r="I536" s="15" t="s">
        <v>31</v>
      </c>
      <c r="J536" s="15" t="s">
        <v>31</v>
      </c>
      <c r="K536" s="15" t="s">
        <v>31</v>
      </c>
      <c r="L536" s="15" t="s">
        <v>31</v>
      </c>
      <c r="M536" s="13"/>
      <c r="N536" s="17"/>
      <c r="O536" s="5"/>
      <c r="P536" s="5"/>
      <c r="Q536" s="5"/>
      <c r="R536" s="5"/>
      <c r="S536" s="5"/>
      <c r="T536" s="5"/>
      <c r="U536" s="5"/>
      <c r="V536" s="5"/>
      <c r="W536" s="5"/>
      <c r="X536" s="5"/>
      <c r="Y536" s="5"/>
      <c r="Z536" s="5"/>
      <c r="AA536" s="5"/>
      <c r="AB536" s="5"/>
      <c r="AC536" s="5"/>
      <c r="AD536" s="5"/>
      <c r="AE536" s="5"/>
      <c r="AF536" s="5"/>
    </row>
    <row r="537" spans="1:32" ht="12" customHeight="1">
      <c r="A537" s="61" t="s">
        <v>450</v>
      </c>
      <c r="B537" s="10">
        <v>21</v>
      </c>
      <c r="C537" s="10">
        <v>13</v>
      </c>
      <c r="D537" s="2" t="s">
        <v>309</v>
      </c>
      <c r="E537" s="10"/>
      <c r="F537" s="16"/>
      <c r="G537" s="16"/>
      <c r="H537" s="16"/>
      <c r="I537" s="16"/>
      <c r="J537" s="16"/>
      <c r="K537" s="16"/>
      <c r="L537" s="94">
        <f t="shared" ref="L537:L539" si="95">SUM(F537:K537)</f>
        <v>0</v>
      </c>
      <c r="M537" s="13"/>
      <c r="N537" s="17"/>
      <c r="O537" s="5"/>
      <c r="P537" s="5"/>
      <c r="Q537" s="5"/>
      <c r="R537" s="5"/>
      <c r="S537" s="5"/>
      <c r="T537" s="5"/>
      <c r="U537" s="5"/>
      <c r="V537" s="5"/>
      <c r="W537" s="5"/>
      <c r="X537" s="5"/>
      <c r="Y537" s="5"/>
      <c r="Z537" s="5"/>
      <c r="AA537" s="5"/>
      <c r="AB537" s="5"/>
      <c r="AC537" s="5"/>
      <c r="AD537" s="5"/>
      <c r="AE537" s="5"/>
      <c r="AF537" s="5"/>
    </row>
    <row r="538" spans="1:32" ht="12" customHeight="1">
      <c r="A538" s="61" t="s">
        <v>451</v>
      </c>
      <c r="B538" s="10">
        <v>21</v>
      </c>
      <c r="C538" s="10">
        <v>14</v>
      </c>
      <c r="D538" s="2" t="s">
        <v>309</v>
      </c>
      <c r="E538" s="10"/>
      <c r="F538" s="16"/>
      <c r="G538" s="16"/>
      <c r="H538" s="16"/>
      <c r="I538" s="16"/>
      <c r="J538" s="16"/>
      <c r="K538" s="16"/>
      <c r="L538" s="94">
        <f t="shared" si="95"/>
        <v>0</v>
      </c>
      <c r="M538" s="13"/>
      <c r="N538" s="17"/>
      <c r="O538" s="5"/>
      <c r="P538" s="5"/>
      <c r="Q538" s="5"/>
      <c r="R538" s="5"/>
      <c r="S538" s="5"/>
      <c r="T538" s="5"/>
      <c r="U538" s="5"/>
      <c r="V538" s="5"/>
      <c r="W538" s="5"/>
      <c r="X538" s="5"/>
      <c r="Y538" s="5"/>
      <c r="Z538" s="5"/>
      <c r="AA538" s="5"/>
      <c r="AB538" s="5"/>
      <c r="AC538" s="5"/>
      <c r="AD538" s="5"/>
      <c r="AE538" s="5"/>
      <c r="AF538" s="5"/>
    </row>
    <row r="539" spans="1:32" ht="12" customHeight="1">
      <c r="A539" s="61" t="s">
        <v>452</v>
      </c>
      <c r="B539" s="10">
        <v>21</v>
      </c>
      <c r="C539" s="10">
        <v>15</v>
      </c>
      <c r="D539" s="2" t="s">
        <v>309</v>
      </c>
      <c r="E539" s="10"/>
      <c r="F539" s="16"/>
      <c r="G539" s="16"/>
      <c r="H539" s="16"/>
      <c r="I539" s="16"/>
      <c r="J539" s="16"/>
      <c r="K539" s="16"/>
      <c r="L539" s="94">
        <f t="shared" si="95"/>
        <v>0</v>
      </c>
      <c r="M539" s="13"/>
      <c r="N539" s="17"/>
      <c r="O539" s="5"/>
      <c r="P539" s="5"/>
      <c r="Q539" s="5"/>
      <c r="R539" s="5"/>
      <c r="S539" s="5"/>
      <c r="T539" s="5"/>
      <c r="U539" s="5"/>
      <c r="V539" s="5"/>
      <c r="W539" s="5"/>
      <c r="X539" s="5"/>
      <c r="Y539" s="5"/>
      <c r="Z539" s="5"/>
      <c r="AA539" s="5"/>
      <c r="AB539" s="5"/>
      <c r="AC539" s="5"/>
      <c r="AD539" s="5"/>
      <c r="AE539" s="5"/>
      <c r="AF539" s="5"/>
    </row>
    <row r="540" spans="1:32" ht="12" customHeight="1">
      <c r="A540" s="60" t="s">
        <v>459</v>
      </c>
      <c r="B540" s="40">
        <v>21</v>
      </c>
      <c r="C540" s="40">
        <v>16</v>
      </c>
      <c r="D540" s="95" t="s">
        <v>309</v>
      </c>
      <c r="E540" s="40"/>
      <c r="F540" s="97">
        <f t="shared" ref="F540:L540" si="96">SUM(F537:F539)</f>
        <v>0</v>
      </c>
      <c r="G540" s="97">
        <f t="shared" si="96"/>
        <v>0</v>
      </c>
      <c r="H540" s="97">
        <f t="shared" si="96"/>
        <v>0</v>
      </c>
      <c r="I540" s="97">
        <f t="shared" si="96"/>
        <v>0</v>
      </c>
      <c r="J540" s="97">
        <f t="shared" si="96"/>
        <v>0</v>
      </c>
      <c r="K540" s="97">
        <f t="shared" si="96"/>
        <v>0</v>
      </c>
      <c r="L540" s="97">
        <f t="shared" si="96"/>
        <v>0</v>
      </c>
      <c r="M540" s="13"/>
      <c r="N540" s="17"/>
      <c r="O540" s="5"/>
      <c r="P540" s="5"/>
      <c r="Q540" s="5"/>
      <c r="R540" s="5"/>
      <c r="S540" s="5"/>
      <c r="T540" s="5"/>
      <c r="U540" s="5"/>
      <c r="V540" s="5"/>
      <c r="W540" s="5"/>
      <c r="X540" s="5"/>
      <c r="Y540" s="5"/>
      <c r="Z540" s="5"/>
      <c r="AA540" s="5"/>
      <c r="AB540" s="5"/>
      <c r="AC540" s="5"/>
      <c r="AD540" s="5"/>
      <c r="AE540" s="5"/>
      <c r="AF540" s="5"/>
    </row>
    <row r="541" spans="1:32" ht="12" customHeight="1">
      <c r="A541" s="78" t="s">
        <v>460</v>
      </c>
      <c r="B541" s="10"/>
      <c r="C541" s="10"/>
      <c r="D541" s="10"/>
      <c r="E541" s="10"/>
      <c r="F541" s="15" t="s">
        <v>31</v>
      </c>
      <c r="G541" s="15" t="s">
        <v>31</v>
      </c>
      <c r="H541" s="15" t="s">
        <v>31</v>
      </c>
      <c r="I541" s="15" t="s">
        <v>31</v>
      </c>
      <c r="J541" s="15" t="s">
        <v>31</v>
      </c>
      <c r="K541" s="15" t="s">
        <v>31</v>
      </c>
      <c r="L541" s="15" t="s">
        <v>31</v>
      </c>
      <c r="M541" s="13"/>
      <c r="N541" s="17"/>
      <c r="O541" s="5"/>
      <c r="P541" s="5"/>
      <c r="Q541" s="5"/>
      <c r="R541" s="5"/>
      <c r="S541" s="5"/>
      <c r="T541" s="5"/>
      <c r="U541" s="5"/>
      <c r="V541" s="5"/>
      <c r="W541" s="5"/>
      <c r="X541" s="5"/>
      <c r="Y541" s="5"/>
      <c r="Z541" s="5"/>
      <c r="AA541" s="5"/>
      <c r="AB541" s="5"/>
      <c r="AC541" s="5"/>
      <c r="AD541" s="5"/>
      <c r="AE541" s="5"/>
      <c r="AF541" s="5"/>
    </row>
    <row r="542" spans="1:32" ht="12" customHeight="1">
      <c r="A542" s="61" t="s">
        <v>450</v>
      </c>
      <c r="B542" s="10">
        <v>21</v>
      </c>
      <c r="C542" s="10">
        <v>17</v>
      </c>
      <c r="D542" s="2" t="s">
        <v>309</v>
      </c>
      <c r="E542" s="10"/>
      <c r="F542" s="16"/>
      <c r="G542" s="16"/>
      <c r="H542" s="16"/>
      <c r="I542" s="16"/>
      <c r="J542" s="16"/>
      <c r="K542" s="16"/>
      <c r="L542" s="94">
        <f t="shared" ref="L542:L544" si="97">SUM(F542:K542)</f>
        <v>0</v>
      </c>
      <c r="M542" s="13"/>
      <c r="N542" s="17"/>
      <c r="O542" s="5"/>
      <c r="P542" s="5"/>
      <c r="Q542" s="5"/>
      <c r="R542" s="5"/>
      <c r="S542" s="5"/>
      <c r="T542" s="5"/>
      <c r="U542" s="5"/>
      <c r="V542" s="5"/>
      <c r="W542" s="5"/>
      <c r="X542" s="5"/>
      <c r="Y542" s="5"/>
      <c r="Z542" s="5"/>
      <c r="AA542" s="5"/>
      <c r="AB542" s="5"/>
      <c r="AC542" s="5"/>
      <c r="AD542" s="5"/>
      <c r="AE542" s="5"/>
      <c r="AF542" s="5"/>
    </row>
    <row r="543" spans="1:32" ht="12" customHeight="1">
      <c r="A543" s="61" t="s">
        <v>451</v>
      </c>
      <c r="B543" s="10">
        <v>21</v>
      </c>
      <c r="C543" s="10">
        <v>18</v>
      </c>
      <c r="D543" s="2" t="s">
        <v>309</v>
      </c>
      <c r="E543" s="10"/>
      <c r="F543" s="16"/>
      <c r="G543" s="16"/>
      <c r="H543" s="16"/>
      <c r="I543" s="16"/>
      <c r="J543" s="16"/>
      <c r="K543" s="16"/>
      <c r="L543" s="94">
        <f t="shared" si="97"/>
        <v>0</v>
      </c>
      <c r="M543" s="13"/>
      <c r="N543" s="17"/>
      <c r="O543" s="5"/>
      <c r="P543" s="5"/>
      <c r="Q543" s="5"/>
      <c r="R543" s="5"/>
      <c r="S543" s="5"/>
      <c r="T543" s="5"/>
      <c r="U543" s="5"/>
      <c r="V543" s="5"/>
      <c r="W543" s="5"/>
      <c r="X543" s="5"/>
      <c r="Y543" s="5"/>
      <c r="Z543" s="5"/>
      <c r="AA543" s="5"/>
      <c r="AB543" s="5"/>
      <c r="AC543" s="5"/>
      <c r="AD543" s="5"/>
      <c r="AE543" s="5"/>
      <c r="AF543" s="5"/>
    </row>
    <row r="544" spans="1:32" ht="12" customHeight="1">
      <c r="A544" s="61" t="s">
        <v>452</v>
      </c>
      <c r="B544" s="10">
        <v>21</v>
      </c>
      <c r="C544" s="10">
        <v>19</v>
      </c>
      <c r="D544" s="2" t="s">
        <v>309</v>
      </c>
      <c r="E544" s="10"/>
      <c r="F544" s="16"/>
      <c r="G544" s="16"/>
      <c r="H544" s="16"/>
      <c r="I544" s="16"/>
      <c r="J544" s="16"/>
      <c r="K544" s="16"/>
      <c r="L544" s="94">
        <f t="shared" si="97"/>
        <v>0</v>
      </c>
      <c r="M544" s="13"/>
      <c r="N544" s="17"/>
      <c r="O544" s="5"/>
      <c r="P544" s="5"/>
      <c r="Q544" s="5"/>
      <c r="R544" s="5"/>
      <c r="S544" s="5"/>
      <c r="T544" s="5"/>
      <c r="U544" s="5"/>
      <c r="V544" s="5"/>
      <c r="W544" s="5"/>
      <c r="X544" s="5"/>
      <c r="Y544" s="5"/>
      <c r="Z544" s="5"/>
      <c r="AA544" s="5"/>
      <c r="AB544" s="5"/>
      <c r="AC544" s="5"/>
      <c r="AD544" s="5"/>
      <c r="AE544" s="5"/>
      <c r="AF544" s="5"/>
    </row>
    <row r="545" spans="1:32" ht="12" customHeight="1">
      <c r="A545" s="98" t="s">
        <v>461</v>
      </c>
      <c r="B545" s="71">
        <v>21</v>
      </c>
      <c r="C545" s="71">
        <v>20</v>
      </c>
      <c r="D545" s="99" t="s">
        <v>309</v>
      </c>
      <c r="E545" s="71"/>
      <c r="F545" s="100">
        <f t="shared" ref="F545:L545" si="98">SUM(F542:F544)</f>
        <v>0</v>
      </c>
      <c r="G545" s="100">
        <f t="shared" si="98"/>
        <v>0</v>
      </c>
      <c r="H545" s="100">
        <f t="shared" si="98"/>
        <v>0</v>
      </c>
      <c r="I545" s="100">
        <f t="shared" si="98"/>
        <v>0</v>
      </c>
      <c r="J545" s="100">
        <f t="shared" si="98"/>
        <v>0</v>
      </c>
      <c r="K545" s="100">
        <f t="shared" si="98"/>
        <v>0</v>
      </c>
      <c r="L545" s="100">
        <f t="shared" si="98"/>
        <v>0</v>
      </c>
      <c r="M545" s="13"/>
      <c r="N545" s="17"/>
      <c r="O545" s="5"/>
      <c r="P545" s="5"/>
      <c r="Q545" s="5"/>
      <c r="R545" s="5"/>
      <c r="S545" s="5"/>
      <c r="T545" s="5"/>
      <c r="U545" s="5"/>
      <c r="V545" s="5"/>
      <c r="W545" s="5"/>
      <c r="X545" s="5"/>
      <c r="Y545" s="5"/>
      <c r="Z545" s="5"/>
      <c r="AA545" s="5"/>
      <c r="AB545" s="5"/>
      <c r="AC545" s="5"/>
      <c r="AD545" s="5"/>
      <c r="AE545" s="5"/>
      <c r="AF545" s="5"/>
    </row>
    <row r="546" spans="1:32" ht="12" customHeight="1">
      <c r="A546" s="101" t="s">
        <v>462</v>
      </c>
      <c r="B546" s="40">
        <v>21</v>
      </c>
      <c r="C546" s="40">
        <v>21</v>
      </c>
      <c r="D546" s="95" t="s">
        <v>309</v>
      </c>
      <c r="E546" s="40"/>
      <c r="F546" s="97">
        <f t="shared" ref="F546:L546" si="99">F525+F530+F535+F540+F545</f>
        <v>39202.39</v>
      </c>
      <c r="G546" s="97">
        <f t="shared" si="99"/>
        <v>23946.65</v>
      </c>
      <c r="H546" s="97">
        <f t="shared" si="99"/>
        <v>139077.52000000002</v>
      </c>
      <c r="I546" s="97">
        <f t="shared" si="99"/>
        <v>2115.69</v>
      </c>
      <c r="J546" s="97">
        <f t="shared" si="99"/>
        <v>0</v>
      </c>
      <c r="K546" s="97">
        <f t="shared" si="99"/>
        <v>63</v>
      </c>
      <c r="L546" s="97">
        <f t="shared" si="99"/>
        <v>204405.25</v>
      </c>
      <c r="M546" s="13"/>
      <c r="N546" s="17"/>
      <c r="O546" s="5"/>
      <c r="P546" s="5"/>
      <c r="Q546" s="5"/>
      <c r="R546" s="5"/>
      <c r="S546" s="5"/>
      <c r="T546" s="5"/>
      <c r="U546" s="5"/>
      <c r="V546" s="5"/>
      <c r="W546" s="5"/>
      <c r="X546" s="5"/>
      <c r="Y546" s="5"/>
      <c r="Z546" s="5"/>
      <c r="AA546" s="5"/>
      <c r="AB546" s="5"/>
      <c r="AC546" s="5"/>
      <c r="AD546" s="5"/>
      <c r="AE546" s="5"/>
      <c r="AF546" s="5"/>
    </row>
    <row r="547" spans="1:32" ht="12" customHeight="1">
      <c r="A547" s="61"/>
      <c r="B547" s="10"/>
      <c r="C547" s="10"/>
      <c r="D547" s="10"/>
      <c r="E547" s="10"/>
      <c r="F547" s="94"/>
      <c r="G547" s="94"/>
      <c r="H547" s="94"/>
      <c r="I547" s="94"/>
      <c r="J547" s="94"/>
      <c r="K547" s="94"/>
      <c r="L547" s="94"/>
      <c r="M547" s="13"/>
      <c r="N547" s="17"/>
      <c r="O547" s="5"/>
      <c r="P547" s="5"/>
      <c r="Q547" s="5"/>
      <c r="R547" s="5"/>
      <c r="S547" s="5"/>
      <c r="T547" s="5"/>
      <c r="U547" s="5"/>
      <c r="V547" s="5"/>
      <c r="W547" s="5"/>
      <c r="X547" s="5"/>
      <c r="Y547" s="5"/>
      <c r="Z547" s="5"/>
      <c r="AA547" s="5"/>
      <c r="AB547" s="5"/>
      <c r="AC547" s="5"/>
      <c r="AD547" s="5"/>
      <c r="AE547" s="5"/>
      <c r="AF547" s="5"/>
    </row>
    <row r="548" spans="1:32" ht="12" customHeight="1">
      <c r="A548" s="92" t="s">
        <v>463</v>
      </c>
      <c r="B548" s="10"/>
      <c r="C548" s="10"/>
      <c r="D548" s="10"/>
      <c r="E548" s="10"/>
      <c r="F548" s="90" t="s">
        <v>464</v>
      </c>
      <c r="G548" s="94" t="s">
        <v>465</v>
      </c>
      <c r="H548" s="94" t="s">
        <v>466</v>
      </c>
      <c r="I548" s="90" t="s">
        <v>467</v>
      </c>
      <c r="J548" s="94" t="s">
        <v>468</v>
      </c>
      <c r="K548" s="90" t="s">
        <v>469</v>
      </c>
      <c r="L548" s="15" t="s">
        <v>31</v>
      </c>
      <c r="M548" s="13"/>
      <c r="N548" s="17"/>
      <c r="O548" s="5"/>
      <c r="P548" s="5"/>
      <c r="Q548" s="5"/>
      <c r="R548" s="5"/>
      <c r="S548" s="5"/>
      <c r="T548" s="5"/>
      <c r="U548" s="5"/>
      <c r="V548" s="5"/>
      <c r="W548" s="5"/>
      <c r="X548" s="5"/>
      <c r="Y548" s="5"/>
      <c r="Z548" s="5"/>
      <c r="AA548" s="5"/>
      <c r="AB548" s="5"/>
      <c r="AC548" s="5"/>
      <c r="AD548" s="5"/>
      <c r="AE548" s="5"/>
      <c r="AF548" s="5"/>
    </row>
    <row r="549" spans="1:32" ht="12" customHeight="1">
      <c r="A549" s="92" t="s">
        <v>470</v>
      </c>
      <c r="B549" s="10"/>
      <c r="C549" s="10"/>
      <c r="D549" s="10"/>
      <c r="E549" s="10"/>
      <c r="F549" s="90" t="s">
        <v>471</v>
      </c>
      <c r="G549" s="90" t="s">
        <v>472</v>
      </c>
      <c r="H549" s="90" t="s">
        <v>473</v>
      </c>
      <c r="I549" s="90" t="s">
        <v>474</v>
      </c>
      <c r="J549" s="90" t="s">
        <v>475</v>
      </c>
      <c r="K549" s="94"/>
      <c r="L549" s="15" t="s">
        <v>31</v>
      </c>
      <c r="M549" s="13"/>
      <c r="N549" s="17"/>
      <c r="O549" s="5"/>
      <c r="P549" s="5"/>
      <c r="Q549" s="5"/>
      <c r="R549" s="5"/>
      <c r="S549" s="5"/>
      <c r="T549" s="5"/>
      <c r="U549" s="5"/>
      <c r="V549" s="5"/>
      <c r="W549" s="5"/>
      <c r="X549" s="5"/>
      <c r="Y549" s="5"/>
      <c r="Z549" s="5"/>
      <c r="AA549" s="5"/>
      <c r="AB549" s="5"/>
      <c r="AC549" s="5"/>
      <c r="AD549" s="5"/>
      <c r="AE549" s="5"/>
      <c r="AF549" s="5"/>
    </row>
    <row r="550" spans="1:32" ht="12" customHeight="1">
      <c r="A550" s="61" t="s">
        <v>450</v>
      </c>
      <c r="B550" s="10">
        <v>21</v>
      </c>
      <c r="C550" s="10">
        <v>22</v>
      </c>
      <c r="D550" s="2" t="s">
        <v>309</v>
      </c>
      <c r="E550" s="10"/>
      <c r="F550" s="94">
        <f t="shared" ref="F550:F552" si="100">L522</f>
        <v>50927.98</v>
      </c>
      <c r="G550" s="94">
        <f t="shared" ref="G550:G552" si="101">L527</f>
        <v>104357.63</v>
      </c>
      <c r="H550" s="94">
        <f t="shared" ref="H550:H552" si="102">L532</f>
        <v>0</v>
      </c>
      <c r="I550" s="94">
        <f t="shared" ref="I550:I552" si="103">L537</f>
        <v>0</v>
      </c>
      <c r="J550" s="94">
        <f t="shared" ref="J550:J552" si="104">L542</f>
        <v>0</v>
      </c>
      <c r="K550" s="94">
        <f t="shared" ref="K550:K552" si="105">SUM(F550:J550)</f>
        <v>155285.61000000002</v>
      </c>
      <c r="L550" s="15" t="s">
        <v>31</v>
      </c>
      <c r="M550" s="13"/>
      <c r="N550" s="17"/>
      <c r="O550" s="5"/>
      <c r="P550" s="5"/>
      <c r="Q550" s="5"/>
      <c r="R550" s="5"/>
      <c r="S550" s="5"/>
      <c r="T550" s="5"/>
      <c r="U550" s="5"/>
      <c r="V550" s="5"/>
      <c r="W550" s="5"/>
      <c r="X550" s="5"/>
      <c r="Y550" s="5"/>
      <c r="Z550" s="5"/>
      <c r="AA550" s="5"/>
      <c r="AB550" s="5"/>
      <c r="AC550" s="5"/>
      <c r="AD550" s="5"/>
      <c r="AE550" s="5"/>
      <c r="AF550" s="5"/>
    </row>
    <row r="551" spans="1:32" ht="12" customHeight="1">
      <c r="A551" s="61" t="s">
        <v>451</v>
      </c>
      <c r="B551" s="10">
        <v>21</v>
      </c>
      <c r="C551" s="10">
        <v>23</v>
      </c>
      <c r="D551" s="2" t="s">
        <v>309</v>
      </c>
      <c r="E551" s="10"/>
      <c r="F551" s="94">
        <f t="shared" si="100"/>
        <v>38489.89</v>
      </c>
      <c r="G551" s="94">
        <f t="shared" si="101"/>
        <v>0</v>
      </c>
      <c r="H551" s="94">
        <f t="shared" si="102"/>
        <v>0</v>
      </c>
      <c r="I551" s="94">
        <f t="shared" si="103"/>
        <v>0</v>
      </c>
      <c r="J551" s="94">
        <f t="shared" si="104"/>
        <v>0</v>
      </c>
      <c r="K551" s="94">
        <f t="shared" si="105"/>
        <v>38489.89</v>
      </c>
      <c r="L551" s="15" t="s">
        <v>31</v>
      </c>
      <c r="M551" s="13"/>
      <c r="N551" s="17"/>
      <c r="O551" s="5"/>
      <c r="P551" s="5"/>
      <c r="Q551" s="5"/>
      <c r="R551" s="5"/>
      <c r="S551" s="5"/>
      <c r="T551" s="5"/>
      <c r="U551" s="5"/>
      <c r="V551" s="5"/>
      <c r="W551" s="5"/>
      <c r="X551" s="5"/>
      <c r="Y551" s="5"/>
      <c r="Z551" s="5"/>
      <c r="AA551" s="5"/>
      <c r="AB551" s="5"/>
      <c r="AC551" s="5"/>
      <c r="AD551" s="5"/>
      <c r="AE551" s="5"/>
      <c r="AF551" s="5"/>
    </row>
    <row r="552" spans="1:32" ht="12" customHeight="1">
      <c r="A552" s="61" t="s">
        <v>452</v>
      </c>
      <c r="B552" s="10">
        <v>21</v>
      </c>
      <c r="C552" s="10">
        <v>24</v>
      </c>
      <c r="D552" s="2" t="s">
        <v>309</v>
      </c>
      <c r="E552" s="10"/>
      <c r="F552" s="94">
        <f t="shared" si="100"/>
        <v>10629.75</v>
      </c>
      <c r="G552" s="94">
        <f t="shared" si="101"/>
        <v>0</v>
      </c>
      <c r="H552" s="94">
        <f t="shared" si="102"/>
        <v>0</v>
      </c>
      <c r="I552" s="94">
        <f t="shared" si="103"/>
        <v>0</v>
      </c>
      <c r="J552" s="94">
        <f t="shared" si="104"/>
        <v>0</v>
      </c>
      <c r="K552" s="94">
        <f t="shared" si="105"/>
        <v>10629.75</v>
      </c>
      <c r="L552" s="15" t="s">
        <v>31</v>
      </c>
      <c r="M552" s="13"/>
      <c r="N552" s="17"/>
      <c r="O552" s="5"/>
      <c r="P552" s="5"/>
      <c r="Q552" s="5"/>
      <c r="R552" s="5"/>
      <c r="S552" s="5"/>
      <c r="T552" s="5"/>
      <c r="U552" s="5"/>
      <c r="V552" s="5"/>
      <c r="W552" s="5"/>
      <c r="X552" s="5"/>
      <c r="Y552" s="5"/>
      <c r="Z552" s="5"/>
      <c r="AA552" s="5"/>
      <c r="AB552" s="5"/>
      <c r="AC552" s="5"/>
      <c r="AD552" s="5"/>
      <c r="AE552" s="5"/>
      <c r="AF552" s="5"/>
    </row>
    <row r="553" spans="1:32" ht="12" customHeight="1">
      <c r="A553" s="101" t="s">
        <v>307</v>
      </c>
      <c r="B553" s="40">
        <v>21</v>
      </c>
      <c r="C553" s="40">
        <v>25</v>
      </c>
      <c r="D553" s="20" t="s">
        <v>309</v>
      </c>
      <c r="E553" s="40"/>
      <c r="F553" s="97">
        <f t="shared" ref="F553:K553" si="106">SUM(F550:F552)</f>
        <v>100047.62</v>
      </c>
      <c r="G553" s="97">
        <f t="shared" si="106"/>
        <v>104357.63</v>
      </c>
      <c r="H553" s="97">
        <f t="shared" si="106"/>
        <v>0</v>
      </c>
      <c r="I553" s="97">
        <f t="shared" si="106"/>
        <v>0</v>
      </c>
      <c r="J553" s="97">
        <f t="shared" si="106"/>
        <v>0</v>
      </c>
      <c r="K553" s="97">
        <f t="shared" si="106"/>
        <v>204405.25</v>
      </c>
      <c r="L553" s="15"/>
      <c r="M553" s="13"/>
      <c r="N553" s="17"/>
      <c r="O553" s="5"/>
      <c r="P553" s="5"/>
      <c r="Q553" s="5"/>
      <c r="R553" s="5"/>
      <c r="S553" s="5"/>
      <c r="T553" s="5"/>
      <c r="U553" s="5"/>
      <c r="V553" s="5"/>
      <c r="W553" s="5"/>
      <c r="X553" s="5"/>
      <c r="Y553" s="5"/>
      <c r="Z553" s="5"/>
      <c r="AA553" s="5"/>
      <c r="AB553" s="5"/>
      <c r="AC553" s="5"/>
      <c r="AD553" s="5"/>
      <c r="AE553" s="5"/>
      <c r="AF553" s="5"/>
    </row>
    <row r="554" spans="1:32" ht="12" customHeight="1">
      <c r="A554" s="78" t="s">
        <v>476</v>
      </c>
      <c r="B554" s="10"/>
      <c r="C554" s="10"/>
      <c r="D554" s="10"/>
      <c r="E554" s="10"/>
      <c r="F554" s="94"/>
      <c r="G554" s="94"/>
      <c r="H554" s="94"/>
      <c r="I554" s="94"/>
      <c r="J554" s="94"/>
      <c r="K554" s="94"/>
      <c r="L554" s="94"/>
      <c r="M554" s="13"/>
      <c r="N554" s="17"/>
      <c r="O554" s="5"/>
      <c r="P554" s="5"/>
      <c r="Q554" s="5"/>
      <c r="R554" s="5"/>
      <c r="S554" s="5"/>
      <c r="T554" s="5"/>
      <c r="U554" s="5"/>
      <c r="V554" s="5"/>
      <c r="W554" s="5"/>
      <c r="X554" s="5"/>
      <c r="Y554" s="5"/>
      <c r="Z554" s="5"/>
      <c r="AA554" s="5"/>
      <c r="AB554" s="5"/>
      <c r="AC554" s="5"/>
      <c r="AD554" s="5"/>
      <c r="AE554" s="5"/>
      <c r="AF554" s="5"/>
    </row>
    <row r="555" spans="1:32" ht="12" customHeight="1">
      <c r="A555" s="5"/>
      <c r="B555" s="10"/>
      <c r="C555" s="10"/>
      <c r="D555" s="10"/>
      <c r="E555" s="10"/>
      <c r="F555" s="4" t="s">
        <v>206</v>
      </c>
      <c r="G555" s="4" t="s">
        <v>207</v>
      </c>
      <c r="H555" s="4" t="s">
        <v>208</v>
      </c>
      <c r="I555" s="4" t="s">
        <v>209</v>
      </c>
      <c r="J555" s="4" t="s">
        <v>210</v>
      </c>
      <c r="K555" s="4" t="s">
        <v>211</v>
      </c>
      <c r="L555" s="90"/>
      <c r="M555" s="13"/>
      <c r="N555" s="17"/>
      <c r="O555" s="5"/>
      <c r="P555" s="5"/>
      <c r="Q555" s="5"/>
      <c r="R555" s="5"/>
      <c r="S555" s="5"/>
      <c r="T555" s="5"/>
      <c r="U555" s="5"/>
      <c r="V555" s="5"/>
      <c r="W555" s="5"/>
      <c r="X555" s="5"/>
      <c r="Y555" s="5"/>
      <c r="Z555" s="5"/>
      <c r="AA555" s="5"/>
      <c r="AB555" s="5"/>
      <c r="AC555" s="5"/>
      <c r="AD555" s="5"/>
      <c r="AE555" s="5"/>
      <c r="AF555" s="5"/>
    </row>
    <row r="556" spans="1:32" ht="12" customHeight="1">
      <c r="A556" s="78" t="s">
        <v>477</v>
      </c>
      <c r="B556" s="10"/>
      <c r="C556" s="10"/>
      <c r="D556" s="10"/>
      <c r="E556" s="10"/>
      <c r="F556" s="45" t="s">
        <v>213</v>
      </c>
      <c r="G556" s="45" t="s">
        <v>214</v>
      </c>
      <c r="H556" s="90" t="s">
        <v>215</v>
      </c>
      <c r="I556" s="90" t="s">
        <v>216</v>
      </c>
      <c r="J556" s="90" t="s">
        <v>217</v>
      </c>
      <c r="K556" s="90" t="s">
        <v>218</v>
      </c>
      <c r="L556" s="90" t="s">
        <v>219</v>
      </c>
      <c r="M556" s="13"/>
      <c r="N556" s="17"/>
      <c r="O556" s="5"/>
      <c r="P556" s="5"/>
      <c r="Q556" s="5"/>
      <c r="R556" s="5"/>
      <c r="S556" s="5"/>
      <c r="T556" s="5"/>
      <c r="U556" s="5"/>
      <c r="V556" s="5"/>
      <c r="W556" s="5"/>
      <c r="X556" s="5"/>
      <c r="Y556" s="5"/>
      <c r="Z556" s="5"/>
      <c r="AA556" s="5"/>
      <c r="AB556" s="5"/>
      <c r="AC556" s="5"/>
      <c r="AD556" s="5"/>
      <c r="AE556" s="5"/>
      <c r="AF556" s="5"/>
    </row>
    <row r="557" spans="1:32" ht="12" customHeight="1">
      <c r="A557" s="78" t="s">
        <v>478</v>
      </c>
      <c r="B557" s="10"/>
      <c r="C557" s="10"/>
      <c r="D557" s="10"/>
      <c r="E557" s="10"/>
      <c r="F557" s="15" t="s">
        <v>31</v>
      </c>
      <c r="G557" s="15" t="s">
        <v>31</v>
      </c>
      <c r="H557" s="15" t="s">
        <v>31</v>
      </c>
      <c r="I557" s="15" t="s">
        <v>31</v>
      </c>
      <c r="J557" s="15" t="s">
        <v>31</v>
      </c>
      <c r="K557" s="15" t="s">
        <v>31</v>
      </c>
      <c r="L557" s="15" t="s">
        <v>31</v>
      </c>
      <c r="M557" s="13"/>
      <c r="N557" s="17"/>
      <c r="O557" s="5"/>
      <c r="P557" s="5"/>
      <c r="Q557" s="5"/>
      <c r="R557" s="5"/>
      <c r="S557" s="5"/>
      <c r="T557" s="5"/>
      <c r="U557" s="5"/>
      <c r="V557" s="5"/>
      <c r="W557" s="5"/>
      <c r="X557" s="5"/>
      <c r="Y557" s="5"/>
      <c r="Z557" s="5"/>
      <c r="AA557" s="5"/>
      <c r="AB557" s="5"/>
      <c r="AC557" s="5"/>
      <c r="AD557" s="5"/>
      <c r="AE557" s="5"/>
      <c r="AF557" s="5"/>
    </row>
    <row r="558" spans="1:32" ht="12" customHeight="1">
      <c r="A558" s="61" t="s">
        <v>450</v>
      </c>
      <c r="B558" s="10">
        <v>22</v>
      </c>
      <c r="C558" s="10">
        <v>1</v>
      </c>
      <c r="D558" s="2" t="s">
        <v>309</v>
      </c>
      <c r="E558" s="10"/>
      <c r="F558" s="16"/>
      <c r="G558" s="16"/>
      <c r="H558" s="16"/>
      <c r="I558" s="16"/>
      <c r="J558" s="16"/>
      <c r="K558" s="16"/>
      <c r="L558" s="94">
        <f t="shared" ref="L558:L560" si="107">SUM(F558:K558)</f>
        <v>0</v>
      </c>
      <c r="M558" s="13"/>
      <c r="N558" s="17"/>
      <c r="O558" s="5"/>
      <c r="P558" s="5"/>
      <c r="Q558" s="5"/>
      <c r="R558" s="5"/>
      <c r="S558" s="5"/>
      <c r="T558" s="5"/>
      <c r="U558" s="5"/>
      <c r="V558" s="5"/>
      <c r="W558" s="5"/>
      <c r="X558" s="5"/>
      <c r="Y558" s="5"/>
      <c r="Z558" s="5"/>
      <c r="AA558" s="5"/>
      <c r="AB558" s="5"/>
      <c r="AC558" s="5"/>
      <c r="AD558" s="5"/>
      <c r="AE558" s="5"/>
      <c r="AF558" s="5"/>
    </row>
    <row r="559" spans="1:32" ht="12" customHeight="1">
      <c r="A559" s="61" t="s">
        <v>451</v>
      </c>
      <c r="B559" s="10">
        <v>22</v>
      </c>
      <c r="C559" s="10">
        <v>2</v>
      </c>
      <c r="D559" s="2" t="s">
        <v>309</v>
      </c>
      <c r="E559" s="10"/>
      <c r="F559" s="16"/>
      <c r="G559" s="16"/>
      <c r="H559" s="16"/>
      <c r="I559" s="16"/>
      <c r="J559" s="16"/>
      <c r="K559" s="16"/>
      <c r="L559" s="94">
        <f t="shared" si="107"/>
        <v>0</v>
      </c>
      <c r="M559" s="13"/>
      <c r="N559" s="17"/>
      <c r="O559" s="5"/>
      <c r="P559" s="5"/>
      <c r="Q559" s="5"/>
      <c r="R559" s="5"/>
      <c r="S559" s="5"/>
      <c r="T559" s="5"/>
      <c r="U559" s="5"/>
      <c r="V559" s="5"/>
      <c r="W559" s="5"/>
      <c r="X559" s="5"/>
      <c r="Y559" s="5"/>
      <c r="Z559" s="5"/>
      <c r="AA559" s="5"/>
      <c r="AB559" s="5"/>
      <c r="AC559" s="5"/>
      <c r="AD559" s="5"/>
      <c r="AE559" s="5"/>
      <c r="AF559" s="5"/>
    </row>
    <row r="560" spans="1:32" ht="12" customHeight="1">
      <c r="A560" s="61" t="s">
        <v>452</v>
      </c>
      <c r="B560" s="10">
        <v>22</v>
      </c>
      <c r="C560" s="10">
        <v>3</v>
      </c>
      <c r="D560" s="2" t="s">
        <v>309</v>
      </c>
      <c r="E560" s="10"/>
      <c r="F560" s="16"/>
      <c r="G560" s="16"/>
      <c r="H560" s="16"/>
      <c r="I560" s="16"/>
      <c r="J560" s="16"/>
      <c r="K560" s="16"/>
      <c r="L560" s="94">
        <f t="shared" si="107"/>
        <v>0</v>
      </c>
      <c r="M560" s="13"/>
      <c r="N560" s="17"/>
      <c r="O560" s="5"/>
      <c r="P560" s="5"/>
      <c r="Q560" s="5"/>
      <c r="R560" s="5"/>
      <c r="S560" s="5"/>
      <c r="T560" s="5"/>
      <c r="U560" s="5"/>
      <c r="V560" s="5"/>
      <c r="W560" s="5"/>
      <c r="X560" s="5"/>
      <c r="Y560" s="5"/>
      <c r="Z560" s="5"/>
      <c r="AA560" s="5"/>
      <c r="AB560" s="5"/>
      <c r="AC560" s="5"/>
      <c r="AD560" s="5"/>
      <c r="AE560" s="5"/>
      <c r="AF560" s="5"/>
    </row>
    <row r="561" spans="1:32" ht="12" customHeight="1">
      <c r="A561" s="60" t="s">
        <v>453</v>
      </c>
      <c r="B561" s="40">
        <v>22</v>
      </c>
      <c r="C561" s="40">
        <v>4</v>
      </c>
      <c r="D561" s="95" t="s">
        <v>309</v>
      </c>
      <c r="E561" s="40"/>
      <c r="F561" s="96">
        <f t="shared" ref="F561:L561" si="108">SUM(F558:F560)</f>
        <v>0</v>
      </c>
      <c r="G561" s="96">
        <f t="shared" si="108"/>
        <v>0</v>
      </c>
      <c r="H561" s="96">
        <f t="shared" si="108"/>
        <v>0</v>
      </c>
      <c r="I561" s="96">
        <f t="shared" si="108"/>
        <v>0</v>
      </c>
      <c r="J561" s="96">
        <f t="shared" si="108"/>
        <v>0</v>
      </c>
      <c r="K561" s="96">
        <f t="shared" si="108"/>
        <v>0</v>
      </c>
      <c r="L561" s="97">
        <f t="shared" si="108"/>
        <v>0</v>
      </c>
      <c r="M561" s="13"/>
      <c r="N561" s="17"/>
      <c r="O561" s="5"/>
      <c r="P561" s="5"/>
      <c r="Q561" s="5"/>
      <c r="R561" s="5"/>
      <c r="S561" s="5"/>
      <c r="T561" s="5"/>
      <c r="U561" s="5"/>
      <c r="V561" s="5"/>
      <c r="W561" s="5"/>
      <c r="X561" s="5"/>
      <c r="Y561" s="5"/>
      <c r="Z561" s="5"/>
      <c r="AA561" s="5"/>
      <c r="AB561" s="5"/>
      <c r="AC561" s="5"/>
      <c r="AD561" s="5"/>
      <c r="AE561" s="5"/>
      <c r="AF561" s="5"/>
    </row>
    <row r="562" spans="1:32" ht="12" customHeight="1">
      <c r="A562" s="78" t="s">
        <v>479</v>
      </c>
      <c r="B562" s="10"/>
      <c r="C562" s="10"/>
      <c r="D562" s="10"/>
      <c r="E562" s="10"/>
      <c r="F562" s="15" t="s">
        <v>31</v>
      </c>
      <c r="G562" s="15" t="s">
        <v>31</v>
      </c>
      <c r="H562" s="15" t="s">
        <v>31</v>
      </c>
      <c r="I562" s="15" t="s">
        <v>31</v>
      </c>
      <c r="J562" s="15" t="s">
        <v>31</v>
      </c>
      <c r="K562" s="15" t="s">
        <v>31</v>
      </c>
      <c r="L562" s="15" t="s">
        <v>31</v>
      </c>
      <c r="M562" s="13"/>
      <c r="N562" s="17"/>
      <c r="O562" s="5"/>
      <c r="P562" s="5"/>
      <c r="Q562" s="5"/>
      <c r="R562" s="5"/>
      <c r="S562" s="5"/>
      <c r="T562" s="5"/>
      <c r="U562" s="5"/>
      <c r="V562" s="5"/>
      <c r="W562" s="5"/>
      <c r="X562" s="5"/>
      <c r="Y562" s="5"/>
      <c r="Z562" s="5"/>
      <c r="AA562" s="5"/>
      <c r="AB562" s="5"/>
      <c r="AC562" s="5"/>
      <c r="AD562" s="5"/>
      <c r="AE562" s="5"/>
      <c r="AF562" s="5"/>
    </row>
    <row r="563" spans="1:32" ht="12" customHeight="1">
      <c r="A563" s="61" t="s">
        <v>450</v>
      </c>
      <c r="B563" s="10">
        <v>22</v>
      </c>
      <c r="C563" s="10">
        <v>5</v>
      </c>
      <c r="D563" s="2" t="s">
        <v>309</v>
      </c>
      <c r="E563" s="10"/>
      <c r="F563" s="16"/>
      <c r="G563" s="16"/>
      <c r="H563" s="16"/>
      <c r="I563" s="16"/>
      <c r="J563" s="16"/>
      <c r="K563" s="16"/>
      <c r="L563" s="94">
        <f t="shared" ref="L563:L565" si="109">SUM(F563:K563)</f>
        <v>0</v>
      </c>
      <c r="M563" s="13"/>
      <c r="N563" s="17"/>
      <c r="O563" s="5"/>
      <c r="P563" s="5"/>
      <c r="Q563" s="5"/>
      <c r="R563" s="5"/>
      <c r="S563" s="5"/>
      <c r="T563" s="5"/>
      <c r="U563" s="5"/>
      <c r="V563" s="5"/>
      <c r="W563" s="5"/>
      <c r="X563" s="5"/>
      <c r="Y563" s="5"/>
      <c r="Z563" s="5"/>
      <c r="AA563" s="5"/>
      <c r="AB563" s="5"/>
      <c r="AC563" s="5"/>
      <c r="AD563" s="5"/>
      <c r="AE563" s="5"/>
      <c r="AF563" s="5"/>
    </row>
    <row r="564" spans="1:32" ht="12" customHeight="1">
      <c r="A564" s="61" t="s">
        <v>451</v>
      </c>
      <c r="B564" s="10">
        <v>22</v>
      </c>
      <c r="C564" s="10">
        <v>6</v>
      </c>
      <c r="D564" s="2" t="s">
        <v>309</v>
      </c>
      <c r="E564" s="10"/>
      <c r="F564" s="16"/>
      <c r="G564" s="16"/>
      <c r="H564" s="16"/>
      <c r="I564" s="16"/>
      <c r="J564" s="16"/>
      <c r="K564" s="16"/>
      <c r="L564" s="94">
        <f t="shared" si="109"/>
        <v>0</v>
      </c>
      <c r="M564" s="13"/>
      <c r="N564" s="17"/>
      <c r="O564" s="5"/>
      <c r="P564" s="5"/>
      <c r="Q564" s="5"/>
      <c r="R564" s="5"/>
      <c r="S564" s="5"/>
      <c r="T564" s="5"/>
      <c r="U564" s="5"/>
      <c r="V564" s="5"/>
      <c r="W564" s="5"/>
      <c r="X564" s="5"/>
      <c r="Y564" s="5"/>
      <c r="Z564" s="5"/>
      <c r="AA564" s="5"/>
      <c r="AB564" s="5"/>
      <c r="AC564" s="5"/>
      <c r="AD564" s="5"/>
      <c r="AE564" s="5"/>
      <c r="AF564" s="5"/>
    </row>
    <row r="565" spans="1:32" ht="12" customHeight="1">
      <c r="A565" s="61" t="s">
        <v>452</v>
      </c>
      <c r="B565" s="10">
        <v>22</v>
      </c>
      <c r="C565" s="10">
        <v>7</v>
      </c>
      <c r="D565" s="2" t="s">
        <v>309</v>
      </c>
      <c r="E565" s="10"/>
      <c r="F565" s="16"/>
      <c r="G565" s="16"/>
      <c r="H565" s="16"/>
      <c r="I565" s="16"/>
      <c r="J565" s="16"/>
      <c r="K565" s="16"/>
      <c r="L565" s="94">
        <f t="shared" si="109"/>
        <v>0</v>
      </c>
      <c r="M565" s="13"/>
      <c r="N565" s="17"/>
      <c r="O565" s="5"/>
      <c r="P565" s="5"/>
      <c r="Q565" s="5"/>
      <c r="R565" s="5"/>
      <c r="S565" s="5"/>
      <c r="T565" s="5"/>
      <c r="U565" s="5"/>
      <c r="V565" s="5"/>
      <c r="W565" s="5"/>
      <c r="X565" s="5"/>
      <c r="Y565" s="5"/>
      <c r="Z565" s="5"/>
      <c r="AA565" s="5"/>
      <c r="AB565" s="5"/>
      <c r="AC565" s="5"/>
      <c r="AD565" s="5"/>
      <c r="AE565" s="5"/>
      <c r="AF565" s="5"/>
    </row>
    <row r="566" spans="1:32" ht="12" customHeight="1">
      <c r="A566" s="60" t="s">
        <v>455</v>
      </c>
      <c r="B566" s="40">
        <v>22</v>
      </c>
      <c r="C566" s="40">
        <v>8</v>
      </c>
      <c r="D566" s="95" t="s">
        <v>309</v>
      </c>
      <c r="E566" s="40"/>
      <c r="F566" s="97">
        <f t="shared" ref="F566:L566" si="110">SUM(F563:F565)</f>
        <v>0</v>
      </c>
      <c r="G566" s="97">
        <f t="shared" si="110"/>
        <v>0</v>
      </c>
      <c r="H566" s="97">
        <f t="shared" si="110"/>
        <v>0</v>
      </c>
      <c r="I566" s="97">
        <f t="shared" si="110"/>
        <v>0</v>
      </c>
      <c r="J566" s="97">
        <f t="shared" si="110"/>
        <v>0</v>
      </c>
      <c r="K566" s="97">
        <f t="shared" si="110"/>
        <v>0</v>
      </c>
      <c r="L566" s="97">
        <f t="shared" si="110"/>
        <v>0</v>
      </c>
      <c r="M566" s="13"/>
      <c r="N566" s="17"/>
      <c r="O566" s="5"/>
      <c r="P566" s="5"/>
      <c r="Q566" s="5"/>
      <c r="R566" s="5"/>
      <c r="S566" s="5"/>
      <c r="T566" s="5"/>
      <c r="U566" s="5"/>
      <c r="V566" s="5"/>
      <c r="W566" s="5"/>
      <c r="X566" s="5"/>
      <c r="Y566" s="5"/>
      <c r="Z566" s="5"/>
      <c r="AA566" s="5"/>
      <c r="AB566" s="5"/>
      <c r="AC566" s="5"/>
      <c r="AD566" s="5"/>
      <c r="AE566" s="5"/>
      <c r="AF566" s="5"/>
    </row>
    <row r="567" spans="1:32" ht="12" customHeight="1">
      <c r="A567" s="78" t="s">
        <v>480</v>
      </c>
      <c r="B567" s="10"/>
      <c r="C567" s="10"/>
      <c r="D567" s="10"/>
      <c r="E567" s="10"/>
      <c r="F567" s="15" t="s">
        <v>31</v>
      </c>
      <c r="G567" s="15" t="s">
        <v>31</v>
      </c>
      <c r="H567" s="15" t="s">
        <v>31</v>
      </c>
      <c r="I567" s="15" t="s">
        <v>31</v>
      </c>
      <c r="J567" s="15" t="s">
        <v>31</v>
      </c>
      <c r="K567" s="15" t="s">
        <v>31</v>
      </c>
      <c r="L567" s="15" t="s">
        <v>31</v>
      </c>
      <c r="M567" s="13"/>
      <c r="N567" s="17"/>
      <c r="O567" s="5"/>
      <c r="P567" s="5"/>
      <c r="Q567" s="5"/>
      <c r="R567" s="5"/>
      <c r="S567" s="5"/>
      <c r="T567" s="5"/>
      <c r="U567" s="5"/>
      <c r="V567" s="5"/>
      <c r="W567" s="5"/>
      <c r="X567" s="5"/>
      <c r="Y567" s="5"/>
      <c r="Z567" s="5"/>
      <c r="AA567" s="5"/>
      <c r="AB567" s="5"/>
      <c r="AC567" s="5"/>
      <c r="AD567" s="5"/>
      <c r="AE567" s="5"/>
      <c r="AF567" s="5"/>
    </row>
    <row r="568" spans="1:32" ht="12" customHeight="1">
      <c r="A568" s="61" t="s">
        <v>450</v>
      </c>
      <c r="B568" s="10">
        <v>22</v>
      </c>
      <c r="C568" s="10">
        <v>9</v>
      </c>
      <c r="D568" s="2" t="s">
        <v>309</v>
      </c>
      <c r="E568" s="10"/>
      <c r="F568" s="16"/>
      <c r="G568" s="16"/>
      <c r="H568" s="16"/>
      <c r="I568" s="16"/>
      <c r="J568" s="16"/>
      <c r="K568" s="16"/>
      <c r="L568" s="94">
        <f t="shared" ref="L568:L570" si="111">SUM(F568:K568)</f>
        <v>0</v>
      </c>
      <c r="M568" s="13"/>
      <c r="N568" s="17"/>
      <c r="O568" s="5"/>
      <c r="P568" s="5"/>
      <c r="Q568" s="5"/>
      <c r="R568" s="5"/>
      <c r="S568" s="5"/>
      <c r="T568" s="5"/>
      <c r="U568" s="5"/>
      <c r="V568" s="5"/>
      <c r="W568" s="5"/>
      <c r="X568" s="5"/>
      <c r="Y568" s="5"/>
      <c r="Z568" s="5"/>
      <c r="AA568" s="5"/>
      <c r="AB568" s="5"/>
      <c r="AC568" s="5"/>
      <c r="AD568" s="5"/>
      <c r="AE568" s="5"/>
      <c r="AF568" s="5"/>
    </row>
    <row r="569" spans="1:32" ht="12" customHeight="1">
      <c r="A569" s="61" t="s">
        <v>451</v>
      </c>
      <c r="B569" s="10">
        <v>22</v>
      </c>
      <c r="C569" s="10">
        <v>10</v>
      </c>
      <c r="D569" s="2" t="s">
        <v>309</v>
      </c>
      <c r="E569" s="10"/>
      <c r="F569" s="16"/>
      <c r="G569" s="16"/>
      <c r="H569" s="16"/>
      <c r="I569" s="16"/>
      <c r="J569" s="16"/>
      <c r="K569" s="16"/>
      <c r="L569" s="94">
        <f t="shared" si="111"/>
        <v>0</v>
      </c>
      <c r="M569" s="13"/>
      <c r="N569" s="17"/>
      <c r="O569" s="5"/>
      <c r="P569" s="5"/>
      <c r="Q569" s="5"/>
      <c r="R569" s="5"/>
      <c r="S569" s="5"/>
      <c r="T569" s="5"/>
      <c r="U569" s="5"/>
      <c r="V569" s="5"/>
      <c r="W569" s="5"/>
      <c r="X569" s="5"/>
      <c r="Y569" s="5"/>
      <c r="Z569" s="5"/>
      <c r="AA569" s="5"/>
      <c r="AB569" s="5"/>
      <c r="AC569" s="5"/>
      <c r="AD569" s="5"/>
      <c r="AE569" s="5"/>
      <c r="AF569" s="5"/>
    </row>
    <row r="570" spans="1:32" ht="12" customHeight="1">
      <c r="A570" s="61" t="s">
        <v>452</v>
      </c>
      <c r="B570" s="10">
        <v>22</v>
      </c>
      <c r="C570" s="10">
        <v>11</v>
      </c>
      <c r="D570" s="2" t="s">
        <v>309</v>
      </c>
      <c r="E570" s="10"/>
      <c r="F570" s="16"/>
      <c r="G570" s="16"/>
      <c r="H570" s="16"/>
      <c r="I570" s="16"/>
      <c r="J570" s="16"/>
      <c r="K570" s="16"/>
      <c r="L570" s="94">
        <f t="shared" si="111"/>
        <v>0</v>
      </c>
      <c r="M570" s="13"/>
      <c r="N570" s="17"/>
      <c r="O570" s="5"/>
      <c r="P570" s="5"/>
      <c r="Q570" s="5"/>
      <c r="R570" s="5"/>
      <c r="S570" s="5"/>
      <c r="T570" s="5"/>
      <c r="U570" s="5"/>
      <c r="V570" s="5"/>
      <c r="W570" s="5"/>
      <c r="X570" s="5"/>
      <c r="Y570" s="5"/>
      <c r="Z570" s="5"/>
      <c r="AA570" s="5"/>
      <c r="AB570" s="5"/>
      <c r="AC570" s="5"/>
      <c r="AD570" s="5"/>
      <c r="AE570" s="5"/>
      <c r="AF570" s="5"/>
    </row>
    <row r="571" spans="1:32" ht="12" customHeight="1">
      <c r="A571" s="98" t="s">
        <v>457</v>
      </c>
      <c r="B571" s="71">
        <v>22</v>
      </c>
      <c r="C571" s="71">
        <v>12</v>
      </c>
      <c r="D571" s="99" t="s">
        <v>309</v>
      </c>
      <c r="E571" s="71"/>
      <c r="F571" s="100">
        <f t="shared" ref="F571:L571" si="112">SUM(F568:F570)</f>
        <v>0</v>
      </c>
      <c r="G571" s="100">
        <f t="shared" si="112"/>
        <v>0</v>
      </c>
      <c r="H571" s="100">
        <f t="shared" si="112"/>
        <v>0</v>
      </c>
      <c r="I571" s="100">
        <f t="shared" si="112"/>
        <v>0</v>
      </c>
      <c r="J571" s="100">
        <f t="shared" si="112"/>
        <v>0</v>
      </c>
      <c r="K571" s="100">
        <f t="shared" si="112"/>
        <v>0</v>
      </c>
      <c r="L571" s="100">
        <f t="shared" si="112"/>
        <v>0</v>
      </c>
      <c r="M571" s="13"/>
      <c r="N571" s="17"/>
      <c r="O571" s="5"/>
      <c r="P571" s="5"/>
      <c r="Q571" s="5"/>
      <c r="R571" s="5"/>
      <c r="S571" s="5"/>
      <c r="T571" s="5"/>
      <c r="U571" s="5"/>
      <c r="V571" s="5"/>
      <c r="W571" s="5"/>
      <c r="X571" s="5"/>
      <c r="Y571" s="5"/>
      <c r="Z571" s="5"/>
      <c r="AA571" s="5"/>
      <c r="AB571" s="5"/>
      <c r="AC571" s="5"/>
      <c r="AD571" s="5"/>
      <c r="AE571" s="5"/>
      <c r="AF571" s="5"/>
    </row>
    <row r="572" spans="1:32" ht="12" customHeight="1">
      <c r="A572" s="101" t="s">
        <v>481</v>
      </c>
      <c r="B572" s="40">
        <v>22</v>
      </c>
      <c r="C572" s="40">
        <v>13</v>
      </c>
      <c r="D572" s="95" t="s">
        <v>309</v>
      </c>
      <c r="E572" s="40"/>
      <c r="F572" s="97">
        <f t="shared" ref="F572:L572" si="113">F561+F566+F571</f>
        <v>0</v>
      </c>
      <c r="G572" s="97">
        <f t="shared" si="113"/>
        <v>0</v>
      </c>
      <c r="H572" s="97">
        <f t="shared" si="113"/>
        <v>0</v>
      </c>
      <c r="I572" s="97">
        <f t="shared" si="113"/>
        <v>0</v>
      </c>
      <c r="J572" s="97">
        <f t="shared" si="113"/>
        <v>0</v>
      </c>
      <c r="K572" s="97">
        <f t="shared" si="113"/>
        <v>0</v>
      </c>
      <c r="L572" s="97">
        <f t="shared" si="113"/>
        <v>0</v>
      </c>
      <c r="M572" s="13"/>
      <c r="N572" s="17"/>
      <c r="O572" s="5"/>
      <c r="P572" s="5"/>
      <c r="Q572" s="5"/>
      <c r="R572" s="5"/>
      <c r="S572" s="5"/>
      <c r="T572" s="5"/>
      <c r="U572" s="5"/>
      <c r="V572" s="5"/>
      <c r="W572" s="5"/>
      <c r="X572" s="5"/>
      <c r="Y572" s="5"/>
      <c r="Z572" s="5"/>
      <c r="AA572" s="5"/>
      <c r="AB572" s="5"/>
      <c r="AC572" s="5"/>
      <c r="AD572" s="5"/>
      <c r="AE572" s="5"/>
      <c r="AF572" s="5"/>
    </row>
    <row r="573" spans="1:32" ht="12" customHeight="1">
      <c r="A573" s="78"/>
      <c r="B573" s="10"/>
      <c r="C573" s="10"/>
      <c r="D573" s="10"/>
      <c r="E573" s="10"/>
      <c r="F573" s="94"/>
      <c r="G573" s="94"/>
      <c r="H573" s="94"/>
      <c r="I573" s="94"/>
      <c r="J573" s="94"/>
      <c r="K573" s="94"/>
      <c r="L573" s="94"/>
      <c r="M573" s="13"/>
      <c r="N573" s="17"/>
      <c r="O573" s="5"/>
      <c r="P573" s="5"/>
      <c r="Q573" s="5"/>
      <c r="R573" s="5"/>
      <c r="S573" s="5"/>
      <c r="T573" s="5"/>
      <c r="U573" s="5"/>
      <c r="V573" s="5"/>
      <c r="W573" s="5"/>
      <c r="X573" s="5"/>
      <c r="Y573" s="5"/>
      <c r="Z573" s="5"/>
      <c r="AA573" s="5"/>
      <c r="AB573" s="5"/>
      <c r="AC573" s="5"/>
      <c r="AD573" s="5"/>
      <c r="AE573" s="5"/>
      <c r="AF573" s="5"/>
    </row>
    <row r="574" spans="1:32" ht="12" customHeight="1">
      <c r="A574" s="78" t="s">
        <v>482</v>
      </c>
      <c r="B574" s="10"/>
      <c r="C574" s="10"/>
      <c r="D574" s="10"/>
      <c r="E574" s="10"/>
      <c r="F574" s="94"/>
      <c r="G574" s="94"/>
      <c r="H574" s="94"/>
      <c r="I574" s="94"/>
      <c r="J574" s="94"/>
      <c r="K574" s="94"/>
      <c r="L574" s="94"/>
      <c r="M574" s="13"/>
      <c r="N574" s="17"/>
      <c r="O574" s="5"/>
      <c r="P574" s="5"/>
      <c r="Q574" s="5"/>
      <c r="R574" s="5"/>
      <c r="S574" s="5"/>
      <c r="T574" s="5"/>
      <c r="U574" s="5"/>
      <c r="V574" s="5"/>
      <c r="W574" s="5"/>
      <c r="X574" s="5"/>
      <c r="Y574" s="5"/>
      <c r="Z574" s="5"/>
      <c r="AA574" s="5"/>
      <c r="AB574" s="5"/>
      <c r="AC574" s="5"/>
      <c r="AD574" s="5"/>
      <c r="AE574" s="5"/>
      <c r="AF574" s="5"/>
    </row>
    <row r="575" spans="1:32" ht="12" customHeight="1">
      <c r="A575" s="78" t="s">
        <v>483</v>
      </c>
      <c r="B575" s="10"/>
      <c r="C575" s="10"/>
      <c r="D575" s="10"/>
      <c r="E575" s="10" t="s">
        <v>484</v>
      </c>
      <c r="F575" s="90" t="s">
        <v>485</v>
      </c>
      <c r="G575" s="90" t="s">
        <v>486</v>
      </c>
      <c r="H575" s="90" t="s">
        <v>487</v>
      </c>
      <c r="I575" s="90" t="s">
        <v>488</v>
      </c>
      <c r="J575" s="15" t="s">
        <v>31</v>
      </c>
      <c r="K575" s="15" t="s">
        <v>31</v>
      </c>
      <c r="L575" s="15" t="s">
        <v>31</v>
      </c>
      <c r="M575" s="13"/>
      <c r="N575" s="17"/>
      <c r="O575" s="5"/>
      <c r="P575" s="5"/>
      <c r="Q575" s="5"/>
      <c r="R575" s="5"/>
      <c r="S575" s="5"/>
      <c r="T575" s="5"/>
      <c r="U575" s="5"/>
      <c r="V575" s="5"/>
      <c r="W575" s="5"/>
      <c r="X575" s="5"/>
      <c r="Y575" s="5"/>
      <c r="Z575" s="5"/>
      <c r="AA575" s="5"/>
      <c r="AB575" s="5"/>
      <c r="AC575" s="5"/>
      <c r="AD575" s="5"/>
      <c r="AE575" s="5"/>
      <c r="AF575" s="5"/>
    </row>
    <row r="576" spans="1:32" ht="12" customHeight="1">
      <c r="A576" s="61" t="s">
        <v>489</v>
      </c>
      <c r="B576" s="10">
        <v>22</v>
      </c>
      <c r="C576" s="10">
        <v>14</v>
      </c>
      <c r="D576" s="2" t="s">
        <v>309</v>
      </c>
      <c r="E576" s="10">
        <v>561</v>
      </c>
      <c r="F576" s="16"/>
      <c r="G576" s="16">
        <v>316615.5</v>
      </c>
      <c r="H576" s="16">
        <v>525447</v>
      </c>
      <c r="I576" s="94">
        <f t="shared" ref="I576:I588" si="114">SUM(F576:H576)</f>
        <v>842062.5</v>
      </c>
      <c r="J576" s="15" t="s">
        <v>31</v>
      </c>
      <c r="K576" s="15" t="s">
        <v>31</v>
      </c>
      <c r="L576" s="15" t="s">
        <v>31</v>
      </c>
      <c r="M576" s="13"/>
      <c r="N576" s="17"/>
      <c r="O576" s="5"/>
      <c r="P576" s="5"/>
      <c r="Q576" s="5"/>
      <c r="R576" s="5"/>
      <c r="S576" s="5"/>
      <c r="T576" s="5"/>
      <c r="U576" s="5"/>
      <c r="V576" s="5"/>
      <c r="W576" s="5"/>
      <c r="X576" s="5"/>
      <c r="Y576" s="5"/>
      <c r="Z576" s="5"/>
      <c r="AA576" s="5"/>
      <c r="AB576" s="5"/>
      <c r="AC576" s="5"/>
      <c r="AD576" s="5"/>
      <c r="AE576" s="5"/>
      <c r="AF576" s="5"/>
    </row>
    <row r="577" spans="1:32" ht="12" customHeight="1">
      <c r="A577" s="61" t="s">
        <v>490</v>
      </c>
      <c r="B577" s="10">
        <v>22</v>
      </c>
      <c r="C577" s="10">
        <v>15</v>
      </c>
      <c r="D577" s="2" t="s">
        <v>309</v>
      </c>
      <c r="E577" s="10">
        <v>562</v>
      </c>
      <c r="F577" s="16"/>
      <c r="G577" s="16"/>
      <c r="H577" s="16"/>
      <c r="I577" s="94">
        <f t="shared" si="114"/>
        <v>0</v>
      </c>
      <c r="J577" s="15" t="s">
        <v>31</v>
      </c>
      <c r="K577" s="15" t="s">
        <v>31</v>
      </c>
      <c r="L577" s="15" t="s">
        <v>31</v>
      </c>
      <c r="M577" s="13"/>
      <c r="N577" s="17"/>
      <c r="O577" s="5"/>
      <c r="P577" s="5"/>
      <c r="Q577" s="5"/>
      <c r="R577" s="5"/>
      <c r="S577" s="5"/>
      <c r="T577" s="5"/>
      <c r="U577" s="5"/>
      <c r="V577" s="5"/>
      <c r="W577" s="5"/>
      <c r="X577" s="5"/>
      <c r="Y577" s="5"/>
      <c r="Z577" s="5"/>
      <c r="AA577" s="5"/>
      <c r="AB577" s="5"/>
      <c r="AC577" s="5"/>
      <c r="AD577" s="5"/>
      <c r="AE577" s="5"/>
      <c r="AF577" s="5"/>
    </row>
    <row r="578" spans="1:32" ht="12" customHeight="1">
      <c r="A578" s="61" t="s">
        <v>491</v>
      </c>
      <c r="B578" s="10">
        <v>22</v>
      </c>
      <c r="C578" s="10">
        <v>16</v>
      </c>
      <c r="D578" s="2" t="s">
        <v>309</v>
      </c>
      <c r="E578" s="10">
        <v>563</v>
      </c>
      <c r="F578" s="15" t="s">
        <v>31</v>
      </c>
      <c r="G578" s="15" t="s">
        <v>31</v>
      </c>
      <c r="H578" s="16"/>
      <c r="I578" s="94">
        <f t="shared" si="114"/>
        <v>0</v>
      </c>
      <c r="J578" s="15" t="s">
        <v>31</v>
      </c>
      <c r="K578" s="15" t="s">
        <v>31</v>
      </c>
      <c r="L578" s="15" t="s">
        <v>31</v>
      </c>
      <c r="M578" s="13"/>
      <c r="N578" s="17"/>
      <c r="O578" s="5"/>
      <c r="P578" s="5"/>
      <c r="Q578" s="5"/>
      <c r="R578" s="5"/>
      <c r="S578" s="5"/>
      <c r="T578" s="5"/>
      <c r="U578" s="5"/>
      <c r="V578" s="5"/>
      <c r="W578" s="5"/>
      <c r="X578" s="5"/>
      <c r="Y578" s="5"/>
      <c r="Z578" s="5"/>
      <c r="AA578" s="5"/>
      <c r="AB578" s="5"/>
      <c r="AC578" s="5"/>
      <c r="AD578" s="5"/>
      <c r="AE578" s="5"/>
      <c r="AF578" s="5"/>
    </row>
    <row r="579" spans="1:32" ht="12" customHeight="1">
      <c r="A579" s="61" t="s">
        <v>492</v>
      </c>
      <c r="B579" s="10">
        <v>22</v>
      </c>
      <c r="C579" s="10">
        <v>17</v>
      </c>
      <c r="D579" s="2" t="s">
        <v>309</v>
      </c>
      <c r="E579" s="10">
        <v>564</v>
      </c>
      <c r="F579" s="16"/>
      <c r="G579" s="16"/>
      <c r="H579" s="16"/>
      <c r="I579" s="94">
        <f t="shared" si="114"/>
        <v>0</v>
      </c>
      <c r="J579" s="15" t="s">
        <v>31</v>
      </c>
      <c r="K579" s="15" t="s">
        <v>31</v>
      </c>
      <c r="L579" s="15" t="s">
        <v>31</v>
      </c>
      <c r="M579" s="13"/>
      <c r="N579" s="17"/>
      <c r="O579" s="5"/>
      <c r="P579" s="5"/>
      <c r="Q579" s="5"/>
      <c r="R579" s="5"/>
      <c r="S579" s="5"/>
      <c r="T579" s="5"/>
      <c r="U579" s="5"/>
      <c r="V579" s="5"/>
      <c r="W579" s="5"/>
      <c r="X579" s="5"/>
      <c r="Y579" s="5"/>
      <c r="Z579" s="5"/>
      <c r="AA579" s="5"/>
      <c r="AB579" s="5"/>
      <c r="AC579" s="5"/>
      <c r="AD579" s="5"/>
      <c r="AE579" s="5"/>
      <c r="AF579" s="5"/>
    </row>
    <row r="580" spans="1:32" ht="12" customHeight="1">
      <c r="A580" s="61" t="s">
        <v>493</v>
      </c>
      <c r="B580" s="10">
        <v>22</v>
      </c>
      <c r="C580" s="10">
        <v>18</v>
      </c>
      <c r="D580" s="2" t="s">
        <v>309</v>
      </c>
      <c r="E580" s="10">
        <v>561</v>
      </c>
      <c r="F580" s="16"/>
      <c r="G580" s="16">
        <v>38489.89</v>
      </c>
      <c r="H580" s="16">
        <v>10629.75</v>
      </c>
      <c r="I580" s="94">
        <f t="shared" si="114"/>
        <v>49119.64</v>
      </c>
      <c r="J580" s="15" t="s">
        <v>31</v>
      </c>
      <c r="K580" s="15" t="s">
        <v>31</v>
      </c>
      <c r="L580" s="15" t="s">
        <v>31</v>
      </c>
      <c r="M580" s="13"/>
      <c r="N580" s="17"/>
      <c r="O580" s="5"/>
      <c r="P580" s="5"/>
      <c r="Q580" s="5"/>
      <c r="R580" s="5"/>
      <c r="S580" s="5"/>
      <c r="T580" s="5"/>
      <c r="U580" s="5"/>
      <c r="V580" s="5"/>
      <c r="W580" s="5"/>
      <c r="X580" s="5"/>
      <c r="Y580" s="5"/>
      <c r="Z580" s="5"/>
      <c r="AA580" s="5"/>
      <c r="AB580" s="5"/>
      <c r="AC580" s="5"/>
      <c r="AD580" s="5"/>
      <c r="AE580" s="5"/>
      <c r="AF580" s="5"/>
    </row>
    <row r="581" spans="1:32" ht="12" customHeight="1">
      <c r="A581" s="61" t="s">
        <v>494</v>
      </c>
      <c r="B581" s="10">
        <v>22</v>
      </c>
      <c r="C581" s="10">
        <v>19</v>
      </c>
      <c r="D581" s="2" t="s">
        <v>309</v>
      </c>
      <c r="E581" s="10">
        <v>562</v>
      </c>
      <c r="F581" s="16"/>
      <c r="G581" s="16"/>
      <c r="H581" s="16"/>
      <c r="I581" s="94">
        <f t="shared" si="114"/>
        <v>0</v>
      </c>
      <c r="J581" s="15" t="s">
        <v>31</v>
      </c>
      <c r="K581" s="15" t="s">
        <v>31</v>
      </c>
      <c r="L581" s="15" t="s">
        <v>31</v>
      </c>
      <c r="M581" s="13"/>
      <c r="N581" s="17"/>
      <c r="O581" s="5"/>
      <c r="P581" s="5"/>
      <c r="Q581" s="5"/>
      <c r="R581" s="5"/>
      <c r="S581" s="5"/>
      <c r="T581" s="5"/>
      <c r="U581" s="5"/>
      <c r="V581" s="5"/>
      <c r="W581" s="5"/>
      <c r="X581" s="5"/>
      <c r="Y581" s="5"/>
      <c r="Z581" s="5"/>
      <c r="AA581" s="5"/>
      <c r="AB581" s="5"/>
      <c r="AC581" s="5"/>
      <c r="AD581" s="5"/>
      <c r="AE581" s="5"/>
      <c r="AF581" s="5"/>
    </row>
    <row r="582" spans="1:32" ht="12" customHeight="1">
      <c r="A582" s="102" t="s">
        <v>495</v>
      </c>
      <c r="B582" s="10">
        <v>22</v>
      </c>
      <c r="C582" s="10">
        <v>20</v>
      </c>
      <c r="D582" s="2" t="s">
        <v>309</v>
      </c>
      <c r="E582" s="10">
        <v>563</v>
      </c>
      <c r="F582" s="15" t="s">
        <v>31</v>
      </c>
      <c r="G582" s="15" t="s">
        <v>31</v>
      </c>
      <c r="H582" s="16"/>
      <c r="I582" s="94">
        <f t="shared" si="114"/>
        <v>0</v>
      </c>
      <c r="J582" s="15" t="s">
        <v>31</v>
      </c>
      <c r="K582" s="15" t="s">
        <v>31</v>
      </c>
      <c r="L582" s="15" t="s">
        <v>31</v>
      </c>
      <c r="M582" s="13"/>
      <c r="N582" s="17"/>
      <c r="O582" s="5"/>
      <c r="P582" s="5"/>
      <c r="Q582" s="5"/>
      <c r="R582" s="5"/>
      <c r="S582" s="5"/>
      <c r="T582" s="5"/>
      <c r="U582" s="5"/>
      <c r="V582" s="5"/>
      <c r="W582" s="5"/>
      <c r="X582" s="5"/>
      <c r="Y582" s="5"/>
      <c r="Z582" s="5"/>
      <c r="AA582" s="5"/>
      <c r="AB582" s="5"/>
      <c r="AC582" s="5"/>
      <c r="AD582" s="5"/>
      <c r="AE582" s="5"/>
      <c r="AF582" s="5"/>
    </row>
    <row r="583" spans="1:32" ht="12" customHeight="1">
      <c r="A583" s="102" t="s">
        <v>496</v>
      </c>
      <c r="B583" s="10">
        <v>22</v>
      </c>
      <c r="C583" s="10">
        <v>21</v>
      </c>
      <c r="D583" s="2" t="s">
        <v>309</v>
      </c>
      <c r="E583" s="10">
        <v>564</v>
      </c>
      <c r="F583" s="16"/>
      <c r="G583" s="16"/>
      <c r="H583" s="16"/>
      <c r="I583" s="94">
        <f t="shared" si="114"/>
        <v>0</v>
      </c>
      <c r="J583" s="15" t="s">
        <v>31</v>
      </c>
      <c r="K583" s="15" t="s">
        <v>31</v>
      </c>
      <c r="L583" s="15" t="s">
        <v>31</v>
      </c>
      <c r="M583" s="13"/>
      <c r="N583" s="17"/>
      <c r="O583" s="5"/>
      <c r="P583" s="5"/>
      <c r="Q583" s="5"/>
      <c r="R583" s="5"/>
      <c r="S583" s="5"/>
      <c r="T583" s="5"/>
      <c r="U583" s="5"/>
      <c r="V583" s="5"/>
      <c r="W583" s="5"/>
      <c r="X583" s="5"/>
      <c r="Y583" s="5"/>
      <c r="Z583" s="5"/>
      <c r="AA583" s="5"/>
      <c r="AB583" s="5"/>
      <c r="AC583" s="5"/>
      <c r="AD583" s="5"/>
      <c r="AE583" s="5"/>
      <c r="AF583" s="5"/>
    </row>
    <row r="584" spans="1:32" ht="12" customHeight="1">
      <c r="A584" s="102" t="s">
        <v>497</v>
      </c>
      <c r="B584" s="10">
        <v>22</v>
      </c>
      <c r="C584" s="10">
        <v>22</v>
      </c>
      <c r="D584" s="2" t="s">
        <v>309</v>
      </c>
      <c r="E584" s="10">
        <v>569</v>
      </c>
      <c r="F584" s="16"/>
      <c r="G584" s="16"/>
      <c r="H584" s="16"/>
      <c r="I584" s="94">
        <f t="shared" si="114"/>
        <v>0</v>
      </c>
      <c r="J584" s="15" t="s">
        <v>31</v>
      </c>
      <c r="K584" s="15" t="s">
        <v>31</v>
      </c>
      <c r="L584" s="15" t="s">
        <v>31</v>
      </c>
      <c r="M584" s="13"/>
      <c r="N584" s="17"/>
      <c r="O584" s="5"/>
      <c r="P584" s="5"/>
      <c r="Q584" s="5"/>
      <c r="R584" s="5"/>
      <c r="S584" s="5"/>
      <c r="T584" s="5"/>
      <c r="U584" s="5"/>
      <c r="V584" s="5"/>
      <c r="W584" s="5"/>
      <c r="X584" s="5"/>
      <c r="Y584" s="5"/>
      <c r="Z584" s="5"/>
      <c r="AA584" s="5"/>
      <c r="AB584" s="5"/>
      <c r="AC584" s="5"/>
      <c r="AD584" s="5"/>
      <c r="AE584" s="5"/>
      <c r="AF584" s="5"/>
    </row>
    <row r="585" spans="1:32" ht="12" customHeight="1">
      <c r="A585" s="61" t="s">
        <v>498</v>
      </c>
      <c r="B585" s="10">
        <v>22</v>
      </c>
      <c r="C585" s="10">
        <v>23</v>
      </c>
      <c r="D585" s="2" t="s">
        <v>309</v>
      </c>
      <c r="E585" s="10">
        <v>561</v>
      </c>
      <c r="F585" s="16"/>
      <c r="G585" s="16"/>
      <c r="H585" s="16"/>
      <c r="I585" s="94">
        <f t="shared" si="114"/>
        <v>0</v>
      </c>
      <c r="J585" s="15" t="s">
        <v>31</v>
      </c>
      <c r="K585" s="15" t="s">
        <v>31</v>
      </c>
      <c r="L585" s="15" t="s">
        <v>31</v>
      </c>
      <c r="M585" s="13"/>
      <c r="N585" s="17"/>
      <c r="O585" s="5"/>
      <c r="P585" s="5"/>
      <c r="Q585" s="5"/>
      <c r="R585" s="5"/>
      <c r="S585" s="5"/>
      <c r="T585" s="5"/>
      <c r="U585" s="5"/>
      <c r="V585" s="5"/>
      <c r="W585" s="5"/>
      <c r="X585" s="5"/>
      <c r="Y585" s="5"/>
      <c r="Z585" s="5"/>
      <c r="AA585" s="5"/>
      <c r="AB585" s="5"/>
      <c r="AC585" s="5"/>
      <c r="AD585" s="5"/>
      <c r="AE585" s="5"/>
      <c r="AF585" s="5"/>
    </row>
    <row r="586" spans="1:32" ht="12" customHeight="1">
      <c r="A586" s="61" t="s">
        <v>499</v>
      </c>
      <c r="B586" s="10">
        <v>22</v>
      </c>
      <c r="C586" s="10">
        <v>24</v>
      </c>
      <c r="D586" s="2" t="s">
        <v>309</v>
      </c>
      <c r="E586" s="10">
        <v>562</v>
      </c>
      <c r="F586" s="16"/>
      <c r="G586" s="16"/>
      <c r="H586" s="16"/>
      <c r="I586" s="94">
        <f t="shared" si="114"/>
        <v>0</v>
      </c>
      <c r="J586" s="15" t="s">
        <v>31</v>
      </c>
      <c r="K586" s="15" t="s">
        <v>31</v>
      </c>
      <c r="L586" s="15" t="s">
        <v>31</v>
      </c>
      <c r="M586" s="13"/>
      <c r="N586" s="17"/>
      <c r="O586" s="5"/>
      <c r="P586" s="5"/>
      <c r="Q586" s="5"/>
      <c r="R586" s="5"/>
      <c r="S586" s="5"/>
      <c r="T586" s="5"/>
      <c r="U586" s="5"/>
      <c r="V586" s="5"/>
      <c r="W586" s="5"/>
      <c r="X586" s="5"/>
      <c r="Y586" s="5"/>
      <c r="Z586" s="5"/>
      <c r="AA586" s="5"/>
      <c r="AB586" s="5"/>
      <c r="AC586" s="5"/>
      <c r="AD586" s="5"/>
      <c r="AE586" s="5"/>
      <c r="AF586" s="5"/>
    </row>
    <row r="587" spans="1:32" ht="12" customHeight="1">
      <c r="A587" s="61" t="s">
        <v>500</v>
      </c>
      <c r="B587" s="10">
        <v>22</v>
      </c>
      <c r="C587" s="10">
        <v>25</v>
      </c>
      <c r="D587" s="2" t="s">
        <v>309</v>
      </c>
      <c r="E587" s="10">
        <v>563</v>
      </c>
      <c r="F587" s="15" t="s">
        <v>31</v>
      </c>
      <c r="G587" s="15" t="s">
        <v>31</v>
      </c>
      <c r="H587" s="16"/>
      <c r="I587" s="94">
        <f t="shared" si="114"/>
        <v>0</v>
      </c>
      <c r="J587" s="15" t="s">
        <v>31</v>
      </c>
      <c r="K587" s="15" t="s">
        <v>31</v>
      </c>
      <c r="L587" s="15" t="s">
        <v>31</v>
      </c>
      <c r="M587" s="13"/>
      <c r="N587" s="17"/>
      <c r="O587" s="5"/>
      <c r="P587" s="5"/>
      <c r="Q587" s="5"/>
      <c r="R587" s="5"/>
      <c r="S587" s="5"/>
      <c r="T587" s="5"/>
      <c r="U587" s="5"/>
      <c r="V587" s="5"/>
      <c r="W587" s="5"/>
      <c r="X587" s="5"/>
      <c r="Y587" s="5"/>
      <c r="Z587" s="5"/>
      <c r="AA587" s="5"/>
      <c r="AB587" s="5"/>
      <c r="AC587" s="5"/>
      <c r="AD587" s="5"/>
      <c r="AE587" s="5"/>
      <c r="AF587" s="5"/>
    </row>
    <row r="588" spans="1:32" ht="12" customHeight="1">
      <c r="A588" s="61" t="s">
        <v>501</v>
      </c>
      <c r="B588" s="10">
        <v>22</v>
      </c>
      <c r="C588" s="10">
        <v>26</v>
      </c>
      <c r="D588" s="2" t="s">
        <v>309</v>
      </c>
      <c r="E588" s="10">
        <v>564</v>
      </c>
      <c r="F588" s="16"/>
      <c r="G588" s="16"/>
      <c r="H588" s="16"/>
      <c r="I588" s="94">
        <f t="shared" si="114"/>
        <v>0</v>
      </c>
      <c r="J588" s="15" t="s">
        <v>31</v>
      </c>
      <c r="K588" s="15" t="s">
        <v>31</v>
      </c>
      <c r="L588" s="15" t="s">
        <v>31</v>
      </c>
      <c r="M588" s="13"/>
      <c r="N588" s="17"/>
      <c r="O588" s="5"/>
      <c r="P588" s="5"/>
      <c r="Q588" s="5"/>
      <c r="R588" s="5"/>
      <c r="S588" s="5"/>
      <c r="T588" s="5"/>
      <c r="U588" s="5"/>
      <c r="V588" s="5"/>
      <c r="W588" s="5"/>
      <c r="X588" s="5"/>
      <c r="Y588" s="5"/>
      <c r="Z588" s="5"/>
      <c r="AA588" s="5"/>
      <c r="AB588" s="5"/>
      <c r="AC588" s="5"/>
      <c r="AD588" s="5"/>
      <c r="AE588" s="5"/>
      <c r="AF588" s="5"/>
    </row>
    <row r="589" spans="1:32" ht="12" customHeight="1">
      <c r="A589" s="78" t="s">
        <v>502</v>
      </c>
      <c r="B589" s="10"/>
      <c r="C589" s="10"/>
      <c r="D589" s="10"/>
      <c r="E589" s="10"/>
      <c r="F589" s="45"/>
      <c r="G589" s="45"/>
      <c r="H589" s="45"/>
      <c r="I589" s="45"/>
      <c r="J589" s="45"/>
      <c r="K589" s="45"/>
      <c r="L589" s="45"/>
      <c r="M589" s="13"/>
      <c r="N589" s="17"/>
      <c r="O589" s="5"/>
      <c r="P589" s="5"/>
      <c r="Q589" s="5"/>
      <c r="R589" s="5"/>
      <c r="S589" s="5"/>
      <c r="T589" s="5"/>
      <c r="U589" s="5"/>
      <c r="V589" s="5"/>
      <c r="W589" s="5"/>
      <c r="X589" s="5"/>
      <c r="Y589" s="5"/>
      <c r="Z589" s="5"/>
      <c r="AA589" s="5"/>
      <c r="AB589" s="5"/>
      <c r="AC589" s="5"/>
      <c r="AD589" s="5"/>
      <c r="AE589" s="5"/>
      <c r="AF589" s="5"/>
    </row>
    <row r="590" spans="1:32" ht="12" customHeight="1">
      <c r="A590" s="103" t="s">
        <v>503</v>
      </c>
      <c r="B590" s="10"/>
      <c r="C590" s="10"/>
      <c r="D590" s="10"/>
      <c r="E590" s="10"/>
      <c r="F590" s="45"/>
      <c r="G590" s="45"/>
      <c r="H590" s="45"/>
      <c r="I590" s="45"/>
      <c r="J590" s="45"/>
      <c r="K590" s="45"/>
      <c r="L590" s="45"/>
      <c r="M590" s="13"/>
      <c r="N590" s="17"/>
      <c r="O590" s="5"/>
      <c r="P590" s="5"/>
      <c r="Q590" s="5"/>
      <c r="R590" s="5"/>
      <c r="S590" s="5"/>
      <c r="T590" s="5"/>
      <c r="U590" s="5"/>
      <c r="V590" s="5"/>
      <c r="W590" s="5"/>
      <c r="X590" s="5"/>
      <c r="Y590" s="5"/>
      <c r="Z590" s="5"/>
      <c r="AA590" s="5"/>
      <c r="AB590" s="5"/>
      <c r="AC590" s="5"/>
      <c r="AD590" s="5"/>
      <c r="AE590" s="5"/>
      <c r="AF590" s="5"/>
    </row>
    <row r="591" spans="1:32" ht="12" customHeight="1">
      <c r="A591" s="78" t="s">
        <v>483</v>
      </c>
      <c r="B591" s="10"/>
      <c r="C591" s="10"/>
      <c r="D591" s="10"/>
      <c r="E591" s="10"/>
      <c r="F591" s="45" t="s">
        <v>504</v>
      </c>
      <c r="G591" s="45" t="s">
        <v>484</v>
      </c>
      <c r="H591" s="45" t="s">
        <v>505</v>
      </c>
      <c r="I591" s="45" t="s">
        <v>506</v>
      </c>
      <c r="J591" s="45" t="s">
        <v>507</v>
      </c>
      <c r="K591" s="45" t="s">
        <v>219</v>
      </c>
      <c r="L591" s="45"/>
      <c r="M591" s="13"/>
      <c r="N591" s="17"/>
      <c r="O591" s="5"/>
      <c r="P591" s="5"/>
      <c r="Q591" s="5"/>
      <c r="R591" s="5"/>
      <c r="S591" s="5"/>
      <c r="T591" s="5"/>
      <c r="U591" s="5"/>
      <c r="V591" s="5"/>
      <c r="W591" s="5"/>
      <c r="X591" s="5"/>
      <c r="Y591" s="5"/>
      <c r="Z591" s="5"/>
      <c r="AA591" s="5"/>
      <c r="AB591" s="5"/>
      <c r="AC591" s="5"/>
      <c r="AD591" s="5"/>
      <c r="AE591" s="5"/>
      <c r="AF591" s="5"/>
    </row>
    <row r="592" spans="1:32" ht="12" customHeight="1">
      <c r="A592" s="5" t="s">
        <v>508</v>
      </c>
      <c r="B592" s="10">
        <v>23</v>
      </c>
      <c r="C592" s="10">
        <v>1</v>
      </c>
      <c r="D592" s="2" t="s">
        <v>309</v>
      </c>
      <c r="E592" s="10"/>
      <c r="F592" s="104">
        <v>2721</v>
      </c>
      <c r="G592" s="45" t="s">
        <v>509</v>
      </c>
      <c r="H592" s="16">
        <v>78585</v>
      </c>
      <c r="I592" s="16">
        <v>20500</v>
      </c>
      <c r="J592" s="16">
        <v>33315</v>
      </c>
      <c r="K592" s="105">
        <f t="shared" ref="K592:K598" si="115">SUM(H592:J592)</f>
        <v>132400</v>
      </c>
      <c r="L592" s="15" t="s">
        <v>31</v>
      </c>
      <c r="M592" s="13"/>
      <c r="N592" s="17"/>
      <c r="O592" s="5"/>
      <c r="P592" s="5"/>
      <c r="Q592" s="5"/>
      <c r="R592" s="5"/>
      <c r="S592" s="5"/>
      <c r="T592" s="5"/>
      <c r="U592" s="5"/>
      <c r="V592" s="5"/>
      <c r="W592" s="5"/>
      <c r="X592" s="5"/>
      <c r="Y592" s="5"/>
      <c r="Z592" s="5"/>
      <c r="AA592" s="5"/>
      <c r="AB592" s="5"/>
      <c r="AC592" s="5"/>
      <c r="AD592" s="5"/>
      <c r="AE592" s="5"/>
      <c r="AF592" s="5"/>
    </row>
    <row r="593" spans="1:32" ht="12" customHeight="1">
      <c r="A593" s="5" t="s">
        <v>510</v>
      </c>
      <c r="B593" s="10">
        <v>23</v>
      </c>
      <c r="C593" s="10">
        <v>2</v>
      </c>
      <c r="D593" s="2" t="s">
        <v>309</v>
      </c>
      <c r="E593" s="10"/>
      <c r="F593" s="104">
        <v>2722</v>
      </c>
      <c r="G593" s="45" t="s">
        <v>509</v>
      </c>
      <c r="H593" s="16"/>
      <c r="I593" s="16"/>
      <c r="J593" s="16"/>
      <c r="K593" s="105">
        <f t="shared" si="115"/>
        <v>0</v>
      </c>
      <c r="L593" s="15" t="s">
        <v>31</v>
      </c>
      <c r="M593" s="13"/>
      <c r="N593" s="17"/>
      <c r="O593" s="5"/>
      <c r="P593" s="5"/>
      <c r="Q593" s="5"/>
      <c r="R593" s="5"/>
      <c r="S593" s="5"/>
      <c r="T593" s="5"/>
      <c r="U593" s="5"/>
      <c r="V593" s="5"/>
      <c r="W593" s="5"/>
      <c r="X593" s="5"/>
      <c r="Y593" s="5"/>
      <c r="Z593" s="5"/>
      <c r="AA593" s="5"/>
      <c r="AB593" s="5"/>
      <c r="AC593" s="5"/>
      <c r="AD593" s="5"/>
      <c r="AE593" s="5"/>
      <c r="AF593" s="5"/>
    </row>
    <row r="594" spans="1:32" ht="12" customHeight="1">
      <c r="A594" s="5" t="s">
        <v>511</v>
      </c>
      <c r="B594" s="10">
        <v>23</v>
      </c>
      <c r="C594" s="10">
        <v>3</v>
      </c>
      <c r="D594" s="2" t="s">
        <v>309</v>
      </c>
      <c r="E594" s="10"/>
      <c r="F594" s="104">
        <v>2723</v>
      </c>
      <c r="G594" s="45" t="s">
        <v>509</v>
      </c>
      <c r="H594" s="16"/>
      <c r="I594" s="16"/>
      <c r="J594" s="16"/>
      <c r="K594" s="105">
        <f t="shared" si="115"/>
        <v>0</v>
      </c>
      <c r="L594" s="15" t="s">
        <v>31</v>
      </c>
      <c r="M594" s="13"/>
      <c r="N594" s="17"/>
      <c r="O594" s="5"/>
      <c r="P594" s="5"/>
      <c r="Q594" s="5"/>
      <c r="R594" s="5"/>
      <c r="S594" s="5"/>
      <c r="T594" s="5"/>
      <c r="U594" s="5"/>
      <c r="V594" s="5"/>
      <c r="W594" s="5"/>
      <c r="X594" s="5"/>
      <c r="Y594" s="5"/>
      <c r="Z594" s="5"/>
      <c r="AA594" s="5"/>
      <c r="AB594" s="5"/>
      <c r="AC594" s="5"/>
      <c r="AD594" s="5"/>
      <c r="AE594" s="5"/>
      <c r="AF594" s="5"/>
    </row>
    <row r="595" spans="1:32" ht="12" customHeight="1">
      <c r="A595" s="61" t="s">
        <v>512</v>
      </c>
      <c r="B595" s="10">
        <v>23</v>
      </c>
      <c r="C595" s="10">
        <v>4</v>
      </c>
      <c r="D595" s="2" t="s">
        <v>309</v>
      </c>
      <c r="E595" s="10"/>
      <c r="F595" s="104">
        <v>2724</v>
      </c>
      <c r="G595" s="45" t="s">
        <v>509</v>
      </c>
      <c r="H595" s="16"/>
      <c r="I595" s="16"/>
      <c r="J595" s="16"/>
      <c r="K595" s="105">
        <f t="shared" si="115"/>
        <v>0</v>
      </c>
      <c r="L595" s="15" t="s">
        <v>31</v>
      </c>
      <c r="M595" s="13"/>
      <c r="N595" s="17"/>
      <c r="O595" s="5"/>
      <c r="P595" s="5"/>
      <c r="Q595" s="5"/>
      <c r="R595" s="5"/>
      <c r="S595" s="5"/>
      <c r="T595" s="5"/>
      <c r="U595" s="5"/>
      <c r="V595" s="5"/>
      <c r="W595" s="5"/>
      <c r="X595" s="5"/>
      <c r="Y595" s="5"/>
      <c r="Z595" s="5"/>
      <c r="AA595" s="5"/>
      <c r="AB595" s="5"/>
      <c r="AC595" s="5"/>
      <c r="AD595" s="5"/>
      <c r="AE595" s="5"/>
      <c r="AF595" s="5"/>
    </row>
    <row r="596" spans="1:32" ht="12" customHeight="1">
      <c r="A596" s="102" t="s">
        <v>513</v>
      </c>
      <c r="B596" s="10">
        <v>23</v>
      </c>
      <c r="C596" s="10">
        <v>5</v>
      </c>
      <c r="D596" s="2" t="s">
        <v>309</v>
      </c>
      <c r="E596" s="10"/>
      <c r="F596" s="104">
        <v>2725</v>
      </c>
      <c r="G596" s="45" t="s">
        <v>509</v>
      </c>
      <c r="H596" s="16"/>
      <c r="I596" s="16"/>
      <c r="J596" s="16"/>
      <c r="K596" s="105">
        <f t="shared" si="115"/>
        <v>0</v>
      </c>
      <c r="L596" s="15" t="s">
        <v>31</v>
      </c>
      <c r="M596" s="13"/>
      <c r="N596" s="17"/>
      <c r="O596" s="5"/>
      <c r="P596" s="5"/>
      <c r="Q596" s="5"/>
      <c r="R596" s="5"/>
      <c r="S596" s="5"/>
      <c r="T596" s="5"/>
      <c r="U596" s="5"/>
      <c r="V596" s="5"/>
      <c r="W596" s="5"/>
      <c r="X596" s="5"/>
      <c r="Y596" s="5"/>
      <c r="Z596" s="5"/>
      <c r="AA596" s="5"/>
      <c r="AB596" s="5"/>
      <c r="AC596" s="5"/>
      <c r="AD596" s="5"/>
      <c r="AE596" s="5"/>
      <c r="AF596" s="5"/>
    </row>
    <row r="597" spans="1:32" ht="12" customHeight="1">
      <c r="A597" s="61" t="s">
        <v>514</v>
      </c>
      <c r="B597" s="10">
        <v>23</v>
      </c>
      <c r="C597" s="10">
        <v>6</v>
      </c>
      <c r="D597" s="2" t="s">
        <v>309</v>
      </c>
      <c r="E597" s="10"/>
      <c r="F597" s="104">
        <v>2726</v>
      </c>
      <c r="G597" s="45" t="s">
        <v>509</v>
      </c>
      <c r="H597" s="16"/>
      <c r="I597" s="16"/>
      <c r="J597" s="16"/>
      <c r="K597" s="105">
        <f t="shared" si="115"/>
        <v>0</v>
      </c>
      <c r="L597" s="15" t="s">
        <v>31</v>
      </c>
      <c r="M597" s="13"/>
      <c r="N597" s="17"/>
      <c r="O597" s="5"/>
      <c r="P597" s="5"/>
      <c r="Q597" s="5"/>
      <c r="R597" s="5"/>
      <c r="S597" s="5"/>
      <c r="T597" s="5"/>
      <c r="U597" s="5"/>
      <c r="V597" s="5"/>
      <c r="W597" s="5"/>
      <c r="X597" s="5"/>
      <c r="Y597" s="5"/>
      <c r="Z597" s="5"/>
      <c r="AA597" s="5"/>
      <c r="AB597" s="5"/>
      <c r="AC597" s="5"/>
      <c r="AD597" s="5"/>
      <c r="AE597" s="5"/>
      <c r="AF597" s="5"/>
    </row>
    <row r="598" spans="1:32" ht="12" customHeight="1">
      <c r="A598" s="5" t="s">
        <v>515</v>
      </c>
      <c r="B598" s="10">
        <v>23</v>
      </c>
      <c r="C598" s="10">
        <v>7</v>
      </c>
      <c r="D598" s="2" t="s">
        <v>309</v>
      </c>
      <c r="E598" s="10"/>
      <c r="F598" s="104">
        <v>2729</v>
      </c>
      <c r="G598" s="45" t="s">
        <v>509</v>
      </c>
      <c r="H598" s="16"/>
      <c r="I598" s="16"/>
      <c r="J598" s="16"/>
      <c r="K598" s="105">
        <f t="shared" si="115"/>
        <v>0</v>
      </c>
      <c r="L598" s="15" t="s">
        <v>31</v>
      </c>
      <c r="M598" s="13"/>
      <c r="N598" s="17"/>
      <c r="O598" s="5"/>
      <c r="P598" s="5"/>
      <c r="Q598" s="5"/>
      <c r="R598" s="5"/>
      <c r="S598" s="5"/>
      <c r="T598" s="5"/>
      <c r="U598" s="5"/>
      <c r="V598" s="5"/>
      <c r="W598" s="5"/>
      <c r="X598" s="5"/>
      <c r="Y598" s="5"/>
      <c r="Z598" s="5"/>
      <c r="AA598" s="5"/>
      <c r="AB598" s="5"/>
      <c r="AC598" s="5"/>
      <c r="AD598" s="5"/>
      <c r="AE598" s="5"/>
      <c r="AF598" s="5"/>
    </row>
    <row r="599" spans="1:32" ht="12" customHeight="1">
      <c r="A599" s="101" t="s">
        <v>307</v>
      </c>
      <c r="B599" s="40">
        <v>23</v>
      </c>
      <c r="C599" s="40">
        <v>8</v>
      </c>
      <c r="D599" s="20" t="s">
        <v>309</v>
      </c>
      <c r="E599" s="40"/>
      <c r="F599" s="106">
        <v>2700</v>
      </c>
      <c r="G599" s="107" t="s">
        <v>509</v>
      </c>
      <c r="H599" s="96">
        <f t="shared" ref="H599:K599" si="116">SUM(H592:H598)</f>
        <v>78585</v>
      </c>
      <c r="I599" s="96">
        <f t="shared" si="116"/>
        <v>20500</v>
      </c>
      <c r="J599" s="96">
        <f t="shared" si="116"/>
        <v>33315</v>
      </c>
      <c r="K599" s="96">
        <f t="shared" si="116"/>
        <v>132400</v>
      </c>
      <c r="L599" s="15" t="s">
        <v>31</v>
      </c>
      <c r="M599" s="13"/>
      <c r="N599" s="17"/>
      <c r="O599" s="5"/>
      <c r="P599" s="5"/>
      <c r="Q599" s="5"/>
      <c r="R599" s="5"/>
      <c r="S599" s="5"/>
      <c r="T599" s="5"/>
      <c r="U599" s="5"/>
      <c r="V599" s="5"/>
      <c r="W599" s="5"/>
      <c r="X599" s="5"/>
      <c r="Y599" s="5"/>
      <c r="Z599" s="5"/>
      <c r="AA599" s="5"/>
      <c r="AB599" s="5"/>
      <c r="AC599" s="5"/>
      <c r="AD599" s="5"/>
      <c r="AE599" s="5"/>
      <c r="AF599" s="5"/>
    </row>
    <row r="600" spans="1:32" ht="12" customHeight="1">
      <c r="A600" s="61"/>
      <c r="B600" s="10"/>
      <c r="C600" s="10"/>
      <c r="D600" s="10"/>
      <c r="E600" s="10"/>
      <c r="F600" s="45"/>
      <c r="G600" s="45"/>
      <c r="H600" s="45"/>
      <c r="I600" s="45"/>
      <c r="J600" s="45"/>
      <c r="K600" s="45"/>
      <c r="L600" s="45"/>
      <c r="M600" s="13"/>
      <c r="N600" s="17"/>
      <c r="O600" s="5"/>
      <c r="P600" s="5"/>
      <c r="Q600" s="5"/>
      <c r="R600" s="5"/>
      <c r="S600" s="5"/>
      <c r="T600" s="5"/>
      <c r="U600" s="5"/>
      <c r="V600" s="5"/>
      <c r="W600" s="5"/>
      <c r="X600" s="5"/>
      <c r="Y600" s="5"/>
      <c r="Z600" s="5"/>
      <c r="AA600" s="5"/>
      <c r="AB600" s="5"/>
      <c r="AC600" s="5"/>
      <c r="AD600" s="5"/>
      <c r="AE600" s="5"/>
      <c r="AF600" s="5"/>
    </row>
    <row r="601" spans="1:32" ht="12" customHeight="1">
      <c r="A601" s="78" t="s">
        <v>516</v>
      </c>
      <c r="B601" s="10"/>
      <c r="C601" s="10"/>
      <c r="D601" s="10"/>
      <c r="E601" s="10"/>
      <c r="F601" s="45"/>
      <c r="G601" s="45"/>
      <c r="H601" s="45"/>
      <c r="I601" s="45"/>
      <c r="J601" s="45"/>
      <c r="K601" s="45"/>
      <c r="L601" s="45"/>
      <c r="M601" s="13"/>
      <c r="N601" s="17"/>
      <c r="O601" s="5"/>
      <c r="P601" s="5"/>
      <c r="Q601" s="5"/>
      <c r="R601" s="5"/>
      <c r="S601" s="5"/>
      <c r="T601" s="5"/>
      <c r="U601" s="5"/>
      <c r="V601" s="5"/>
      <c r="W601" s="5"/>
      <c r="X601" s="5"/>
      <c r="Y601" s="5"/>
      <c r="Z601" s="5"/>
      <c r="AA601" s="5"/>
      <c r="AB601" s="5"/>
      <c r="AC601" s="5"/>
      <c r="AD601" s="5"/>
      <c r="AE601" s="5"/>
      <c r="AF601" s="5"/>
    </row>
    <row r="602" spans="1:32" ht="12" customHeight="1">
      <c r="A602" s="78" t="s">
        <v>483</v>
      </c>
      <c r="B602" s="10"/>
      <c r="C602" s="10"/>
      <c r="D602" s="10"/>
      <c r="E602" s="10"/>
      <c r="F602" s="45" t="s">
        <v>504</v>
      </c>
      <c r="G602" s="45" t="s">
        <v>484</v>
      </c>
      <c r="H602" s="45" t="s">
        <v>505</v>
      </c>
      <c r="I602" s="45" t="s">
        <v>506</v>
      </c>
      <c r="J602" s="45" t="s">
        <v>507</v>
      </c>
      <c r="K602" s="45" t="s">
        <v>219</v>
      </c>
      <c r="L602" s="45"/>
      <c r="M602" s="13"/>
      <c r="N602" s="17"/>
      <c r="O602" s="5"/>
      <c r="P602" s="5"/>
      <c r="Q602" s="5"/>
      <c r="R602" s="5"/>
      <c r="S602" s="5"/>
      <c r="T602" s="5"/>
      <c r="U602" s="5"/>
      <c r="V602" s="5"/>
      <c r="W602" s="5"/>
      <c r="X602" s="5"/>
      <c r="Y602" s="5"/>
      <c r="Z602" s="5"/>
      <c r="AA602" s="5"/>
      <c r="AB602" s="5"/>
      <c r="AC602" s="5"/>
      <c r="AD602" s="5"/>
      <c r="AE602" s="5"/>
      <c r="AF602" s="5"/>
    </row>
    <row r="603" spans="1:32" ht="12" customHeight="1">
      <c r="A603" s="61" t="s">
        <v>517</v>
      </c>
      <c r="B603" s="10">
        <v>23</v>
      </c>
      <c r="C603" s="10">
        <v>9</v>
      </c>
      <c r="D603" s="2" t="s">
        <v>309</v>
      </c>
      <c r="E603" s="10"/>
      <c r="F603" s="45" t="s">
        <v>518</v>
      </c>
      <c r="G603" s="104">
        <v>710</v>
      </c>
      <c r="H603" s="16"/>
      <c r="I603" s="16"/>
      <c r="J603" s="16"/>
      <c r="K603" s="105">
        <f t="shared" ref="K603:K605" si="117">SUM(H603:J603)</f>
        <v>0</v>
      </c>
      <c r="L603" s="15" t="s">
        <v>31</v>
      </c>
      <c r="M603" s="13"/>
      <c r="N603" s="17"/>
      <c r="O603" s="5"/>
      <c r="P603" s="5"/>
      <c r="Q603" s="5"/>
      <c r="R603" s="5"/>
      <c r="S603" s="5"/>
      <c r="T603" s="5"/>
      <c r="U603" s="5"/>
      <c r="V603" s="5"/>
      <c r="W603" s="5"/>
      <c r="X603" s="5"/>
      <c r="Y603" s="5"/>
      <c r="Z603" s="5"/>
      <c r="AA603" s="5"/>
      <c r="AB603" s="5"/>
      <c r="AC603" s="5"/>
      <c r="AD603" s="5"/>
      <c r="AE603" s="5"/>
      <c r="AF603" s="5"/>
    </row>
    <row r="604" spans="1:32" ht="12" customHeight="1">
      <c r="A604" s="61" t="s">
        <v>519</v>
      </c>
      <c r="B604" s="10">
        <v>23</v>
      </c>
      <c r="C604" s="10">
        <v>10</v>
      </c>
      <c r="D604" s="2" t="s">
        <v>309</v>
      </c>
      <c r="E604" s="10"/>
      <c r="F604" s="45" t="s">
        <v>518</v>
      </c>
      <c r="G604" s="104">
        <v>720</v>
      </c>
      <c r="H604" s="16"/>
      <c r="I604" s="16"/>
      <c r="J604" s="16"/>
      <c r="K604" s="105">
        <f t="shared" si="117"/>
        <v>0</v>
      </c>
      <c r="L604" s="15" t="s">
        <v>31</v>
      </c>
      <c r="M604" s="13"/>
      <c r="N604" s="17"/>
      <c r="O604" s="5"/>
      <c r="P604" s="5"/>
      <c r="Q604" s="5"/>
      <c r="R604" s="5"/>
      <c r="S604" s="5"/>
      <c r="T604" s="5"/>
      <c r="U604" s="5"/>
      <c r="V604" s="5"/>
      <c r="W604" s="5"/>
      <c r="X604" s="5"/>
      <c r="Y604" s="5"/>
      <c r="Z604" s="5"/>
      <c r="AA604" s="5"/>
      <c r="AB604" s="5"/>
      <c r="AC604" s="5"/>
      <c r="AD604" s="5"/>
      <c r="AE604" s="5"/>
      <c r="AF604" s="5"/>
    </row>
    <row r="605" spans="1:32" ht="12" customHeight="1">
      <c r="A605" s="61" t="s">
        <v>520</v>
      </c>
      <c r="B605" s="10">
        <v>23</v>
      </c>
      <c r="C605" s="10">
        <v>11</v>
      </c>
      <c r="D605" s="2" t="s">
        <v>309</v>
      </c>
      <c r="E605" s="10"/>
      <c r="F605" s="45" t="s">
        <v>518</v>
      </c>
      <c r="G605" s="104">
        <v>730</v>
      </c>
      <c r="H605" s="16">
        <f>11387.41+24808.52+31343.8+1513.89</f>
        <v>69053.62</v>
      </c>
      <c r="I605" s="16"/>
      <c r="J605" s="16"/>
      <c r="K605" s="105">
        <f t="shared" si="117"/>
        <v>69053.62</v>
      </c>
      <c r="L605" s="15" t="s">
        <v>31</v>
      </c>
      <c r="M605" s="13"/>
      <c r="N605" s="17"/>
      <c r="O605" s="5"/>
      <c r="P605" s="5"/>
      <c r="Q605" s="5"/>
      <c r="R605" s="5"/>
      <c r="S605" s="5"/>
      <c r="T605" s="5"/>
      <c r="U605" s="5"/>
      <c r="V605" s="5"/>
      <c r="W605" s="5"/>
      <c r="X605" s="5"/>
      <c r="Y605" s="5"/>
      <c r="Z605" s="5"/>
      <c r="AA605" s="5"/>
      <c r="AB605" s="5"/>
      <c r="AC605" s="5"/>
      <c r="AD605" s="5"/>
      <c r="AE605" s="5"/>
      <c r="AF605" s="5"/>
    </row>
    <row r="606" spans="1:32" ht="12" customHeight="1">
      <c r="A606" s="101" t="s">
        <v>307</v>
      </c>
      <c r="B606" s="40">
        <v>23</v>
      </c>
      <c r="C606" s="40">
        <v>12</v>
      </c>
      <c r="D606" s="20" t="s">
        <v>309</v>
      </c>
      <c r="E606" s="40"/>
      <c r="F606" s="107" t="s">
        <v>518</v>
      </c>
      <c r="G606" s="106">
        <v>700</v>
      </c>
      <c r="H606" s="96">
        <f t="shared" ref="H606:K606" si="118">SUM(H603:H605)</f>
        <v>69053.62</v>
      </c>
      <c r="I606" s="96">
        <f t="shared" si="118"/>
        <v>0</v>
      </c>
      <c r="J606" s="96">
        <f t="shared" si="118"/>
        <v>0</v>
      </c>
      <c r="K606" s="96">
        <f t="shared" si="118"/>
        <v>69053.62</v>
      </c>
      <c r="L606" s="15" t="s">
        <v>31</v>
      </c>
      <c r="M606" s="13"/>
      <c r="N606" s="17"/>
      <c r="O606" s="5"/>
      <c r="P606" s="5"/>
      <c r="Q606" s="5"/>
      <c r="R606" s="5"/>
      <c r="S606" s="5"/>
      <c r="T606" s="5"/>
      <c r="U606" s="5"/>
      <c r="V606" s="5"/>
      <c r="W606" s="5"/>
      <c r="X606" s="5"/>
      <c r="Y606" s="5"/>
      <c r="Z606" s="5"/>
      <c r="AA606" s="5"/>
      <c r="AB606" s="5"/>
      <c r="AC606" s="5"/>
      <c r="AD606" s="5"/>
      <c r="AE606" s="5"/>
      <c r="AF606" s="5"/>
    </row>
    <row r="607" spans="1:32" ht="12" customHeight="1">
      <c r="A607" s="61"/>
      <c r="B607" s="10"/>
      <c r="C607" s="10"/>
      <c r="D607" s="10"/>
      <c r="E607" s="10"/>
      <c r="F607" s="45"/>
      <c r="G607" s="45"/>
      <c r="H607" s="45"/>
      <c r="I607" s="45"/>
      <c r="J607" s="45"/>
      <c r="K607" s="45"/>
      <c r="L607" s="94"/>
      <c r="M607" s="13"/>
      <c r="N607" s="17"/>
      <c r="O607" s="5"/>
      <c r="P607" s="5"/>
      <c r="Q607" s="5"/>
      <c r="R607" s="5"/>
      <c r="S607" s="5"/>
      <c r="T607" s="5"/>
      <c r="U607" s="5"/>
      <c r="V607" s="5"/>
      <c r="W607" s="5"/>
      <c r="X607" s="5"/>
      <c r="Y607" s="5"/>
      <c r="Z607" s="5"/>
      <c r="AA607" s="5"/>
      <c r="AB607" s="5"/>
      <c r="AC607" s="5"/>
      <c r="AD607" s="5"/>
      <c r="AE607" s="5"/>
      <c r="AF607" s="5"/>
    </row>
    <row r="608" spans="1:32" ht="12" customHeight="1">
      <c r="A608" s="78"/>
      <c r="B608" s="10"/>
      <c r="C608" s="10"/>
      <c r="D608" s="10"/>
      <c r="E608" s="10"/>
      <c r="F608" s="45"/>
      <c r="G608" s="45"/>
      <c r="H608" s="45"/>
      <c r="I608" s="45"/>
      <c r="J608" s="45"/>
      <c r="K608" s="45"/>
      <c r="L608" s="94"/>
      <c r="M608" s="13"/>
      <c r="N608" s="17"/>
      <c r="O608" s="5"/>
      <c r="P608" s="5"/>
      <c r="Q608" s="5"/>
      <c r="R608" s="5"/>
      <c r="S608" s="5"/>
      <c r="T608" s="5"/>
      <c r="U608" s="5"/>
      <c r="V608" s="5"/>
      <c r="W608" s="5"/>
      <c r="X608" s="5"/>
      <c r="Y608" s="5"/>
      <c r="Z608" s="5"/>
      <c r="AA608" s="5"/>
      <c r="AB608" s="5"/>
      <c r="AC608" s="5"/>
      <c r="AD608" s="5"/>
      <c r="AE608" s="5"/>
      <c r="AF608" s="5"/>
    </row>
    <row r="609" spans="1:32" ht="12" customHeight="1">
      <c r="A609" s="78" t="s">
        <v>521</v>
      </c>
      <c r="B609" s="10"/>
      <c r="C609" s="10"/>
      <c r="D609" s="10"/>
      <c r="E609" s="10"/>
      <c r="F609" s="45"/>
      <c r="G609" s="45"/>
      <c r="H609" s="45"/>
      <c r="I609" s="45"/>
      <c r="J609" s="45"/>
      <c r="K609" s="45"/>
      <c r="L609" s="94"/>
      <c r="M609" s="13"/>
      <c r="N609" s="17"/>
      <c r="O609" s="5"/>
      <c r="P609" s="5"/>
      <c r="Q609" s="5"/>
      <c r="R609" s="5"/>
      <c r="S609" s="5"/>
      <c r="T609" s="5"/>
      <c r="U609" s="5"/>
      <c r="V609" s="5"/>
      <c r="W609" s="5"/>
      <c r="X609" s="5"/>
      <c r="Y609" s="5"/>
      <c r="Z609" s="5"/>
      <c r="AA609" s="5"/>
      <c r="AB609" s="5"/>
      <c r="AC609" s="5"/>
      <c r="AD609" s="5"/>
      <c r="AE609" s="5"/>
      <c r="AF609" s="5"/>
    </row>
    <row r="610" spans="1:32" ht="12" customHeight="1">
      <c r="A610" s="5"/>
      <c r="B610" s="10"/>
      <c r="C610" s="10"/>
      <c r="D610" s="10"/>
      <c r="E610" s="10"/>
      <c r="F610" s="4" t="s">
        <v>206</v>
      </c>
      <c r="G610" s="4" t="s">
        <v>207</v>
      </c>
      <c r="H610" s="4" t="s">
        <v>208</v>
      </c>
      <c r="I610" s="4" t="s">
        <v>209</v>
      </c>
      <c r="J610" s="4" t="s">
        <v>210</v>
      </c>
      <c r="K610" s="4" t="s">
        <v>211</v>
      </c>
      <c r="L610" s="94"/>
      <c r="M610" s="13"/>
      <c r="N610" s="17"/>
      <c r="O610" s="5"/>
      <c r="P610" s="5"/>
      <c r="Q610" s="5"/>
      <c r="R610" s="5"/>
      <c r="S610" s="5"/>
      <c r="T610" s="5"/>
      <c r="U610" s="5"/>
      <c r="V610" s="5"/>
      <c r="W610" s="5"/>
      <c r="X610" s="5"/>
      <c r="Y610" s="5"/>
      <c r="Z610" s="5"/>
      <c r="AA610" s="5"/>
      <c r="AB610" s="5"/>
      <c r="AC610" s="5"/>
      <c r="AD610" s="5"/>
      <c r="AE610" s="5"/>
      <c r="AF610" s="5"/>
    </row>
    <row r="611" spans="1:32" ht="12" customHeight="1">
      <c r="A611" s="78" t="s">
        <v>483</v>
      </c>
      <c r="B611" s="10"/>
      <c r="C611" s="10"/>
      <c r="D611" s="10"/>
      <c r="E611" s="10"/>
      <c r="F611" s="45" t="s">
        <v>213</v>
      </c>
      <c r="G611" s="45" t="s">
        <v>214</v>
      </c>
      <c r="H611" s="45" t="s">
        <v>215</v>
      </c>
      <c r="I611" s="45" t="s">
        <v>216</v>
      </c>
      <c r="J611" s="45" t="s">
        <v>217</v>
      </c>
      <c r="K611" s="45" t="s">
        <v>218</v>
      </c>
      <c r="L611" s="90" t="s">
        <v>219</v>
      </c>
      <c r="M611" s="13"/>
      <c r="N611" s="17"/>
      <c r="O611" s="5"/>
      <c r="P611" s="5"/>
      <c r="Q611" s="5"/>
      <c r="R611" s="5"/>
      <c r="S611" s="5"/>
      <c r="T611" s="5"/>
      <c r="U611" s="5"/>
      <c r="V611" s="5"/>
      <c r="W611" s="5"/>
      <c r="X611" s="5"/>
      <c r="Y611" s="5"/>
      <c r="Z611" s="5"/>
      <c r="AA611" s="5"/>
      <c r="AB611" s="5"/>
      <c r="AC611" s="5"/>
      <c r="AD611" s="5"/>
      <c r="AE611" s="5"/>
      <c r="AF611" s="5"/>
    </row>
    <row r="612" spans="1:32" ht="12" customHeight="1">
      <c r="A612" s="61" t="s">
        <v>450</v>
      </c>
      <c r="B612" s="10">
        <v>23</v>
      </c>
      <c r="C612" s="10">
        <v>13</v>
      </c>
      <c r="D612" s="2" t="s">
        <v>309</v>
      </c>
      <c r="E612" s="10"/>
      <c r="F612" s="16"/>
      <c r="G612" s="16"/>
      <c r="H612" s="16"/>
      <c r="I612" s="16"/>
      <c r="J612" s="16"/>
      <c r="K612" s="16"/>
      <c r="L612" s="94">
        <f t="shared" ref="L612:L614" si="119">SUM(F612:K612)</f>
        <v>0</v>
      </c>
      <c r="M612" s="13"/>
      <c r="N612" s="17"/>
      <c r="O612" s="5"/>
      <c r="P612" s="5"/>
      <c r="Q612" s="5"/>
      <c r="R612" s="5"/>
      <c r="S612" s="5"/>
      <c r="T612" s="5"/>
      <c r="U612" s="5"/>
      <c r="V612" s="5"/>
      <c r="W612" s="5"/>
      <c r="X612" s="5"/>
      <c r="Y612" s="5"/>
      <c r="Z612" s="5"/>
      <c r="AA612" s="5"/>
      <c r="AB612" s="5"/>
      <c r="AC612" s="5"/>
      <c r="AD612" s="5"/>
      <c r="AE612" s="5"/>
      <c r="AF612" s="5"/>
    </row>
    <row r="613" spans="1:32" ht="12" customHeight="1">
      <c r="A613" s="61" t="s">
        <v>451</v>
      </c>
      <c r="B613" s="10">
        <v>23</v>
      </c>
      <c r="C613" s="10">
        <v>14</v>
      </c>
      <c r="D613" s="2" t="s">
        <v>309</v>
      </c>
      <c r="E613" s="10"/>
      <c r="F613" s="16"/>
      <c r="G613" s="16"/>
      <c r="H613" s="16"/>
      <c r="I613" s="16"/>
      <c r="J613" s="16"/>
      <c r="K613" s="16"/>
      <c r="L613" s="94">
        <f t="shared" si="119"/>
        <v>0</v>
      </c>
      <c r="M613" s="13"/>
      <c r="N613" s="17"/>
      <c r="O613" s="5"/>
      <c r="P613" s="5"/>
      <c r="Q613" s="5"/>
      <c r="R613" s="5"/>
      <c r="S613" s="5"/>
      <c r="T613" s="5"/>
      <c r="U613" s="5"/>
      <c r="V613" s="5"/>
      <c r="W613" s="5"/>
      <c r="X613" s="5"/>
      <c r="Y613" s="5"/>
      <c r="Z613" s="5"/>
      <c r="AA613" s="5"/>
      <c r="AB613" s="5"/>
      <c r="AC613" s="5"/>
      <c r="AD613" s="5"/>
      <c r="AE613" s="5"/>
      <c r="AF613" s="5"/>
    </row>
    <row r="614" spans="1:32" ht="12" customHeight="1">
      <c r="A614" s="61" t="s">
        <v>522</v>
      </c>
      <c r="B614" s="10">
        <v>23</v>
      </c>
      <c r="C614" s="10">
        <v>15</v>
      </c>
      <c r="D614" s="2" t="s">
        <v>309</v>
      </c>
      <c r="E614" s="10"/>
      <c r="F614" s="16"/>
      <c r="G614" s="16"/>
      <c r="H614" s="16"/>
      <c r="I614" s="16"/>
      <c r="J614" s="16"/>
      <c r="K614" s="16"/>
      <c r="L614" s="94">
        <f t="shared" si="119"/>
        <v>0</v>
      </c>
      <c r="M614" s="13"/>
      <c r="N614" s="17"/>
      <c r="O614" s="5"/>
      <c r="P614" s="5"/>
      <c r="Q614" s="5"/>
      <c r="R614" s="5"/>
      <c r="S614" s="5"/>
      <c r="T614" s="5"/>
      <c r="U614" s="5"/>
      <c r="V614" s="5"/>
      <c r="W614" s="5"/>
      <c r="X614" s="5"/>
      <c r="Y614" s="5"/>
      <c r="Z614" s="5"/>
      <c r="AA614" s="5"/>
      <c r="AB614" s="5"/>
      <c r="AC614" s="5"/>
      <c r="AD614" s="5"/>
      <c r="AE614" s="5"/>
      <c r="AF614" s="5"/>
    </row>
    <row r="615" spans="1:32" ht="12" customHeight="1">
      <c r="A615" s="101" t="s">
        <v>307</v>
      </c>
      <c r="B615" s="40">
        <v>23</v>
      </c>
      <c r="C615" s="40">
        <v>16</v>
      </c>
      <c r="D615" s="20" t="s">
        <v>309</v>
      </c>
      <c r="E615" s="40"/>
      <c r="F615" s="96">
        <f t="shared" ref="F615:L615" si="120">SUM(F612:F614)</f>
        <v>0</v>
      </c>
      <c r="G615" s="96">
        <f t="shared" si="120"/>
        <v>0</v>
      </c>
      <c r="H615" s="96">
        <f t="shared" si="120"/>
        <v>0</v>
      </c>
      <c r="I615" s="96">
        <f t="shared" si="120"/>
        <v>0</v>
      </c>
      <c r="J615" s="96">
        <f t="shared" si="120"/>
        <v>0</v>
      </c>
      <c r="K615" s="96">
        <f t="shared" si="120"/>
        <v>0</v>
      </c>
      <c r="L615" s="97">
        <f t="shared" si="120"/>
        <v>0</v>
      </c>
      <c r="M615" s="13"/>
      <c r="N615" s="5"/>
      <c r="O615" s="5"/>
      <c r="P615" s="5"/>
      <c r="Q615" s="5"/>
      <c r="R615" s="5"/>
      <c r="S615" s="5"/>
      <c r="T615" s="5"/>
      <c r="U615" s="5"/>
      <c r="V615" s="5"/>
      <c r="W615" s="5"/>
      <c r="X615" s="5"/>
      <c r="Y615" s="5"/>
      <c r="Z615" s="5"/>
      <c r="AA615" s="5"/>
      <c r="AB615" s="5"/>
      <c r="AC615" s="5"/>
      <c r="AD615" s="5"/>
      <c r="AE615" s="5"/>
      <c r="AF615" s="5"/>
    </row>
    <row r="616" spans="1:32" ht="12" customHeight="1">
      <c r="A616" s="78"/>
      <c r="B616" s="10"/>
      <c r="C616" s="10"/>
      <c r="D616" s="10"/>
      <c r="E616" s="10"/>
      <c r="F616" s="105"/>
      <c r="G616" s="105"/>
      <c r="H616" s="105"/>
      <c r="I616" s="105"/>
      <c r="J616" s="105"/>
      <c r="K616" s="105"/>
      <c r="L616" s="105"/>
      <c r="M616" s="13"/>
      <c r="N616" s="5"/>
      <c r="O616" s="5"/>
      <c r="P616" s="5"/>
      <c r="Q616" s="5"/>
      <c r="R616" s="5"/>
      <c r="S616" s="5"/>
      <c r="T616" s="5"/>
      <c r="U616" s="5"/>
      <c r="V616" s="5"/>
      <c r="W616" s="5"/>
      <c r="X616" s="5"/>
      <c r="Y616" s="5"/>
      <c r="Z616" s="5"/>
      <c r="AA616" s="5"/>
      <c r="AB616" s="5"/>
      <c r="AC616" s="5"/>
      <c r="AD616" s="5"/>
      <c r="AE616" s="5"/>
      <c r="AF616" s="5"/>
    </row>
    <row r="617" spans="1:32" ht="12" customHeight="1">
      <c r="A617" s="78"/>
      <c r="B617" s="10"/>
      <c r="C617" s="10"/>
      <c r="D617" s="10"/>
      <c r="E617" s="10"/>
      <c r="F617" s="108" t="s">
        <v>523</v>
      </c>
      <c r="G617" s="105"/>
      <c r="H617" s="105"/>
      <c r="I617" s="108" t="s">
        <v>523</v>
      </c>
      <c r="J617" s="105"/>
      <c r="K617" s="105"/>
      <c r="L617" s="105"/>
      <c r="M617" s="13"/>
      <c r="N617" s="5"/>
      <c r="O617" s="5"/>
      <c r="P617" s="5"/>
      <c r="Q617" s="5"/>
      <c r="R617" s="5"/>
      <c r="S617" s="5"/>
      <c r="T617" s="5"/>
      <c r="U617" s="5"/>
      <c r="V617" s="5"/>
      <c r="W617" s="5"/>
      <c r="X617" s="5"/>
      <c r="Y617" s="5"/>
      <c r="Z617" s="5"/>
      <c r="AA617" s="5"/>
      <c r="AB617" s="5"/>
      <c r="AC617" s="5"/>
      <c r="AD617" s="5"/>
      <c r="AE617" s="5"/>
      <c r="AF617" s="5"/>
    </row>
    <row r="618" spans="1:32" ht="12" customHeight="1">
      <c r="A618" s="78" t="s">
        <v>524</v>
      </c>
      <c r="B618" s="10"/>
      <c r="C618" s="10"/>
      <c r="D618" s="10"/>
      <c r="E618" s="10"/>
      <c r="F618" s="109" t="s">
        <v>525</v>
      </c>
      <c r="G618" s="105">
        <f>SUM(F19)</f>
        <v>425140.05</v>
      </c>
      <c r="H618" s="105">
        <f>SUM(F52)</f>
        <v>425140.05000000005</v>
      </c>
      <c r="I618" s="109" t="s">
        <v>526</v>
      </c>
      <c r="J618" s="105">
        <f t="shared" ref="J618:J656" si="121">G618-H618</f>
        <v>0</v>
      </c>
      <c r="K618" s="105"/>
      <c r="L618" s="105"/>
      <c r="M618" s="13"/>
      <c r="N618" s="5"/>
      <c r="O618" s="5"/>
      <c r="P618" s="5"/>
      <c r="Q618" s="5"/>
      <c r="R618" s="5"/>
      <c r="S618" s="5"/>
      <c r="T618" s="5"/>
      <c r="U618" s="5"/>
      <c r="V618" s="5"/>
      <c r="W618" s="5"/>
      <c r="X618" s="5"/>
      <c r="Y618" s="5"/>
      <c r="Z618" s="5"/>
      <c r="AA618" s="5"/>
      <c r="AB618" s="5"/>
      <c r="AC618" s="5"/>
      <c r="AD618" s="5"/>
      <c r="AE618" s="5"/>
      <c r="AF618" s="5"/>
    </row>
    <row r="619" spans="1:32" ht="12" customHeight="1">
      <c r="A619" s="78" t="s">
        <v>527</v>
      </c>
      <c r="B619" s="10"/>
      <c r="C619" s="10"/>
      <c r="D619" s="10"/>
      <c r="E619" s="10"/>
      <c r="F619" s="109" t="s">
        <v>528</v>
      </c>
      <c r="G619" s="105">
        <f>SUM(G19)</f>
        <v>29232.57</v>
      </c>
      <c r="H619" s="105">
        <f>SUM(G52)</f>
        <v>29232.57</v>
      </c>
      <c r="I619" s="109" t="s">
        <v>529</v>
      </c>
      <c r="J619" s="105">
        <f t="shared" si="121"/>
        <v>0</v>
      </c>
      <c r="K619" s="105"/>
      <c r="L619" s="105"/>
      <c r="M619" s="13"/>
      <c r="N619" s="5"/>
      <c r="O619" s="5"/>
      <c r="P619" s="5"/>
      <c r="Q619" s="5"/>
      <c r="R619" s="5"/>
      <c r="S619" s="5"/>
      <c r="T619" s="5"/>
      <c r="U619" s="5"/>
      <c r="V619" s="5"/>
      <c r="W619" s="5"/>
      <c r="X619" s="5"/>
      <c r="Y619" s="5"/>
      <c r="Z619" s="5"/>
      <c r="AA619" s="5"/>
      <c r="AB619" s="5"/>
      <c r="AC619" s="5"/>
      <c r="AD619" s="5"/>
      <c r="AE619" s="5"/>
      <c r="AF619" s="5"/>
    </row>
    <row r="620" spans="1:32" ht="12" customHeight="1">
      <c r="A620" s="78"/>
      <c r="B620" s="10"/>
      <c r="C620" s="10"/>
      <c r="D620" s="10"/>
      <c r="E620" s="10"/>
      <c r="F620" s="109" t="s">
        <v>530</v>
      </c>
      <c r="G620" s="105">
        <f>SUM(H19)</f>
        <v>3086.55</v>
      </c>
      <c r="H620" s="105">
        <f>SUM(H52)</f>
        <v>3086.55</v>
      </c>
      <c r="I620" s="109" t="s">
        <v>531</v>
      </c>
      <c r="J620" s="105">
        <f t="shared" si="121"/>
        <v>0</v>
      </c>
      <c r="K620" s="105"/>
      <c r="L620" s="105"/>
      <c r="M620" s="13"/>
      <c r="N620" s="5"/>
      <c r="O620" s="5"/>
      <c r="P620" s="5"/>
      <c r="Q620" s="5"/>
      <c r="R620" s="5"/>
      <c r="S620" s="5"/>
      <c r="T620" s="5"/>
      <c r="U620" s="5"/>
      <c r="V620" s="5"/>
      <c r="W620" s="5"/>
      <c r="X620" s="5"/>
      <c r="Y620" s="5"/>
      <c r="Z620" s="5"/>
      <c r="AA620" s="5"/>
      <c r="AB620" s="5"/>
      <c r="AC620" s="5"/>
      <c r="AD620" s="5"/>
      <c r="AE620" s="5"/>
      <c r="AF620" s="5"/>
    </row>
    <row r="621" spans="1:32" ht="12" customHeight="1">
      <c r="A621" s="78"/>
      <c r="B621" s="10"/>
      <c r="C621" s="10"/>
      <c r="D621" s="10"/>
      <c r="E621" s="10"/>
      <c r="F621" s="109" t="s">
        <v>532</v>
      </c>
      <c r="G621" s="105">
        <f>SUM(I19)</f>
        <v>4485.38</v>
      </c>
      <c r="H621" s="105">
        <f>SUM(I52)</f>
        <v>4485.38</v>
      </c>
      <c r="I621" s="109" t="s">
        <v>533</v>
      </c>
      <c r="J621" s="105">
        <f t="shared" si="121"/>
        <v>0</v>
      </c>
      <c r="K621" s="105"/>
      <c r="L621" s="105"/>
      <c r="M621" s="13"/>
      <c r="N621" s="5"/>
      <c r="O621" s="5"/>
      <c r="P621" s="5"/>
      <c r="Q621" s="5"/>
      <c r="R621" s="5"/>
      <c r="S621" s="5"/>
      <c r="T621" s="5"/>
      <c r="U621" s="5"/>
      <c r="V621" s="5"/>
      <c r="W621" s="5"/>
      <c r="X621" s="5"/>
      <c r="Y621" s="5"/>
      <c r="Z621" s="5"/>
      <c r="AA621" s="5"/>
      <c r="AB621" s="5"/>
      <c r="AC621" s="5"/>
      <c r="AD621" s="5"/>
      <c r="AE621" s="5"/>
      <c r="AF621" s="5"/>
    </row>
    <row r="622" spans="1:32" ht="12" customHeight="1">
      <c r="A622" s="78"/>
      <c r="B622" s="10"/>
      <c r="C622" s="10"/>
      <c r="D622" s="10"/>
      <c r="E622" s="10"/>
      <c r="F622" s="109" t="s">
        <v>534</v>
      </c>
      <c r="G622" s="105">
        <f>SUM(J19)</f>
        <v>250532.50999999998</v>
      </c>
      <c r="H622" s="105">
        <f>SUM(J52)</f>
        <v>250532.51</v>
      </c>
      <c r="I622" s="109" t="s">
        <v>535</v>
      </c>
      <c r="J622" s="105">
        <f t="shared" si="121"/>
        <v>0</v>
      </c>
      <c r="K622" s="105"/>
      <c r="L622" s="105"/>
      <c r="M622" s="13"/>
      <c r="N622" s="5"/>
      <c r="O622" s="5"/>
      <c r="P622" s="5"/>
      <c r="Q622" s="5"/>
      <c r="R622" s="5"/>
      <c r="S622" s="5"/>
      <c r="T622" s="5"/>
      <c r="U622" s="5"/>
      <c r="V622" s="5"/>
      <c r="W622" s="5"/>
      <c r="X622" s="5"/>
      <c r="Y622" s="5"/>
      <c r="Z622" s="5"/>
      <c r="AA622" s="5"/>
      <c r="AB622" s="5"/>
      <c r="AC622" s="5"/>
      <c r="AD622" s="5"/>
      <c r="AE622" s="5"/>
      <c r="AF622" s="5"/>
    </row>
    <row r="623" spans="1:32" ht="12" customHeight="1">
      <c r="A623" s="78"/>
      <c r="B623" s="10"/>
      <c r="C623" s="10"/>
      <c r="D623" s="10"/>
      <c r="E623" s="10"/>
      <c r="F623" s="109" t="s">
        <v>536</v>
      </c>
      <c r="G623" s="105">
        <f>F51</f>
        <v>346028.54000000004</v>
      </c>
      <c r="H623" s="105">
        <f>F477</f>
        <v>346028.53999999957</v>
      </c>
      <c r="I623" s="109" t="s">
        <v>537</v>
      </c>
      <c r="J623" s="105">
        <f t="shared" si="121"/>
        <v>4.6566128730773926E-10</v>
      </c>
      <c r="K623" s="105"/>
      <c r="L623" s="105"/>
      <c r="M623" s="13"/>
      <c r="N623" s="5"/>
      <c r="O623" s="5"/>
      <c r="P623" s="5"/>
      <c r="Q623" s="5"/>
      <c r="R623" s="5"/>
      <c r="S623" s="5"/>
      <c r="T623" s="5"/>
      <c r="U623" s="5"/>
      <c r="V623" s="5"/>
      <c r="W623" s="5"/>
      <c r="X623" s="5"/>
      <c r="Y623" s="5"/>
      <c r="Z623" s="5"/>
      <c r="AA623" s="5"/>
      <c r="AB623" s="5"/>
      <c r="AC623" s="5"/>
      <c r="AD623" s="5"/>
      <c r="AE623" s="5"/>
      <c r="AF623" s="5"/>
    </row>
    <row r="624" spans="1:32" ht="12" customHeight="1">
      <c r="A624" s="78"/>
      <c r="B624" s="10"/>
      <c r="C624" s="24"/>
      <c r="D624" s="24"/>
      <c r="E624" s="24"/>
      <c r="F624" s="110" t="s">
        <v>538</v>
      </c>
      <c r="G624" s="105">
        <f>G51</f>
        <v>677</v>
      </c>
      <c r="H624" s="105">
        <f>G477</f>
        <v>677</v>
      </c>
      <c r="I624" s="109" t="s">
        <v>539</v>
      </c>
      <c r="J624" s="105">
        <f t="shared" si="121"/>
        <v>0</v>
      </c>
      <c r="K624" s="105"/>
      <c r="L624" s="105"/>
      <c r="M624" s="13"/>
      <c r="N624" s="5"/>
      <c r="O624" s="5"/>
      <c r="P624" s="5"/>
      <c r="Q624" s="5"/>
      <c r="R624" s="5"/>
      <c r="S624" s="5"/>
      <c r="T624" s="5"/>
      <c r="U624" s="5"/>
      <c r="V624" s="5"/>
      <c r="W624" s="5"/>
      <c r="X624" s="5"/>
      <c r="Y624" s="5"/>
      <c r="Z624" s="5"/>
      <c r="AA624" s="5"/>
      <c r="AB624" s="5"/>
      <c r="AC624" s="5"/>
      <c r="AD624" s="5"/>
      <c r="AE624" s="5"/>
      <c r="AF624" s="5"/>
    </row>
    <row r="625" spans="1:32" ht="12" customHeight="1">
      <c r="A625" s="78"/>
      <c r="B625" s="10"/>
      <c r="C625" s="10"/>
      <c r="D625" s="10"/>
      <c r="E625" s="10"/>
      <c r="F625" s="111" t="s">
        <v>540</v>
      </c>
      <c r="G625" s="105">
        <f>H51</f>
        <v>0</v>
      </c>
      <c r="H625" s="105">
        <f>H477</f>
        <v>0</v>
      </c>
      <c r="I625" s="109" t="s">
        <v>541</v>
      </c>
      <c r="J625" s="105">
        <f t="shared" si="121"/>
        <v>0</v>
      </c>
      <c r="K625" s="105"/>
      <c r="L625" s="105"/>
      <c r="M625" s="13"/>
      <c r="N625" s="5"/>
      <c r="O625" s="5"/>
      <c r="P625" s="5"/>
      <c r="Q625" s="5"/>
      <c r="R625" s="5"/>
      <c r="S625" s="5"/>
      <c r="T625" s="5"/>
      <c r="U625" s="5"/>
      <c r="V625" s="5"/>
      <c r="W625" s="5"/>
      <c r="X625" s="5"/>
      <c r="Y625" s="5"/>
      <c r="Z625" s="5"/>
      <c r="AA625" s="5"/>
      <c r="AB625" s="5"/>
      <c r="AC625" s="5"/>
      <c r="AD625" s="5"/>
      <c r="AE625" s="5"/>
      <c r="AF625" s="5"/>
    </row>
    <row r="626" spans="1:32" ht="12" customHeight="1">
      <c r="A626" s="78"/>
      <c r="B626" s="10"/>
      <c r="C626" s="10"/>
      <c r="D626" s="10"/>
      <c r="E626" s="10"/>
      <c r="F626" s="111" t="s">
        <v>542</v>
      </c>
      <c r="G626" s="105">
        <f>I51</f>
        <v>4485.38</v>
      </c>
      <c r="H626" s="105">
        <f>I477</f>
        <v>4485.38</v>
      </c>
      <c r="I626" s="109" t="s">
        <v>543</v>
      </c>
      <c r="J626" s="105">
        <f t="shared" si="121"/>
        <v>0</v>
      </c>
      <c r="K626" s="105"/>
      <c r="L626" s="105"/>
      <c r="M626" s="13"/>
      <c r="N626" s="5"/>
      <c r="O626" s="5"/>
      <c r="P626" s="5"/>
      <c r="Q626" s="5"/>
      <c r="R626" s="5"/>
      <c r="S626" s="5"/>
      <c r="T626" s="5"/>
      <c r="U626" s="5"/>
      <c r="V626" s="5"/>
      <c r="W626" s="5"/>
      <c r="X626" s="5"/>
      <c r="Y626" s="5"/>
      <c r="Z626" s="5"/>
      <c r="AA626" s="5"/>
      <c r="AB626" s="5"/>
      <c r="AC626" s="5"/>
      <c r="AD626" s="5"/>
      <c r="AE626" s="5"/>
      <c r="AF626" s="5"/>
    </row>
    <row r="627" spans="1:32" ht="12" customHeight="1">
      <c r="A627" s="61"/>
      <c r="B627" s="10"/>
      <c r="C627" s="10"/>
      <c r="D627" s="10"/>
      <c r="E627" s="10"/>
      <c r="F627" s="111" t="s">
        <v>544</v>
      </c>
      <c r="G627" s="105">
        <f>J51</f>
        <v>250532.51</v>
      </c>
      <c r="H627" s="105">
        <f>J477</f>
        <v>250532.50999999998</v>
      </c>
      <c r="I627" s="109" t="s">
        <v>545</v>
      </c>
      <c r="J627" s="105">
        <f t="shared" si="121"/>
        <v>0</v>
      </c>
      <c r="K627" s="45"/>
      <c r="L627" s="94"/>
      <c r="M627" s="13"/>
      <c r="N627" s="5"/>
      <c r="O627" s="5"/>
      <c r="P627" s="5"/>
      <c r="Q627" s="5"/>
      <c r="R627" s="5"/>
      <c r="S627" s="5"/>
      <c r="T627" s="5"/>
      <c r="U627" s="5"/>
      <c r="V627" s="5"/>
      <c r="W627" s="5"/>
      <c r="X627" s="5"/>
      <c r="Y627" s="5"/>
      <c r="Z627" s="5"/>
      <c r="AA627" s="5"/>
      <c r="AB627" s="5"/>
      <c r="AC627" s="5"/>
      <c r="AD627" s="5"/>
      <c r="AE627" s="5"/>
      <c r="AF627" s="5"/>
    </row>
    <row r="628" spans="1:32" ht="12" customHeight="1">
      <c r="A628" s="61"/>
      <c r="B628" s="10"/>
      <c r="C628" s="10"/>
      <c r="D628" s="10"/>
      <c r="E628" s="10"/>
      <c r="F628" s="111" t="s">
        <v>546</v>
      </c>
      <c r="G628" s="105">
        <f>F194</f>
        <v>2880658.67</v>
      </c>
      <c r="H628" s="105">
        <f>SUM(F469)</f>
        <v>2880658.67</v>
      </c>
      <c r="I628" s="109" t="s">
        <v>547</v>
      </c>
      <c r="J628" s="105">
        <f t="shared" si="121"/>
        <v>0</v>
      </c>
      <c r="K628" s="45"/>
      <c r="L628" s="94"/>
      <c r="M628" s="13"/>
      <c r="N628" s="5"/>
      <c r="O628" s="5"/>
      <c r="P628" s="5"/>
      <c r="Q628" s="5"/>
      <c r="R628" s="5"/>
      <c r="S628" s="5"/>
      <c r="T628" s="5"/>
      <c r="U628" s="5"/>
      <c r="V628" s="5"/>
      <c r="W628" s="5"/>
      <c r="X628" s="5"/>
      <c r="Y628" s="5"/>
      <c r="Z628" s="5"/>
      <c r="AA628" s="5"/>
      <c r="AB628" s="5"/>
      <c r="AC628" s="5"/>
      <c r="AD628" s="5"/>
      <c r="AE628" s="5"/>
      <c r="AF628" s="5"/>
    </row>
    <row r="629" spans="1:32" ht="12" customHeight="1">
      <c r="A629" s="61"/>
      <c r="B629" s="10"/>
      <c r="C629" s="10"/>
      <c r="D629" s="10"/>
      <c r="E629" s="10"/>
      <c r="F629" s="111" t="s">
        <v>548</v>
      </c>
      <c r="G629" s="105">
        <f>G194</f>
        <v>76238.62000000001</v>
      </c>
      <c r="H629" s="105">
        <f>SUM(G469)</f>
        <v>76238.62</v>
      </c>
      <c r="I629" s="109" t="s">
        <v>549</v>
      </c>
      <c r="J629" s="105">
        <f t="shared" si="121"/>
        <v>0</v>
      </c>
      <c r="K629" s="45"/>
      <c r="L629" s="94"/>
      <c r="M629" s="13"/>
      <c r="N629" s="5"/>
      <c r="O629" s="5"/>
      <c r="P629" s="5"/>
      <c r="Q629" s="5"/>
      <c r="R629" s="5"/>
      <c r="S629" s="5"/>
      <c r="T629" s="5"/>
      <c r="U629" s="5"/>
      <c r="V629" s="5"/>
      <c r="W629" s="5"/>
      <c r="X629" s="5"/>
      <c r="Y629" s="5"/>
      <c r="Z629" s="5"/>
      <c r="AA629" s="5"/>
      <c r="AB629" s="5"/>
      <c r="AC629" s="5"/>
      <c r="AD629" s="5"/>
      <c r="AE629" s="5"/>
      <c r="AF629" s="5"/>
    </row>
    <row r="630" spans="1:32" ht="12" customHeight="1">
      <c r="A630" s="61"/>
      <c r="B630" s="10"/>
      <c r="C630" s="10"/>
      <c r="D630" s="10"/>
      <c r="E630" s="10"/>
      <c r="F630" s="111" t="s">
        <v>550</v>
      </c>
      <c r="G630" s="105">
        <f>H194</f>
        <v>29264.6</v>
      </c>
      <c r="H630" s="105">
        <f>SUM(H469)</f>
        <v>29264.6</v>
      </c>
      <c r="I630" s="109" t="s">
        <v>551</v>
      </c>
      <c r="J630" s="105">
        <f t="shared" si="121"/>
        <v>0</v>
      </c>
      <c r="K630" s="45"/>
      <c r="L630" s="94"/>
      <c r="M630" s="13"/>
      <c r="N630" s="5"/>
      <c r="O630" s="5"/>
      <c r="P630" s="5"/>
      <c r="Q630" s="5"/>
      <c r="R630" s="5"/>
      <c r="S630" s="5"/>
      <c r="T630" s="5"/>
      <c r="U630" s="5"/>
      <c r="V630" s="5"/>
      <c r="W630" s="5"/>
      <c r="X630" s="5"/>
      <c r="Y630" s="5"/>
      <c r="Z630" s="5"/>
      <c r="AA630" s="5"/>
      <c r="AB630" s="5"/>
      <c r="AC630" s="5"/>
      <c r="AD630" s="5"/>
      <c r="AE630" s="5"/>
      <c r="AF630" s="5"/>
    </row>
    <row r="631" spans="1:32" ht="12" customHeight="1">
      <c r="A631" s="61"/>
      <c r="B631" s="10"/>
      <c r="C631" s="10"/>
      <c r="D631" s="10"/>
      <c r="E631" s="10"/>
      <c r="F631" s="111" t="s">
        <v>552</v>
      </c>
      <c r="G631" s="105">
        <f>I194</f>
        <v>0</v>
      </c>
      <c r="H631" s="105">
        <f>SUM(I469)</f>
        <v>0</v>
      </c>
      <c r="I631" s="109" t="s">
        <v>553</v>
      </c>
      <c r="J631" s="105">
        <f t="shared" si="121"/>
        <v>0</v>
      </c>
      <c r="K631" s="45"/>
      <c r="L631" s="94"/>
      <c r="M631" s="13"/>
      <c r="N631" s="5"/>
      <c r="O631" s="5"/>
      <c r="P631" s="5"/>
      <c r="Q631" s="5"/>
      <c r="R631" s="5"/>
      <c r="S631" s="5"/>
      <c r="T631" s="5"/>
      <c r="U631" s="5"/>
      <c r="V631" s="5"/>
      <c r="W631" s="5"/>
      <c r="X631" s="5"/>
      <c r="Y631" s="5"/>
      <c r="Z631" s="5"/>
      <c r="AA631" s="5"/>
      <c r="AB631" s="5"/>
      <c r="AC631" s="5"/>
      <c r="AD631" s="5"/>
      <c r="AE631" s="5"/>
      <c r="AF631" s="5"/>
    </row>
    <row r="632" spans="1:32" ht="12" customHeight="1">
      <c r="A632" s="61"/>
      <c r="B632" s="10"/>
      <c r="C632" s="10"/>
      <c r="D632" s="10"/>
      <c r="E632" s="10"/>
      <c r="F632" s="111" t="s">
        <v>554</v>
      </c>
      <c r="G632" s="105">
        <f>J194</f>
        <v>50268.27</v>
      </c>
      <c r="H632" s="105">
        <f>SUM(J469)</f>
        <v>50268.27</v>
      </c>
      <c r="I632" s="109" t="s">
        <v>555</v>
      </c>
      <c r="J632" s="105">
        <f t="shared" si="121"/>
        <v>0</v>
      </c>
      <c r="K632" s="45"/>
      <c r="L632" s="94"/>
      <c r="M632" s="13"/>
      <c r="N632" s="5"/>
      <c r="O632" s="5"/>
      <c r="P632" s="5"/>
      <c r="Q632" s="5"/>
      <c r="R632" s="5"/>
      <c r="S632" s="5"/>
      <c r="T632" s="5"/>
      <c r="U632" s="5"/>
      <c r="V632" s="5"/>
      <c r="W632" s="5"/>
      <c r="X632" s="5"/>
      <c r="Y632" s="5"/>
      <c r="Z632" s="5"/>
      <c r="AA632" s="5"/>
      <c r="AB632" s="5"/>
      <c r="AC632" s="5"/>
      <c r="AD632" s="5"/>
      <c r="AE632" s="5"/>
      <c r="AF632" s="5"/>
    </row>
    <row r="633" spans="1:32" ht="12" customHeight="1">
      <c r="A633" s="61"/>
      <c r="B633" s="10"/>
      <c r="C633" s="10"/>
      <c r="D633" s="10"/>
      <c r="E633" s="10"/>
      <c r="F633" s="111" t="s">
        <v>556</v>
      </c>
      <c r="G633" s="105">
        <f>SUM(L272)</f>
        <v>2988390.45</v>
      </c>
      <c r="H633" s="105">
        <f>SUM(F473)</f>
        <v>2988390.45</v>
      </c>
      <c r="I633" s="109" t="s">
        <v>557</v>
      </c>
      <c r="J633" s="105">
        <f t="shared" si="121"/>
        <v>0</v>
      </c>
      <c r="K633" s="45"/>
      <c r="L633" s="94"/>
      <c r="M633" s="13"/>
      <c r="N633" s="5"/>
      <c r="O633" s="5"/>
      <c r="P633" s="5"/>
      <c r="Q633" s="5"/>
      <c r="R633" s="5"/>
      <c r="S633" s="5"/>
      <c r="T633" s="5"/>
      <c r="U633" s="5"/>
      <c r="V633" s="5"/>
      <c r="W633" s="5"/>
      <c r="X633" s="5"/>
      <c r="Y633" s="5"/>
      <c r="Z633" s="5"/>
      <c r="AA633" s="5"/>
      <c r="AB633" s="5"/>
      <c r="AC633" s="5"/>
      <c r="AD633" s="5"/>
      <c r="AE633" s="5"/>
      <c r="AF633" s="5"/>
    </row>
    <row r="634" spans="1:32" ht="12" customHeight="1">
      <c r="A634" s="61"/>
      <c r="B634" s="10"/>
      <c r="C634" s="10"/>
      <c r="D634" s="10"/>
      <c r="E634" s="10"/>
      <c r="F634" s="111" t="s">
        <v>558</v>
      </c>
      <c r="G634" s="105">
        <f>SUM(L353)</f>
        <v>28967.599999999999</v>
      </c>
      <c r="H634" s="105">
        <f>SUM(H473)</f>
        <v>28967.599999999999</v>
      </c>
      <c r="I634" s="109" t="s">
        <v>559</v>
      </c>
      <c r="J634" s="105">
        <f t="shared" si="121"/>
        <v>0</v>
      </c>
      <c r="K634" s="45"/>
      <c r="L634" s="94"/>
      <c r="M634" s="13"/>
      <c r="N634" s="5"/>
      <c r="O634" s="5"/>
      <c r="P634" s="5"/>
      <c r="Q634" s="5"/>
      <c r="R634" s="5"/>
      <c r="S634" s="5"/>
      <c r="T634" s="5"/>
      <c r="U634" s="5"/>
      <c r="V634" s="5"/>
      <c r="W634" s="5"/>
      <c r="X634" s="5"/>
      <c r="Y634" s="5"/>
      <c r="Z634" s="5"/>
      <c r="AA634" s="5"/>
      <c r="AB634" s="5"/>
      <c r="AC634" s="5"/>
      <c r="AD634" s="5"/>
      <c r="AE634" s="5"/>
      <c r="AF634" s="5"/>
    </row>
    <row r="635" spans="1:32" ht="12" customHeight="1">
      <c r="A635" s="61"/>
      <c r="B635" s="10"/>
      <c r="C635" s="10"/>
      <c r="D635" s="10"/>
      <c r="E635" s="10"/>
      <c r="F635" s="112" t="s">
        <v>560</v>
      </c>
      <c r="G635" s="105">
        <f>I363</f>
        <v>29950.7</v>
      </c>
      <c r="H635" s="105">
        <f>I370</f>
        <v>29950.7</v>
      </c>
      <c r="I635" s="113" t="s">
        <v>561</v>
      </c>
      <c r="J635" s="105">
        <f t="shared" si="121"/>
        <v>0</v>
      </c>
      <c r="K635" s="45"/>
      <c r="L635" s="94"/>
      <c r="M635" s="13"/>
      <c r="N635" s="5"/>
      <c r="O635" s="5"/>
      <c r="P635" s="5"/>
      <c r="Q635" s="5"/>
      <c r="R635" s="5"/>
      <c r="S635" s="5"/>
      <c r="T635" s="5"/>
      <c r="U635" s="5"/>
      <c r="V635" s="5"/>
      <c r="W635" s="5"/>
      <c r="X635" s="5"/>
      <c r="Y635" s="5"/>
      <c r="Z635" s="5"/>
      <c r="AA635" s="5"/>
      <c r="AB635" s="5"/>
      <c r="AC635" s="5"/>
      <c r="AD635" s="5"/>
      <c r="AE635" s="5"/>
      <c r="AF635" s="5"/>
    </row>
    <row r="636" spans="1:32" ht="12" customHeight="1">
      <c r="A636" s="61"/>
      <c r="B636" s="10"/>
      <c r="C636" s="10"/>
      <c r="D636" s="10"/>
      <c r="E636" s="10"/>
      <c r="F636" s="111" t="s">
        <v>562</v>
      </c>
      <c r="G636" s="105">
        <f>SUM(L363)</f>
        <v>76238.62</v>
      </c>
      <c r="H636" s="105">
        <f>SUM(G473)</f>
        <v>76238.62</v>
      </c>
      <c r="I636" s="109" t="s">
        <v>563</v>
      </c>
      <c r="J636" s="105">
        <f t="shared" si="121"/>
        <v>0</v>
      </c>
      <c r="K636" s="45"/>
      <c r="L636" s="94"/>
      <c r="M636" s="13"/>
      <c r="N636" s="5"/>
      <c r="O636" s="5"/>
      <c r="P636" s="5"/>
      <c r="Q636" s="5"/>
      <c r="R636" s="5"/>
      <c r="S636" s="5"/>
      <c r="T636" s="5"/>
      <c r="U636" s="5"/>
      <c r="V636" s="5"/>
      <c r="W636" s="5"/>
      <c r="X636" s="5"/>
      <c r="Y636" s="5"/>
      <c r="Z636" s="5"/>
      <c r="AA636" s="5"/>
      <c r="AB636" s="5"/>
      <c r="AC636" s="5"/>
      <c r="AD636" s="5"/>
      <c r="AE636" s="5"/>
      <c r="AF636" s="5"/>
    </row>
    <row r="637" spans="1:32" ht="12" customHeight="1">
      <c r="A637" s="61"/>
      <c r="B637" s="10"/>
      <c r="C637" s="10"/>
      <c r="D637" s="10"/>
      <c r="E637" s="10"/>
      <c r="F637" s="111" t="s">
        <v>564</v>
      </c>
      <c r="G637" s="105">
        <f>SUM(L383)</f>
        <v>0</v>
      </c>
      <c r="H637" s="105">
        <f>SUM(I473)</f>
        <v>0</v>
      </c>
      <c r="I637" s="109" t="s">
        <v>565</v>
      </c>
      <c r="J637" s="105">
        <f t="shared" si="121"/>
        <v>0</v>
      </c>
      <c r="K637" s="45"/>
      <c r="L637" s="94"/>
      <c r="M637" s="13"/>
      <c r="N637" s="5"/>
      <c r="O637" s="5"/>
      <c r="P637" s="5"/>
      <c r="Q637" s="5"/>
      <c r="R637" s="5"/>
      <c r="S637" s="5"/>
      <c r="T637" s="5"/>
      <c r="U637" s="5"/>
      <c r="V637" s="5"/>
      <c r="W637" s="5"/>
      <c r="X637" s="5"/>
      <c r="Y637" s="5"/>
      <c r="Z637" s="5"/>
      <c r="AA637" s="5"/>
      <c r="AB637" s="5"/>
      <c r="AC637" s="5"/>
      <c r="AD637" s="5"/>
      <c r="AE637" s="5"/>
      <c r="AF637" s="5"/>
    </row>
    <row r="638" spans="1:32" ht="12" customHeight="1">
      <c r="A638" s="61"/>
      <c r="B638" s="10"/>
      <c r="C638" s="10"/>
      <c r="D638" s="10"/>
      <c r="E638" s="10"/>
      <c r="F638" s="111" t="s">
        <v>566</v>
      </c>
      <c r="G638" s="105">
        <f>SUM(L409)</f>
        <v>50268.27</v>
      </c>
      <c r="H638" s="105">
        <f>SUM(J469)</f>
        <v>50268.27</v>
      </c>
      <c r="I638" s="109" t="s">
        <v>555</v>
      </c>
      <c r="J638" s="105">
        <f t="shared" si="121"/>
        <v>0</v>
      </c>
      <c r="K638" s="45"/>
      <c r="L638" s="94"/>
      <c r="M638" s="13"/>
      <c r="N638" s="5"/>
      <c r="O638" s="5"/>
      <c r="P638" s="5"/>
      <c r="Q638" s="5"/>
      <c r="R638" s="5"/>
      <c r="S638" s="5"/>
      <c r="T638" s="5"/>
      <c r="U638" s="5"/>
      <c r="V638" s="5"/>
      <c r="W638" s="5"/>
      <c r="X638" s="5"/>
      <c r="Y638" s="5"/>
      <c r="Z638" s="5"/>
      <c r="AA638" s="5"/>
      <c r="AB638" s="5"/>
      <c r="AC638" s="5"/>
      <c r="AD638" s="5"/>
      <c r="AE638" s="5"/>
      <c r="AF638" s="5"/>
    </row>
    <row r="639" spans="1:32" ht="12" customHeight="1">
      <c r="A639" s="61"/>
      <c r="B639" s="10"/>
      <c r="C639" s="10"/>
      <c r="D639" s="10"/>
      <c r="E639" s="10"/>
      <c r="F639" s="111" t="s">
        <v>567</v>
      </c>
      <c r="G639" s="105">
        <f>SUM(L435)</f>
        <v>0</v>
      </c>
      <c r="H639" s="105">
        <f>SUM(J473)</f>
        <v>0</v>
      </c>
      <c r="I639" s="109" t="s">
        <v>568</v>
      </c>
      <c r="J639" s="105">
        <f t="shared" si="121"/>
        <v>0</v>
      </c>
      <c r="K639" s="45"/>
      <c r="L639" s="94"/>
      <c r="M639" s="13"/>
      <c r="N639" s="5"/>
      <c r="O639" s="5"/>
      <c r="P639" s="5"/>
      <c r="Q639" s="5"/>
      <c r="R639" s="5"/>
      <c r="S639" s="5"/>
      <c r="T639" s="5"/>
      <c r="U639" s="5"/>
      <c r="V639" s="5"/>
      <c r="W639" s="5"/>
      <c r="X639" s="5"/>
      <c r="Y639" s="5"/>
      <c r="Z639" s="5"/>
      <c r="AA639" s="5"/>
      <c r="AB639" s="5"/>
      <c r="AC639" s="5"/>
      <c r="AD639" s="5"/>
      <c r="AE639" s="5"/>
      <c r="AF639" s="5"/>
    </row>
    <row r="640" spans="1:32" ht="12" customHeight="1">
      <c r="A640" s="61"/>
      <c r="B640" s="10"/>
      <c r="C640" s="10"/>
      <c r="D640" s="10"/>
      <c r="E640" s="10"/>
      <c r="F640" s="111" t="s">
        <v>569</v>
      </c>
      <c r="G640" s="105">
        <f>SUM(F447)</f>
        <v>0</v>
      </c>
      <c r="H640" s="105">
        <f>SUM(F462)</f>
        <v>0</v>
      </c>
      <c r="I640" s="109" t="s">
        <v>570</v>
      </c>
      <c r="J640" s="105">
        <f t="shared" si="121"/>
        <v>0</v>
      </c>
      <c r="K640" s="45"/>
      <c r="L640" s="94"/>
      <c r="M640" s="13"/>
      <c r="N640" s="5"/>
      <c r="O640" s="5"/>
      <c r="P640" s="5"/>
      <c r="Q640" s="5"/>
      <c r="R640" s="5"/>
      <c r="S640" s="5"/>
      <c r="T640" s="5"/>
      <c r="U640" s="5"/>
      <c r="V640" s="5"/>
      <c r="W640" s="5"/>
      <c r="X640" s="5"/>
      <c r="Y640" s="5"/>
      <c r="Z640" s="5"/>
      <c r="AA640" s="5"/>
      <c r="AB640" s="5"/>
      <c r="AC640" s="5"/>
      <c r="AD640" s="5"/>
      <c r="AE640" s="5"/>
      <c r="AF640" s="5"/>
    </row>
    <row r="641" spans="1:32" ht="12" customHeight="1">
      <c r="A641" s="61"/>
      <c r="B641" s="10"/>
      <c r="C641" s="10"/>
      <c r="D641" s="10"/>
      <c r="E641" s="10"/>
      <c r="F641" s="111" t="s">
        <v>571</v>
      </c>
      <c r="G641" s="105">
        <f>SUM(G447)</f>
        <v>250532.50999999998</v>
      </c>
      <c r="H641" s="105">
        <f>SUM(G462)</f>
        <v>250532.51</v>
      </c>
      <c r="I641" s="109" t="s">
        <v>572</v>
      </c>
      <c r="J641" s="105">
        <f t="shared" si="121"/>
        <v>0</v>
      </c>
      <c r="K641" s="45"/>
      <c r="L641" s="94"/>
      <c r="M641" s="13"/>
      <c r="N641" s="5"/>
      <c r="O641" s="5"/>
      <c r="P641" s="5"/>
      <c r="Q641" s="5"/>
      <c r="R641" s="5"/>
      <c r="S641" s="5"/>
      <c r="T641" s="5"/>
      <c r="U641" s="5"/>
      <c r="V641" s="5"/>
      <c r="W641" s="5"/>
      <c r="X641" s="5"/>
      <c r="Y641" s="5"/>
      <c r="Z641" s="5"/>
      <c r="AA641" s="5"/>
      <c r="AB641" s="5"/>
      <c r="AC641" s="5"/>
      <c r="AD641" s="5"/>
      <c r="AE641" s="5"/>
      <c r="AF641" s="5"/>
    </row>
    <row r="642" spans="1:32" ht="12" customHeight="1">
      <c r="A642" s="61"/>
      <c r="B642" s="10"/>
      <c r="C642" s="10"/>
      <c r="D642" s="10"/>
      <c r="E642" s="10"/>
      <c r="F642" s="111" t="s">
        <v>573</v>
      </c>
      <c r="G642" s="105">
        <f>SUM(H447)</f>
        <v>0</v>
      </c>
      <c r="H642" s="105">
        <f>SUM(H462)</f>
        <v>0</v>
      </c>
      <c r="I642" s="109" t="s">
        <v>574</v>
      </c>
      <c r="J642" s="105">
        <f t="shared" si="121"/>
        <v>0</v>
      </c>
      <c r="K642" s="45"/>
      <c r="L642" s="94"/>
      <c r="M642" s="13"/>
      <c r="N642" s="5"/>
      <c r="O642" s="5"/>
      <c r="P642" s="5"/>
      <c r="Q642" s="5"/>
      <c r="R642" s="5"/>
      <c r="S642" s="5"/>
      <c r="T642" s="5"/>
      <c r="U642" s="5"/>
      <c r="V642" s="5"/>
      <c r="W642" s="5"/>
      <c r="X642" s="5"/>
      <c r="Y642" s="5"/>
      <c r="Z642" s="5"/>
      <c r="AA642" s="5"/>
      <c r="AB642" s="5"/>
      <c r="AC642" s="5"/>
      <c r="AD642" s="5"/>
      <c r="AE642" s="5"/>
      <c r="AF642" s="5"/>
    </row>
    <row r="643" spans="1:32" ht="12" customHeight="1">
      <c r="A643" s="61"/>
      <c r="B643" s="10"/>
      <c r="C643" s="10"/>
      <c r="D643" s="10"/>
      <c r="E643" s="10"/>
      <c r="F643" s="111" t="s">
        <v>575</v>
      </c>
      <c r="G643" s="105">
        <f>SUM(I447)</f>
        <v>250532.50999999998</v>
      </c>
      <c r="H643" s="105">
        <f>SUM(I462)</f>
        <v>250532.51</v>
      </c>
      <c r="I643" s="109" t="s">
        <v>576</v>
      </c>
      <c r="J643" s="105">
        <f t="shared" si="121"/>
        <v>0</v>
      </c>
      <c r="K643" s="45"/>
      <c r="L643" s="94"/>
      <c r="M643" s="13"/>
      <c r="N643" s="5"/>
      <c r="O643" s="5"/>
      <c r="P643" s="5"/>
      <c r="Q643" s="5"/>
      <c r="R643" s="5"/>
      <c r="S643" s="5"/>
      <c r="T643" s="5"/>
      <c r="U643" s="5"/>
      <c r="V643" s="5"/>
      <c r="W643" s="5"/>
      <c r="X643" s="5"/>
      <c r="Y643" s="5"/>
      <c r="Z643" s="5"/>
      <c r="AA643" s="5"/>
      <c r="AB643" s="5"/>
      <c r="AC643" s="5"/>
      <c r="AD643" s="5"/>
      <c r="AE643" s="5"/>
      <c r="AF643" s="5"/>
    </row>
    <row r="644" spans="1:32" ht="12" customHeight="1">
      <c r="A644" s="61"/>
      <c r="B644" s="10"/>
      <c r="C644" s="10"/>
      <c r="D644" s="10"/>
      <c r="E644" s="10"/>
      <c r="F644" s="111" t="s">
        <v>577</v>
      </c>
      <c r="G644" s="105">
        <f>J57</f>
        <v>0</v>
      </c>
      <c r="H644" s="105">
        <f>F409</f>
        <v>0</v>
      </c>
      <c r="I644" s="109" t="s">
        <v>578</v>
      </c>
      <c r="J644" s="105">
        <f t="shared" si="121"/>
        <v>0</v>
      </c>
      <c r="K644" s="45"/>
      <c r="L644" s="94"/>
      <c r="M644" s="13"/>
      <c r="N644" s="5"/>
      <c r="O644" s="5"/>
      <c r="P644" s="5"/>
      <c r="Q644" s="5"/>
      <c r="R644" s="5"/>
      <c r="S644" s="5"/>
      <c r="T644" s="5"/>
      <c r="U644" s="5"/>
      <c r="V644" s="5"/>
      <c r="W644" s="5"/>
      <c r="X644" s="5"/>
      <c r="Y644" s="5"/>
      <c r="Z644" s="5"/>
      <c r="AA644" s="5"/>
      <c r="AB644" s="5"/>
      <c r="AC644" s="5"/>
      <c r="AD644" s="5"/>
      <c r="AE644" s="5"/>
      <c r="AF644" s="5"/>
    </row>
    <row r="645" spans="1:32" ht="12" customHeight="1">
      <c r="A645" s="61"/>
      <c r="B645" s="10"/>
      <c r="C645" s="10"/>
      <c r="D645" s="10"/>
      <c r="E645" s="10"/>
      <c r="F645" s="111" t="s">
        <v>579</v>
      </c>
      <c r="G645" s="105">
        <f>J96</f>
        <v>268.27</v>
      </c>
      <c r="H645" s="105">
        <f>H409</f>
        <v>268.27</v>
      </c>
      <c r="I645" s="109" t="s">
        <v>580</v>
      </c>
      <c r="J645" s="105">
        <f t="shared" si="121"/>
        <v>0</v>
      </c>
      <c r="K645" s="45"/>
      <c r="L645" s="94"/>
      <c r="M645" s="13"/>
      <c r="N645" s="5"/>
      <c r="O645" s="5"/>
      <c r="P645" s="5"/>
      <c r="Q645" s="5"/>
      <c r="R645" s="5"/>
      <c r="S645" s="5"/>
      <c r="T645" s="5"/>
      <c r="U645" s="5"/>
      <c r="V645" s="5"/>
      <c r="W645" s="5"/>
      <c r="X645" s="5"/>
      <c r="Y645" s="5"/>
      <c r="Z645" s="5"/>
      <c r="AA645" s="5"/>
      <c r="AB645" s="5"/>
      <c r="AC645" s="5"/>
      <c r="AD645" s="5"/>
      <c r="AE645" s="5"/>
      <c r="AF645" s="5"/>
    </row>
    <row r="646" spans="1:32" ht="12" customHeight="1">
      <c r="A646" s="61"/>
      <c r="B646" s="10"/>
      <c r="C646" s="10"/>
      <c r="D646" s="10"/>
      <c r="E646" s="10"/>
      <c r="F646" s="111" t="s">
        <v>581</v>
      </c>
      <c r="G646" s="105">
        <f>J184</f>
        <v>50000</v>
      </c>
      <c r="H646" s="105">
        <f>G409</f>
        <v>50000</v>
      </c>
      <c r="I646" s="109" t="s">
        <v>582</v>
      </c>
      <c r="J646" s="105">
        <f t="shared" si="121"/>
        <v>0</v>
      </c>
      <c r="K646" s="45"/>
      <c r="L646" s="94"/>
      <c r="M646" s="13"/>
      <c r="N646" s="5"/>
      <c r="O646" s="5"/>
      <c r="P646" s="5"/>
      <c r="Q646" s="5"/>
      <c r="R646" s="5"/>
      <c r="S646" s="5"/>
      <c r="T646" s="5"/>
      <c r="U646" s="5"/>
      <c r="V646" s="5"/>
      <c r="W646" s="5"/>
      <c r="X646" s="5"/>
      <c r="Y646" s="5"/>
      <c r="Z646" s="5"/>
      <c r="AA646" s="5"/>
      <c r="AB646" s="5"/>
      <c r="AC646" s="5"/>
      <c r="AD646" s="5"/>
      <c r="AE646" s="5"/>
      <c r="AF646" s="5"/>
    </row>
    <row r="647" spans="1:32" ht="12" customHeight="1">
      <c r="A647" s="61"/>
      <c r="B647" s="10"/>
      <c r="C647" s="10"/>
      <c r="D647" s="10"/>
      <c r="E647" s="10"/>
      <c r="F647" s="111" t="s">
        <v>554</v>
      </c>
      <c r="G647" s="105">
        <f>J194</f>
        <v>50268.27</v>
      </c>
      <c r="H647" s="105">
        <f>L409</f>
        <v>50268.27</v>
      </c>
      <c r="I647" s="109" t="s">
        <v>566</v>
      </c>
      <c r="J647" s="105">
        <f t="shared" si="121"/>
        <v>0</v>
      </c>
      <c r="K647" s="45"/>
      <c r="L647" s="94"/>
      <c r="M647" s="13"/>
      <c r="N647" s="5"/>
      <c r="O647" s="5"/>
      <c r="P647" s="5"/>
      <c r="Q647" s="5"/>
      <c r="R647" s="5"/>
      <c r="S647" s="5"/>
      <c r="T647" s="5"/>
      <c r="U647" s="5"/>
      <c r="V647" s="5"/>
      <c r="W647" s="5"/>
      <c r="X647" s="5"/>
      <c r="Y647" s="5"/>
      <c r="Z647" s="5"/>
      <c r="AA647" s="5"/>
      <c r="AB647" s="5"/>
      <c r="AC647" s="5"/>
      <c r="AD647" s="5"/>
      <c r="AE647" s="5"/>
      <c r="AF647" s="5"/>
    </row>
    <row r="648" spans="1:32" ht="12" customHeight="1">
      <c r="A648" s="61"/>
      <c r="B648" s="10"/>
      <c r="C648" s="10"/>
      <c r="D648" s="10"/>
      <c r="E648" s="10"/>
      <c r="F648" s="111" t="s">
        <v>583</v>
      </c>
      <c r="G648" s="105">
        <f>K599</f>
        <v>132400</v>
      </c>
      <c r="H648" s="105">
        <f>L209+L227+L245</f>
        <v>132400</v>
      </c>
      <c r="I648" s="109" t="s">
        <v>584</v>
      </c>
      <c r="J648" s="105">
        <f t="shared" si="121"/>
        <v>0</v>
      </c>
      <c r="K648" s="45"/>
      <c r="L648" s="94"/>
      <c r="M648" s="13"/>
      <c r="N648" s="5"/>
      <c r="O648" s="5"/>
      <c r="P648" s="5"/>
      <c r="Q648" s="5"/>
      <c r="R648" s="5"/>
      <c r="S648" s="5"/>
      <c r="T648" s="5"/>
      <c r="U648" s="5"/>
      <c r="V648" s="5"/>
      <c r="W648" s="5"/>
      <c r="X648" s="5"/>
      <c r="Y648" s="5"/>
      <c r="Z648" s="5"/>
      <c r="AA648" s="5"/>
      <c r="AB648" s="5"/>
      <c r="AC648" s="5"/>
      <c r="AD648" s="5"/>
      <c r="AE648" s="5"/>
      <c r="AF648" s="5"/>
    </row>
    <row r="649" spans="1:32" ht="12" customHeight="1">
      <c r="A649" s="61"/>
      <c r="B649" s="10"/>
      <c r="C649" s="10"/>
      <c r="D649" s="10"/>
      <c r="E649" s="10"/>
      <c r="F649" s="111" t="s">
        <v>585</v>
      </c>
      <c r="G649" s="105">
        <f>K606</f>
        <v>69053.62</v>
      </c>
      <c r="H649" s="105">
        <f>(J258+J339)-(J256+J337)</f>
        <v>69053.62</v>
      </c>
      <c r="I649" s="109" t="s">
        <v>586</v>
      </c>
      <c r="J649" s="105">
        <f t="shared" si="121"/>
        <v>0</v>
      </c>
      <c r="K649" s="45"/>
      <c r="L649" s="94"/>
      <c r="M649" s="13"/>
      <c r="N649" s="5"/>
      <c r="O649" s="5"/>
      <c r="P649" s="5"/>
      <c r="Q649" s="5"/>
      <c r="R649" s="5"/>
      <c r="S649" s="5"/>
      <c r="T649" s="5"/>
      <c r="U649" s="5"/>
      <c r="V649" s="5"/>
      <c r="W649" s="5"/>
      <c r="X649" s="5"/>
      <c r="Y649" s="5"/>
      <c r="Z649" s="5"/>
      <c r="AA649" s="5"/>
      <c r="AB649" s="5"/>
      <c r="AC649" s="5"/>
      <c r="AD649" s="5"/>
      <c r="AE649" s="5"/>
      <c r="AF649" s="5"/>
    </row>
    <row r="650" spans="1:32" ht="12" customHeight="1">
      <c r="A650" s="61"/>
      <c r="B650" s="10"/>
      <c r="C650" s="10"/>
      <c r="D650" s="10"/>
      <c r="E650" s="10"/>
      <c r="F650" s="111" t="s">
        <v>587</v>
      </c>
      <c r="G650" s="105">
        <f>L209</f>
        <v>78585</v>
      </c>
      <c r="H650" s="105">
        <f>H599</f>
        <v>78585</v>
      </c>
      <c r="I650" s="109" t="s">
        <v>588</v>
      </c>
      <c r="J650" s="105">
        <f t="shared" si="121"/>
        <v>0</v>
      </c>
      <c r="K650" s="45"/>
      <c r="L650" s="94"/>
      <c r="M650" s="13"/>
      <c r="N650" s="5"/>
      <c r="O650" s="5"/>
      <c r="P650" s="5"/>
      <c r="Q650" s="5"/>
      <c r="R650" s="5"/>
      <c r="S650" s="5"/>
      <c r="T650" s="5"/>
      <c r="U650" s="5"/>
      <c r="V650" s="5"/>
      <c r="W650" s="5"/>
      <c r="X650" s="5"/>
      <c r="Y650" s="5"/>
      <c r="Z650" s="5"/>
      <c r="AA650" s="5"/>
      <c r="AB650" s="5"/>
      <c r="AC650" s="5"/>
      <c r="AD650" s="5"/>
      <c r="AE650" s="5"/>
      <c r="AF650" s="5"/>
    </row>
    <row r="651" spans="1:32" ht="12" customHeight="1">
      <c r="A651" s="61"/>
      <c r="B651" s="10"/>
      <c r="C651" s="10"/>
      <c r="D651" s="10"/>
      <c r="E651" s="10"/>
      <c r="F651" s="111" t="s">
        <v>589</v>
      </c>
      <c r="G651" s="105">
        <f>L227</f>
        <v>20500</v>
      </c>
      <c r="H651" s="105">
        <f>I599</f>
        <v>20500</v>
      </c>
      <c r="I651" s="109" t="s">
        <v>590</v>
      </c>
      <c r="J651" s="105">
        <f t="shared" si="121"/>
        <v>0</v>
      </c>
      <c r="K651" s="45"/>
      <c r="L651" s="94"/>
      <c r="M651" s="13"/>
      <c r="N651" s="5"/>
      <c r="O651" s="5"/>
      <c r="P651" s="5"/>
      <c r="Q651" s="5"/>
      <c r="R651" s="5"/>
      <c r="S651" s="5"/>
      <c r="T651" s="5"/>
      <c r="U651" s="5"/>
      <c r="V651" s="5"/>
      <c r="W651" s="5"/>
      <c r="X651" s="5"/>
      <c r="Y651" s="5"/>
      <c r="Z651" s="5"/>
      <c r="AA651" s="5"/>
      <c r="AB651" s="5"/>
      <c r="AC651" s="5"/>
      <c r="AD651" s="5"/>
      <c r="AE651" s="5"/>
      <c r="AF651" s="5"/>
    </row>
    <row r="652" spans="1:32" ht="12" customHeight="1">
      <c r="A652" s="61"/>
      <c r="B652" s="10"/>
      <c r="C652" s="10"/>
      <c r="D652" s="10"/>
      <c r="E652" s="10"/>
      <c r="F652" s="111" t="s">
        <v>591</v>
      </c>
      <c r="G652" s="105">
        <f>L245</f>
        <v>33315</v>
      </c>
      <c r="H652" s="105">
        <f>J599</f>
        <v>33315</v>
      </c>
      <c r="I652" s="109" t="s">
        <v>592</v>
      </c>
      <c r="J652" s="105">
        <f t="shared" si="121"/>
        <v>0</v>
      </c>
      <c r="K652" s="45"/>
      <c r="L652" s="94"/>
      <c r="M652" s="13"/>
      <c r="N652" s="5"/>
      <c r="O652" s="5"/>
      <c r="P652" s="5"/>
      <c r="Q652" s="5"/>
      <c r="R652" s="5"/>
      <c r="S652" s="5"/>
      <c r="T652" s="5"/>
      <c r="U652" s="5"/>
      <c r="V652" s="5"/>
      <c r="W652" s="5"/>
      <c r="X652" s="5"/>
      <c r="Y652" s="5"/>
      <c r="Z652" s="5"/>
      <c r="AA652" s="5"/>
      <c r="AB652" s="5"/>
      <c r="AC652" s="5"/>
      <c r="AD652" s="5"/>
      <c r="AE652" s="5"/>
      <c r="AF652" s="5"/>
    </row>
    <row r="653" spans="1:32" ht="12" customHeight="1">
      <c r="A653" s="61"/>
      <c r="B653" s="10"/>
      <c r="C653" s="10"/>
      <c r="D653" s="10"/>
      <c r="E653" s="10"/>
      <c r="F653" s="111" t="s">
        <v>593</v>
      </c>
      <c r="G653" s="105">
        <f>G180+G182</f>
        <v>11311.42</v>
      </c>
      <c r="H653" s="105">
        <f>K264+K346</f>
        <v>11311.42</v>
      </c>
      <c r="I653" s="109" t="s">
        <v>594</v>
      </c>
      <c r="J653" s="105">
        <f t="shared" si="121"/>
        <v>0</v>
      </c>
      <c r="K653" s="45"/>
      <c r="L653" s="94"/>
      <c r="M653" s="13"/>
      <c r="N653" s="5"/>
      <c r="O653" s="5"/>
      <c r="P653" s="5"/>
      <c r="Q653" s="5"/>
      <c r="R653" s="5"/>
      <c r="S653" s="5"/>
      <c r="T653" s="5"/>
      <c r="U653" s="5"/>
      <c r="V653" s="5"/>
      <c r="W653" s="5"/>
      <c r="X653" s="5"/>
      <c r="Y653" s="5"/>
      <c r="Z653" s="5"/>
      <c r="AA653" s="5"/>
      <c r="AB653" s="5"/>
      <c r="AC653" s="5"/>
      <c r="AD653" s="5"/>
      <c r="AE653" s="5"/>
      <c r="AF653" s="5"/>
    </row>
    <row r="654" spans="1:32" ht="12" customHeight="1">
      <c r="A654" s="61"/>
      <c r="B654" s="10"/>
      <c r="C654" s="10"/>
      <c r="D654" s="10"/>
      <c r="E654" s="10"/>
      <c r="F654" s="111" t="s">
        <v>595</v>
      </c>
      <c r="G654" s="105">
        <f>H180</f>
        <v>0</v>
      </c>
      <c r="H654" s="105">
        <f>K265</f>
        <v>0</v>
      </c>
      <c r="I654" s="109" t="s">
        <v>596</v>
      </c>
      <c r="J654" s="105">
        <f t="shared" si="121"/>
        <v>0</v>
      </c>
      <c r="K654" s="45"/>
      <c r="L654" s="94"/>
      <c r="M654" s="13"/>
      <c r="N654" s="5"/>
      <c r="O654" s="5"/>
      <c r="P654" s="5"/>
      <c r="Q654" s="5"/>
      <c r="R654" s="5"/>
      <c r="S654" s="5"/>
      <c r="T654" s="5"/>
      <c r="U654" s="5"/>
      <c r="V654" s="5"/>
      <c r="W654" s="5"/>
      <c r="X654" s="5"/>
      <c r="Y654" s="5"/>
      <c r="Z654" s="5"/>
      <c r="AA654" s="5"/>
      <c r="AB654" s="5"/>
      <c r="AC654" s="5"/>
      <c r="AD654" s="5"/>
      <c r="AE654" s="5"/>
      <c r="AF654" s="5"/>
    </row>
    <row r="655" spans="1:32" ht="12" customHeight="1">
      <c r="A655" s="61"/>
      <c r="B655" s="10"/>
      <c r="C655" s="10"/>
      <c r="D655" s="10"/>
      <c r="E655" s="10"/>
      <c r="F655" s="111" t="s">
        <v>597</v>
      </c>
      <c r="G655" s="105">
        <f>I180+I182</f>
        <v>0</v>
      </c>
      <c r="H655" s="105">
        <f t="shared" ref="H655:H656" si="122">K266+K347</f>
        <v>0</v>
      </c>
      <c r="I655" s="109" t="s">
        <v>598</v>
      </c>
      <c r="J655" s="105">
        <f t="shared" si="121"/>
        <v>0</v>
      </c>
      <c r="K655" s="45"/>
      <c r="L655" s="94"/>
      <c r="M655" s="13"/>
      <c r="N655" s="5"/>
      <c r="O655" s="5"/>
      <c r="P655" s="5"/>
      <c r="Q655" s="5"/>
      <c r="R655" s="5"/>
      <c r="S655" s="5"/>
      <c r="T655" s="5"/>
      <c r="U655" s="5"/>
      <c r="V655" s="5"/>
      <c r="W655" s="5"/>
      <c r="X655" s="5"/>
      <c r="Y655" s="5"/>
      <c r="Z655" s="5"/>
      <c r="AA655" s="5"/>
      <c r="AB655" s="5"/>
      <c r="AC655" s="5"/>
      <c r="AD655" s="5"/>
      <c r="AE655" s="5"/>
      <c r="AF655" s="5"/>
    </row>
    <row r="656" spans="1:32" ht="12" customHeight="1">
      <c r="A656" s="61"/>
      <c r="B656" s="10"/>
      <c r="C656" s="10"/>
      <c r="D656" s="10"/>
      <c r="E656" s="10"/>
      <c r="F656" s="111" t="s">
        <v>599</v>
      </c>
      <c r="G656" s="105">
        <f>J180+J182</f>
        <v>50000</v>
      </c>
      <c r="H656" s="105">
        <f t="shared" si="122"/>
        <v>50000</v>
      </c>
      <c r="I656" s="109" t="s">
        <v>600</v>
      </c>
      <c r="J656" s="105">
        <f t="shared" si="121"/>
        <v>0</v>
      </c>
      <c r="K656" s="45"/>
      <c r="L656" s="94"/>
      <c r="M656" s="114"/>
      <c r="N656" s="5"/>
      <c r="O656" s="5"/>
      <c r="P656" s="5"/>
      <c r="Q656" s="5"/>
      <c r="R656" s="5"/>
      <c r="S656" s="5"/>
      <c r="T656" s="5"/>
      <c r="U656" s="5"/>
      <c r="V656" s="5"/>
      <c r="W656" s="5"/>
      <c r="X656" s="5"/>
      <c r="Y656" s="5"/>
      <c r="Z656" s="5"/>
      <c r="AA656" s="5"/>
      <c r="AB656" s="5"/>
      <c r="AC656" s="5"/>
      <c r="AD656" s="5"/>
      <c r="AE656" s="5"/>
      <c r="AF656" s="5"/>
    </row>
    <row r="657" spans="1:32" ht="12" customHeight="1">
      <c r="A657" s="5"/>
      <c r="B657" s="5"/>
      <c r="C657" s="5"/>
      <c r="D657" s="5"/>
      <c r="E657" s="5"/>
      <c r="F657" s="62" t="s">
        <v>601</v>
      </c>
      <c r="G657" s="3"/>
      <c r="H657" s="105">
        <f>SUM(G618:G656)-SUM(H618:H656)</f>
        <v>0</v>
      </c>
      <c r="I657" s="3"/>
      <c r="J657" s="3"/>
      <c r="K657" s="3"/>
      <c r="L657" s="3"/>
      <c r="M657" s="114"/>
      <c r="N657" s="5"/>
      <c r="O657" s="5"/>
      <c r="P657" s="5"/>
      <c r="Q657" s="5"/>
      <c r="R657" s="5"/>
      <c r="S657" s="5"/>
      <c r="T657" s="5"/>
      <c r="U657" s="5"/>
      <c r="V657" s="5"/>
      <c r="W657" s="5"/>
      <c r="X657" s="5"/>
      <c r="Y657" s="5"/>
      <c r="Z657" s="5"/>
      <c r="AA657" s="5"/>
      <c r="AB657" s="5"/>
      <c r="AC657" s="5"/>
      <c r="AD657" s="5"/>
      <c r="AE657" s="5"/>
      <c r="AF657" s="5"/>
    </row>
    <row r="658" spans="1:32" ht="12" customHeight="1">
      <c r="A658" s="5"/>
      <c r="B658" s="5"/>
      <c r="C658" s="5"/>
      <c r="D658" s="5"/>
      <c r="E658" s="5"/>
      <c r="F658" s="50"/>
      <c r="G658" s="3"/>
      <c r="H658" s="3"/>
      <c r="I658" s="3"/>
      <c r="J658" s="3"/>
      <c r="K658" s="3"/>
      <c r="L658" s="3"/>
      <c r="M658" s="114"/>
      <c r="N658" s="5"/>
      <c r="O658" s="5"/>
      <c r="P658" s="5"/>
      <c r="Q658" s="5"/>
      <c r="R658" s="5"/>
      <c r="S658" s="5"/>
      <c r="T658" s="5"/>
      <c r="U658" s="5"/>
      <c r="V658" s="5"/>
      <c r="W658" s="5"/>
      <c r="X658" s="5"/>
      <c r="Y658" s="5"/>
      <c r="Z658" s="5"/>
      <c r="AA658" s="5"/>
      <c r="AB658" s="5"/>
      <c r="AC658" s="5"/>
      <c r="AD658" s="5"/>
      <c r="AE658" s="5"/>
      <c r="AF658" s="5"/>
    </row>
    <row r="659" spans="1:32" ht="12" customHeight="1">
      <c r="A659" s="14" t="s">
        <v>602</v>
      </c>
      <c r="B659" s="5"/>
      <c r="C659" s="5"/>
      <c r="D659" s="5"/>
      <c r="E659" s="5"/>
      <c r="F659" s="115" t="s">
        <v>603</v>
      </c>
      <c r="G659" s="115" t="s">
        <v>604</v>
      </c>
      <c r="H659" s="115" t="s">
        <v>306</v>
      </c>
      <c r="I659" s="115" t="s">
        <v>307</v>
      </c>
      <c r="J659" s="3"/>
      <c r="K659" s="3"/>
      <c r="L659" s="3"/>
      <c r="M659" s="114"/>
      <c r="N659" s="5"/>
      <c r="O659" s="5"/>
      <c r="P659" s="5"/>
      <c r="Q659" s="5"/>
      <c r="R659" s="5"/>
      <c r="S659" s="5"/>
      <c r="T659" s="5"/>
      <c r="U659" s="5"/>
      <c r="V659" s="5"/>
      <c r="W659" s="5"/>
      <c r="X659" s="5"/>
      <c r="Y659" s="5"/>
      <c r="Z659" s="5"/>
      <c r="AA659" s="5"/>
      <c r="AB659" s="5"/>
      <c r="AC659" s="5"/>
      <c r="AD659" s="5"/>
      <c r="AE659" s="5"/>
      <c r="AF659" s="5"/>
    </row>
    <row r="660" spans="1:32" ht="12" customHeight="1">
      <c r="A660" s="116" t="s">
        <v>605</v>
      </c>
      <c r="B660" s="5"/>
      <c r="C660" s="5"/>
      <c r="D660" s="5"/>
      <c r="E660" s="5"/>
      <c r="F660" s="35" t="s">
        <v>61</v>
      </c>
      <c r="G660" s="3"/>
      <c r="H660" s="3"/>
      <c r="I660" s="3"/>
      <c r="J660" s="3"/>
      <c r="K660" s="3"/>
      <c r="L660" s="3"/>
      <c r="M660" s="114"/>
      <c r="N660" s="5"/>
      <c r="O660" s="5"/>
      <c r="P660" s="5"/>
      <c r="Q660" s="5"/>
      <c r="R660" s="5"/>
      <c r="S660" s="5"/>
      <c r="T660" s="5"/>
      <c r="U660" s="5"/>
      <c r="V660" s="5"/>
      <c r="W660" s="5"/>
      <c r="X660" s="5"/>
      <c r="Y660" s="5"/>
      <c r="Z660" s="5"/>
      <c r="AA660" s="5"/>
      <c r="AB660" s="5"/>
      <c r="AC660" s="5"/>
      <c r="AD660" s="5"/>
      <c r="AE660" s="5"/>
      <c r="AF660" s="5"/>
    </row>
    <row r="661" spans="1:32" ht="12" customHeight="1">
      <c r="A661" s="1" t="s">
        <v>606</v>
      </c>
      <c r="B661" s="5"/>
      <c r="C661" s="5"/>
      <c r="D661" s="5"/>
      <c r="E661" s="5"/>
      <c r="F661" s="3">
        <f>(L212+L291+L359)</f>
        <v>1760239.8600000003</v>
      </c>
      <c r="G661" s="3">
        <f>(L230+L310+L360)</f>
        <v>375605.39</v>
      </c>
      <c r="H661" s="3">
        <f>(L248+L329+L361)</f>
        <v>569391.75</v>
      </c>
      <c r="I661" s="3">
        <f t="shared" ref="I661:I664" si="123">SUM(F661:H661)</f>
        <v>2705237.0000000005</v>
      </c>
      <c r="J661" s="3"/>
      <c r="K661" s="3"/>
      <c r="L661" s="3"/>
      <c r="M661" s="114"/>
      <c r="N661" s="5"/>
      <c r="O661" s="5"/>
      <c r="P661" s="5"/>
      <c r="Q661" s="5"/>
      <c r="R661" s="5"/>
      <c r="S661" s="5"/>
      <c r="T661" s="5"/>
      <c r="U661" s="5"/>
      <c r="V661" s="5"/>
      <c r="W661" s="5"/>
      <c r="X661" s="5"/>
      <c r="Y661" s="5"/>
      <c r="Z661" s="5"/>
      <c r="AA661" s="5"/>
      <c r="AB661" s="5"/>
      <c r="AC661" s="5"/>
      <c r="AD661" s="5"/>
      <c r="AE661" s="5"/>
      <c r="AF661" s="5"/>
    </row>
    <row r="662" spans="1:32" ht="12" customHeight="1">
      <c r="A662" s="1" t="s">
        <v>607</v>
      </c>
      <c r="B662" s="5"/>
      <c r="C662" s="5"/>
      <c r="D662" s="5"/>
      <c r="E662" s="5"/>
      <c r="F662" s="3">
        <f>(L359/IF(SUM(L359:L361)=0,1,SUM(L359:L361))*(SUM(G97:G110)))</f>
        <v>3231.5</v>
      </c>
      <c r="G662" s="3">
        <f>(L360/IF(SUM(L359:L361)=0,1,SUM(L359:L361))*(SUM(G97:G110)))</f>
        <v>0</v>
      </c>
      <c r="H662" s="3">
        <f>(L361/IF(SUM(L359:L361)=0,1,SUM(L359:L361))*(SUM(G97:G110)))</f>
        <v>0</v>
      </c>
      <c r="I662" s="3">
        <f t="shared" si="123"/>
        <v>3231.5</v>
      </c>
      <c r="K662" s="3"/>
      <c r="L662" s="3"/>
      <c r="M662" s="13"/>
      <c r="N662" s="5"/>
      <c r="O662" s="5"/>
      <c r="P662" s="5"/>
      <c r="Q662" s="5"/>
      <c r="R662" s="5"/>
      <c r="S662" s="5"/>
      <c r="T662" s="5"/>
      <c r="U662" s="5"/>
      <c r="V662" s="5"/>
      <c r="W662" s="5"/>
      <c r="X662" s="5"/>
      <c r="Y662" s="5"/>
      <c r="Z662" s="5"/>
      <c r="AA662" s="5"/>
      <c r="AB662" s="5"/>
      <c r="AC662" s="5"/>
      <c r="AD662" s="5"/>
      <c r="AE662" s="5"/>
      <c r="AF662" s="5"/>
    </row>
    <row r="663" spans="1:32" ht="12" customHeight="1">
      <c r="A663" s="1" t="s">
        <v>608</v>
      </c>
      <c r="B663" s="5"/>
      <c r="C663" s="5"/>
      <c r="D663" s="5"/>
      <c r="E663" s="5"/>
      <c r="F663" s="3">
        <f>(L209+L288)-(J209+J288)</f>
        <v>82017.78</v>
      </c>
      <c r="G663" s="3">
        <f>(L227+L307)-(J227+J307)</f>
        <v>20500</v>
      </c>
      <c r="H663" s="3">
        <f>(L245+L326)-(J245+J326)</f>
        <v>33315</v>
      </c>
      <c r="I663" s="3">
        <f t="shared" si="123"/>
        <v>135832.78</v>
      </c>
      <c r="K663" s="3"/>
      <c r="L663" s="3"/>
      <c r="M663" s="114"/>
      <c r="N663" s="5"/>
      <c r="O663" s="5"/>
      <c r="P663" s="5"/>
      <c r="Q663" s="5"/>
      <c r="R663" s="5"/>
      <c r="S663" s="5"/>
      <c r="T663" s="5"/>
      <c r="U663" s="5"/>
      <c r="V663" s="5"/>
      <c r="W663" s="5"/>
      <c r="X663" s="5"/>
      <c r="Y663" s="5"/>
      <c r="Z663" s="5"/>
      <c r="AA663" s="5"/>
      <c r="AB663" s="5"/>
      <c r="AC663" s="5"/>
      <c r="AD663" s="5"/>
      <c r="AE663" s="5"/>
      <c r="AF663" s="5"/>
    </row>
    <row r="664" spans="1:32" ht="12" customHeight="1">
      <c r="A664" s="1" t="s">
        <v>609</v>
      </c>
      <c r="B664" s="5"/>
      <c r="C664" s="5"/>
      <c r="D664" s="5"/>
      <c r="E664" s="5"/>
      <c r="F664" s="3">
        <f>SUM(F576:F588)+SUM(H603:H605)+SUM(L612)</f>
        <v>69053.62</v>
      </c>
      <c r="G664" s="3">
        <f>SUM(G576:G588)+SUM(I603:I605)+L613</f>
        <v>355105.39</v>
      </c>
      <c r="H664" s="3">
        <f>SUM(H576:H588)+SUM(J603:J605)+L614</f>
        <v>536076.75</v>
      </c>
      <c r="I664" s="3">
        <f t="shared" si="123"/>
        <v>960235.76</v>
      </c>
      <c r="J664" s="3"/>
      <c r="K664" s="3"/>
      <c r="L664" s="3"/>
      <c r="M664" s="114"/>
      <c r="N664" s="5"/>
      <c r="O664" s="5"/>
      <c r="P664" s="5"/>
      <c r="Q664" s="5"/>
      <c r="R664" s="5"/>
      <c r="S664" s="5"/>
      <c r="T664" s="5"/>
      <c r="U664" s="5"/>
      <c r="V664" s="5"/>
      <c r="W664" s="5"/>
      <c r="X664" s="5"/>
      <c r="Y664" s="5"/>
      <c r="Z664" s="5"/>
      <c r="AA664" s="5"/>
      <c r="AB664" s="5"/>
      <c r="AC664" s="5"/>
      <c r="AD664" s="5"/>
      <c r="AE664" s="5"/>
      <c r="AF664" s="5"/>
    </row>
    <row r="665" spans="1:32" ht="12" customHeight="1">
      <c r="A665" s="1" t="s">
        <v>610</v>
      </c>
      <c r="B665" s="5"/>
      <c r="C665" s="5"/>
      <c r="D665" s="5"/>
      <c r="E665" s="5"/>
      <c r="F665" s="3">
        <f t="shared" ref="F665:I665" si="124">F661-SUM(F662:F664)</f>
        <v>1605936.9600000004</v>
      </c>
      <c r="G665" s="3">
        <f t="shared" si="124"/>
        <v>0</v>
      </c>
      <c r="H665" s="3">
        <f t="shared" si="124"/>
        <v>0</v>
      </c>
      <c r="I665" s="3">
        <f t="shared" si="124"/>
        <v>1605936.9600000004</v>
      </c>
      <c r="J665" s="3"/>
      <c r="K665" s="3"/>
      <c r="L665" s="3"/>
      <c r="M665" s="13"/>
      <c r="N665" s="5"/>
      <c r="O665" s="5"/>
      <c r="P665" s="5"/>
      <c r="Q665" s="5"/>
      <c r="R665" s="5"/>
      <c r="S665" s="5"/>
      <c r="T665" s="5"/>
      <c r="U665" s="5"/>
      <c r="V665" s="5"/>
      <c r="W665" s="5"/>
      <c r="X665" s="5"/>
      <c r="Y665" s="5"/>
      <c r="Z665" s="5"/>
      <c r="AA665" s="5"/>
      <c r="AB665" s="5"/>
      <c r="AC665" s="5"/>
      <c r="AD665" s="5"/>
      <c r="AE665" s="5"/>
      <c r="AF665" s="5"/>
    </row>
    <row r="666" spans="1:32" ht="12" customHeight="1">
      <c r="A666" s="1" t="s">
        <v>611</v>
      </c>
      <c r="B666" s="5"/>
      <c r="C666" s="5"/>
      <c r="D666" s="5"/>
      <c r="E666" s="5"/>
      <c r="F666" s="117">
        <v>86.82</v>
      </c>
      <c r="G666" s="118"/>
      <c r="H666" s="118"/>
      <c r="I666" s="3">
        <f>SUM(F666:H666)</f>
        <v>86.82</v>
      </c>
      <c r="J666" s="3"/>
      <c r="K666" s="3"/>
      <c r="L666" s="3"/>
      <c r="M666" s="119"/>
      <c r="N666" s="5"/>
      <c r="O666" s="5"/>
      <c r="P666" s="5"/>
      <c r="Q666" s="5"/>
      <c r="R666" s="5"/>
      <c r="S666" s="5"/>
      <c r="T666" s="5"/>
      <c r="U666" s="5"/>
      <c r="V666" s="5"/>
      <c r="W666" s="5"/>
      <c r="X666" s="5"/>
      <c r="Y666" s="5"/>
      <c r="Z666" s="5"/>
      <c r="AA666" s="5"/>
      <c r="AB666" s="5"/>
      <c r="AC666" s="5"/>
      <c r="AD666" s="5"/>
      <c r="AE666" s="5"/>
      <c r="AF666" s="5"/>
    </row>
    <row r="667" spans="1:32" ht="12" customHeight="1">
      <c r="A667" s="1" t="s">
        <v>612</v>
      </c>
      <c r="B667" s="5"/>
      <c r="C667" s="5"/>
      <c r="D667" s="5"/>
      <c r="E667" s="5"/>
      <c r="F667" s="3"/>
      <c r="G667" s="3"/>
      <c r="H667" s="3"/>
      <c r="I667" s="3"/>
      <c r="J667" s="3"/>
      <c r="K667" s="3"/>
      <c r="L667" s="3"/>
      <c r="M667" s="114"/>
      <c r="N667" s="5"/>
      <c r="O667" s="5"/>
      <c r="P667" s="5"/>
      <c r="Q667" s="5"/>
      <c r="R667" s="5"/>
      <c r="S667" s="5"/>
      <c r="T667" s="5"/>
      <c r="U667" s="5"/>
      <c r="V667" s="5"/>
      <c r="W667" s="5"/>
      <c r="X667" s="5"/>
      <c r="Y667" s="5"/>
      <c r="Z667" s="5"/>
      <c r="AA667" s="5"/>
      <c r="AB667" s="5"/>
      <c r="AC667" s="5"/>
      <c r="AD667" s="5"/>
      <c r="AE667" s="5"/>
      <c r="AF667" s="5"/>
    </row>
    <row r="668" spans="1:32" ht="12" customHeight="1">
      <c r="A668" s="14" t="s">
        <v>613</v>
      </c>
      <c r="B668" s="5"/>
      <c r="C668" s="5"/>
      <c r="D668" s="5"/>
      <c r="E668" s="5"/>
      <c r="F668" s="3">
        <f t="shared" ref="F668:I668" si="125">ROUND(F665/F666,2)</f>
        <v>18497.32</v>
      </c>
      <c r="G668" s="3" t="e">
        <f t="shared" si="125"/>
        <v>#DIV/0!</v>
      </c>
      <c r="H668" s="3" t="e">
        <f t="shared" si="125"/>
        <v>#DIV/0!</v>
      </c>
      <c r="I668" s="3">
        <f t="shared" si="125"/>
        <v>18497.32</v>
      </c>
      <c r="J668" s="3"/>
      <c r="K668" s="3"/>
      <c r="L668" s="3"/>
      <c r="M668" s="114"/>
      <c r="N668" s="5"/>
      <c r="O668" s="5"/>
      <c r="P668" s="5"/>
      <c r="Q668" s="5"/>
      <c r="R668" s="5"/>
      <c r="S668" s="5"/>
      <c r="T668" s="5"/>
      <c r="U668" s="5"/>
      <c r="V668" s="5"/>
      <c r="W668" s="5"/>
      <c r="X668" s="5"/>
      <c r="Y668" s="5"/>
      <c r="Z668" s="5"/>
      <c r="AA668" s="5"/>
      <c r="AB668" s="5"/>
      <c r="AC668" s="5"/>
      <c r="AD668" s="5"/>
      <c r="AE668" s="5"/>
      <c r="AF668" s="5"/>
    </row>
    <row r="669" spans="1:32" ht="12" customHeight="1">
      <c r="A669" s="5"/>
      <c r="B669" s="5"/>
      <c r="C669" s="5"/>
      <c r="D669" s="5"/>
      <c r="E669" s="5"/>
      <c r="F669" s="3"/>
      <c r="G669" s="3"/>
      <c r="H669" s="3"/>
      <c r="I669" s="3"/>
      <c r="J669" s="3"/>
      <c r="K669" s="3"/>
      <c r="L669" s="3"/>
      <c r="M669" s="114"/>
      <c r="N669" s="5"/>
      <c r="O669" s="5"/>
      <c r="P669" s="5"/>
      <c r="Q669" s="5"/>
      <c r="R669" s="5"/>
      <c r="S669" s="5"/>
      <c r="T669" s="5"/>
      <c r="U669" s="5"/>
      <c r="V669" s="5"/>
      <c r="W669" s="5"/>
      <c r="X669" s="5"/>
      <c r="Y669" s="5"/>
      <c r="Z669" s="5"/>
      <c r="AA669" s="5"/>
      <c r="AB669" s="5"/>
      <c r="AC669" s="5"/>
      <c r="AD669" s="5"/>
      <c r="AE669" s="5"/>
      <c r="AF669" s="5"/>
    </row>
    <row r="670" spans="1:32" ht="12" customHeight="1">
      <c r="A670" s="1" t="s">
        <v>614</v>
      </c>
      <c r="B670" s="5"/>
      <c r="C670" s="5"/>
      <c r="D670" s="5"/>
      <c r="E670" s="5"/>
      <c r="F670" s="16"/>
      <c r="G670" s="16"/>
      <c r="H670" s="16"/>
      <c r="I670" s="3">
        <f t="shared" ref="I670:I671" si="126">SUM(F670:H670)</f>
        <v>0</v>
      </c>
      <c r="J670" s="3"/>
      <c r="K670" s="3"/>
      <c r="L670" s="3"/>
      <c r="M670" s="114"/>
      <c r="N670" s="5"/>
      <c r="O670" s="5"/>
      <c r="P670" s="5"/>
      <c r="Q670" s="5"/>
      <c r="R670" s="5"/>
      <c r="S670" s="5"/>
      <c r="T670" s="5"/>
      <c r="U670" s="5"/>
      <c r="V670" s="5"/>
      <c r="W670" s="5"/>
      <c r="X670" s="5"/>
      <c r="Y670" s="5"/>
      <c r="Z670" s="5"/>
      <c r="AA670" s="5"/>
      <c r="AB670" s="5"/>
      <c r="AC670" s="5"/>
      <c r="AD670" s="5"/>
      <c r="AE670" s="5"/>
      <c r="AF670" s="5"/>
    </row>
    <row r="671" spans="1:32" ht="12" customHeight="1">
      <c r="A671" s="1" t="s">
        <v>615</v>
      </c>
      <c r="B671" s="5"/>
      <c r="C671" s="5"/>
      <c r="D671" s="5"/>
      <c r="E671" s="5"/>
      <c r="F671" s="16"/>
      <c r="G671" s="16"/>
      <c r="H671" s="16"/>
      <c r="I671" s="3">
        <f t="shared" si="126"/>
        <v>0</v>
      </c>
      <c r="J671" s="3"/>
      <c r="K671" s="3"/>
      <c r="L671" s="3"/>
      <c r="M671" s="114"/>
      <c r="N671" s="5"/>
      <c r="O671" s="5"/>
      <c r="P671" s="5"/>
      <c r="Q671" s="5"/>
      <c r="R671" s="5"/>
      <c r="S671" s="5"/>
      <c r="T671" s="5"/>
      <c r="U671" s="5"/>
      <c r="V671" s="5"/>
      <c r="W671" s="5"/>
      <c r="X671" s="5"/>
      <c r="Y671" s="5"/>
      <c r="Z671" s="5"/>
      <c r="AA671" s="5"/>
      <c r="AB671" s="5"/>
      <c r="AC671" s="5"/>
      <c r="AD671" s="5"/>
      <c r="AE671" s="5"/>
      <c r="AF671" s="5"/>
    </row>
    <row r="672" spans="1:32" ht="12" customHeight="1">
      <c r="A672" s="5"/>
      <c r="B672" s="5"/>
      <c r="C672" s="5"/>
      <c r="D672" s="5"/>
      <c r="E672" s="5"/>
      <c r="F672" s="3"/>
      <c r="G672" s="3"/>
      <c r="H672" s="3"/>
      <c r="I672" s="3"/>
      <c r="J672" s="3"/>
      <c r="K672" s="3"/>
      <c r="L672" s="3"/>
      <c r="M672" s="5"/>
      <c r="N672" s="5"/>
      <c r="O672" s="5"/>
      <c r="P672" s="5"/>
      <c r="Q672" s="5"/>
      <c r="R672" s="5"/>
      <c r="S672" s="5"/>
      <c r="T672" s="5"/>
      <c r="U672" s="5"/>
      <c r="V672" s="5"/>
      <c r="W672" s="5"/>
      <c r="X672" s="5"/>
      <c r="Y672" s="5"/>
      <c r="Z672" s="5"/>
      <c r="AA672" s="5"/>
      <c r="AB672" s="5"/>
      <c r="AC672" s="5"/>
      <c r="AD672" s="5"/>
      <c r="AE672" s="5"/>
      <c r="AF672" s="5"/>
    </row>
    <row r="673" spans="1:32" ht="12" customHeight="1">
      <c r="A673" s="1" t="s">
        <v>616</v>
      </c>
      <c r="B673" s="2" t="s">
        <v>617</v>
      </c>
      <c r="C673" s="2" t="s">
        <v>223</v>
      </c>
      <c r="D673" s="2"/>
      <c r="E673" s="2"/>
      <c r="F673" s="3">
        <f t="shared" ref="F673:I673" si="127">ROUND((F665+F670)/(F666+F671),2)</f>
        <v>18497.32</v>
      </c>
      <c r="G673" s="3" t="e">
        <f t="shared" si="127"/>
        <v>#DIV/0!</v>
      </c>
      <c r="H673" s="3" t="e">
        <f t="shared" si="127"/>
        <v>#DIV/0!</v>
      </c>
      <c r="I673" s="3">
        <f t="shared" si="127"/>
        <v>18497.32</v>
      </c>
      <c r="J673" s="3"/>
      <c r="K673" s="3"/>
      <c r="L673" s="3"/>
      <c r="M673" s="5"/>
      <c r="N673" s="5"/>
      <c r="O673" s="5"/>
      <c r="P673" s="5"/>
      <c r="Q673" s="5"/>
      <c r="R673" s="5"/>
      <c r="S673" s="5"/>
      <c r="T673" s="5"/>
      <c r="U673" s="5"/>
      <c r="V673" s="5"/>
      <c r="W673" s="5"/>
      <c r="X673" s="5"/>
      <c r="Y673" s="5"/>
      <c r="Z673" s="5"/>
      <c r="AA673" s="5"/>
      <c r="AB673" s="5"/>
      <c r="AC673" s="5"/>
      <c r="AD673" s="5"/>
      <c r="AE673" s="5"/>
      <c r="AF673" s="5"/>
    </row>
    <row r="674" spans="1:32" ht="12" customHeight="1">
      <c r="A674" s="5"/>
      <c r="B674" s="5"/>
      <c r="C674" s="11"/>
      <c r="D674" s="11"/>
      <c r="E674" s="11"/>
      <c r="F674" s="3"/>
      <c r="G674" s="3"/>
      <c r="H674" s="3"/>
      <c r="I674" s="3"/>
      <c r="J674" s="3"/>
      <c r="K674" s="3"/>
      <c r="L674" s="3"/>
      <c r="M674" s="5"/>
      <c r="N674" s="5"/>
      <c r="O674" s="5"/>
      <c r="P674" s="5"/>
      <c r="Q674" s="5"/>
      <c r="R674" s="5"/>
      <c r="S674" s="5"/>
      <c r="T674" s="5"/>
      <c r="U674" s="5"/>
      <c r="V674" s="5"/>
      <c r="W674" s="5"/>
      <c r="X674" s="5"/>
      <c r="Y674" s="5"/>
      <c r="Z674" s="5"/>
      <c r="AA674" s="5"/>
      <c r="AB674" s="5"/>
      <c r="AC674" s="5"/>
      <c r="AD674" s="5"/>
      <c r="AE674" s="5"/>
      <c r="AF674" s="5"/>
    </row>
    <row r="675" spans="1:32" ht="12" customHeight="1">
      <c r="A675" s="5"/>
      <c r="B675" s="5"/>
      <c r="C675" s="5"/>
      <c r="D675" s="5"/>
      <c r="E675" s="5"/>
      <c r="F675" s="3"/>
      <c r="G675" s="3"/>
      <c r="H675" s="3"/>
      <c r="I675" s="3"/>
      <c r="J675" s="3"/>
      <c r="K675" s="3"/>
      <c r="L675" s="3"/>
    </row>
    <row r="676" spans="1:32" ht="12" customHeight="1">
      <c r="A676" s="5"/>
      <c r="B676" s="5"/>
      <c r="C676" s="5"/>
      <c r="D676" s="5"/>
      <c r="E676" s="5"/>
      <c r="F676" s="3"/>
      <c r="G676" s="3"/>
      <c r="H676" s="3"/>
      <c r="I676" s="3"/>
      <c r="J676" s="3"/>
      <c r="K676" s="3"/>
      <c r="L676" s="3"/>
    </row>
    <row r="677" spans="1:32" ht="12" customHeight="1">
      <c r="A677" s="5"/>
      <c r="B677" s="5"/>
      <c r="C677" s="5"/>
      <c r="D677" s="5"/>
      <c r="E677" s="5"/>
      <c r="F677" s="3"/>
      <c r="G677" s="3"/>
      <c r="H677" s="3"/>
      <c r="I677" s="3"/>
      <c r="J677" s="3"/>
      <c r="K677" s="3"/>
      <c r="L677" s="3"/>
    </row>
    <row r="678" spans="1:32" ht="12" customHeight="1">
      <c r="F678" s="28"/>
      <c r="G678" s="28"/>
      <c r="H678" s="28"/>
      <c r="I678" s="28"/>
      <c r="J678" s="28"/>
      <c r="K678" s="28"/>
      <c r="L678" s="28"/>
    </row>
    <row r="679" spans="1:32" ht="12" customHeight="1">
      <c r="F679" s="28"/>
      <c r="G679" s="28"/>
      <c r="H679" s="28"/>
      <c r="I679" s="28"/>
      <c r="J679" s="28"/>
      <c r="K679" s="28"/>
      <c r="L679" s="28"/>
    </row>
    <row r="680" spans="1:32" ht="12" customHeight="1">
      <c r="F680" s="28"/>
      <c r="G680" s="28"/>
      <c r="H680" s="28"/>
      <c r="I680" s="28"/>
      <c r="J680" s="28"/>
      <c r="K680" s="28"/>
      <c r="L680" s="28"/>
    </row>
    <row r="681" spans="1:32" ht="12" customHeight="1">
      <c r="F681" s="28"/>
      <c r="G681" s="28"/>
      <c r="H681" s="28"/>
      <c r="I681" s="28"/>
      <c r="J681" s="28"/>
      <c r="K681" s="28"/>
      <c r="L681" s="28"/>
    </row>
    <row r="682" spans="1:32" ht="12" customHeight="1">
      <c r="F682" s="28"/>
      <c r="G682" s="28"/>
      <c r="H682" s="28"/>
      <c r="I682" s="28"/>
      <c r="J682" s="28"/>
      <c r="K682" s="28"/>
      <c r="L682" s="28"/>
    </row>
    <row r="683" spans="1:32" ht="12" customHeight="1">
      <c r="F683" s="28"/>
      <c r="G683" s="28"/>
      <c r="H683" s="28"/>
      <c r="I683" s="28"/>
      <c r="J683" s="28"/>
      <c r="K683" s="28"/>
      <c r="L683" s="28"/>
    </row>
    <row r="684" spans="1:32" ht="12" customHeight="1">
      <c r="F684" s="28"/>
      <c r="G684" s="28"/>
      <c r="H684" s="28"/>
      <c r="I684" s="28"/>
      <c r="J684" s="28"/>
      <c r="K684" s="28"/>
      <c r="L684" s="28"/>
    </row>
    <row r="685" spans="1:32" ht="12" customHeight="1">
      <c r="F685" s="28"/>
      <c r="G685" s="28"/>
      <c r="H685" s="28"/>
      <c r="I685" s="28"/>
      <c r="J685" s="28"/>
      <c r="K685" s="28"/>
      <c r="L685" s="28"/>
    </row>
    <row r="686" spans="1:32" ht="12" customHeight="1">
      <c r="F686" s="28"/>
      <c r="G686" s="28"/>
      <c r="H686" s="28"/>
      <c r="I686" s="28"/>
      <c r="J686" s="28"/>
      <c r="K686" s="28"/>
      <c r="L686" s="28"/>
    </row>
    <row r="687" spans="1:32" ht="12" customHeight="1">
      <c r="F687" s="28"/>
      <c r="G687" s="28"/>
      <c r="H687" s="28"/>
      <c r="I687" s="28"/>
      <c r="J687" s="28"/>
      <c r="K687" s="28"/>
      <c r="L687" s="28"/>
    </row>
    <row r="688" spans="1:32" ht="12" customHeight="1">
      <c r="F688" s="28"/>
      <c r="G688" s="28"/>
      <c r="H688" s="28"/>
      <c r="I688" s="28"/>
      <c r="J688" s="28"/>
      <c r="K688" s="28"/>
      <c r="L688" s="28"/>
    </row>
    <row r="689" spans="6:12" ht="12" customHeight="1">
      <c r="F689" s="28"/>
      <c r="G689" s="28"/>
      <c r="H689" s="28"/>
      <c r="I689" s="28"/>
      <c r="J689" s="28"/>
      <c r="K689" s="28"/>
      <c r="L689" s="28"/>
    </row>
    <row r="690" spans="6:12" ht="12" customHeight="1">
      <c r="F690" s="28"/>
      <c r="G690" s="28"/>
      <c r="H690" s="28"/>
      <c r="I690" s="28"/>
      <c r="J690" s="28"/>
      <c r="K690" s="28"/>
      <c r="L690" s="28"/>
    </row>
    <row r="691" spans="6:12" ht="12" customHeight="1">
      <c r="F691" s="28"/>
      <c r="G691" s="28"/>
      <c r="H691" s="28"/>
      <c r="I691" s="28"/>
      <c r="J691" s="28"/>
      <c r="K691" s="28"/>
      <c r="L691" s="28"/>
    </row>
    <row r="692" spans="6:12" ht="12" customHeight="1">
      <c r="F692" s="28"/>
      <c r="G692" s="28"/>
      <c r="H692" s="28"/>
      <c r="I692" s="28"/>
      <c r="J692" s="28"/>
      <c r="K692" s="28"/>
      <c r="L692" s="28"/>
    </row>
    <row r="693" spans="6:12" ht="12" customHeight="1">
      <c r="F693" s="28"/>
      <c r="G693" s="28"/>
      <c r="H693" s="28"/>
      <c r="I693" s="28"/>
      <c r="J693" s="28"/>
      <c r="K693" s="28"/>
      <c r="L693" s="28"/>
    </row>
    <row r="694" spans="6:12" ht="12" customHeight="1">
      <c r="F694" s="28"/>
      <c r="G694" s="28"/>
      <c r="H694" s="28"/>
      <c r="I694" s="28"/>
      <c r="J694" s="28"/>
      <c r="K694" s="28"/>
      <c r="L694" s="28"/>
    </row>
    <row r="695" spans="6:12" ht="12" customHeight="1">
      <c r="F695" s="28"/>
      <c r="G695" s="28"/>
      <c r="H695" s="28"/>
      <c r="I695" s="28"/>
      <c r="J695" s="28"/>
      <c r="K695" s="28"/>
      <c r="L695" s="28"/>
    </row>
    <row r="696" spans="6:12" ht="12" customHeight="1">
      <c r="F696" s="28"/>
      <c r="G696" s="28"/>
      <c r="H696" s="28"/>
      <c r="I696" s="28"/>
      <c r="J696" s="28"/>
      <c r="K696" s="28"/>
      <c r="L696" s="28"/>
    </row>
    <row r="697" spans="6:12" ht="12" customHeight="1">
      <c r="F697" s="28"/>
      <c r="G697" s="28"/>
      <c r="H697" s="28"/>
      <c r="I697" s="28"/>
      <c r="J697" s="28"/>
      <c r="K697" s="28"/>
      <c r="L697" s="28"/>
    </row>
    <row r="698" spans="6:12" ht="12" customHeight="1">
      <c r="F698" s="28"/>
      <c r="G698" s="28"/>
      <c r="H698" s="28"/>
      <c r="I698" s="28"/>
      <c r="J698" s="28"/>
      <c r="K698" s="28"/>
      <c r="L698" s="28"/>
    </row>
    <row r="699" spans="6:12" ht="12" customHeight="1">
      <c r="F699" s="28"/>
      <c r="G699" s="28"/>
      <c r="H699" s="28"/>
      <c r="I699" s="28"/>
      <c r="J699" s="28"/>
      <c r="K699" s="28"/>
      <c r="L699" s="28"/>
    </row>
    <row r="700" spans="6:12" ht="12" customHeight="1">
      <c r="F700" s="28"/>
      <c r="G700" s="28"/>
      <c r="H700" s="28"/>
      <c r="I700" s="28"/>
      <c r="J700" s="28"/>
      <c r="K700" s="28"/>
      <c r="L700" s="28"/>
    </row>
    <row r="701" spans="6:12" ht="12" customHeight="1">
      <c r="F701" s="28"/>
      <c r="G701" s="28"/>
      <c r="H701" s="28"/>
      <c r="I701" s="28"/>
      <c r="J701" s="28"/>
      <c r="K701" s="28"/>
      <c r="L701" s="28"/>
    </row>
    <row r="702" spans="6:12" ht="12" customHeight="1">
      <c r="F702" s="28"/>
      <c r="G702" s="28"/>
      <c r="H702" s="28"/>
      <c r="I702" s="28"/>
      <c r="J702" s="28"/>
      <c r="K702" s="28"/>
      <c r="L702" s="28"/>
    </row>
    <row r="703" spans="6:12" ht="12" customHeight="1">
      <c r="F703" s="28"/>
      <c r="G703" s="28"/>
      <c r="H703" s="28"/>
      <c r="I703" s="28"/>
      <c r="J703" s="28"/>
      <c r="K703" s="28"/>
      <c r="L703" s="28"/>
    </row>
    <row r="704" spans="6:12" ht="12" customHeight="1">
      <c r="F704" s="28"/>
      <c r="G704" s="28"/>
      <c r="H704" s="28"/>
      <c r="I704" s="28"/>
      <c r="J704" s="28"/>
      <c r="K704" s="28"/>
      <c r="L704" s="28"/>
    </row>
    <row r="705" spans="6:12" ht="12" customHeight="1">
      <c r="F705" s="28"/>
      <c r="G705" s="28"/>
      <c r="H705" s="28"/>
      <c r="I705" s="28"/>
      <c r="J705" s="28"/>
      <c r="K705" s="28"/>
      <c r="L705" s="28"/>
    </row>
    <row r="706" spans="6:12" ht="12" customHeight="1">
      <c r="F706" s="28"/>
      <c r="G706" s="28"/>
      <c r="H706" s="28"/>
      <c r="I706" s="28"/>
      <c r="J706" s="28"/>
      <c r="K706" s="28"/>
      <c r="L706" s="28"/>
    </row>
    <row r="707" spans="6:12" ht="12" customHeight="1">
      <c r="F707" s="28"/>
      <c r="G707" s="28"/>
      <c r="H707" s="28"/>
      <c r="I707" s="28"/>
      <c r="J707" s="28"/>
      <c r="K707" s="28"/>
      <c r="L707" s="28"/>
    </row>
    <row r="708" spans="6:12" ht="12" customHeight="1">
      <c r="F708" s="28"/>
      <c r="G708" s="28"/>
      <c r="H708" s="28"/>
      <c r="I708" s="28"/>
      <c r="J708" s="28"/>
      <c r="K708" s="28"/>
      <c r="L708" s="28"/>
    </row>
    <row r="709" spans="6:12" ht="12" customHeight="1">
      <c r="F709" s="28"/>
      <c r="G709" s="28"/>
      <c r="H709" s="28"/>
      <c r="I709" s="28"/>
      <c r="J709" s="28"/>
      <c r="K709" s="28"/>
      <c r="L709" s="28"/>
    </row>
    <row r="710" spans="6:12" ht="12" customHeight="1">
      <c r="F710" s="28"/>
      <c r="G710" s="28"/>
      <c r="H710" s="28"/>
      <c r="I710" s="28"/>
      <c r="J710" s="28"/>
      <c r="K710" s="28"/>
      <c r="L710" s="28"/>
    </row>
    <row r="711" spans="6:12" ht="12" customHeight="1">
      <c r="F711" s="28"/>
      <c r="G711" s="28"/>
      <c r="H711" s="28"/>
      <c r="I711" s="28"/>
      <c r="J711" s="28"/>
      <c r="K711" s="28"/>
      <c r="L711" s="28"/>
    </row>
    <row r="712" spans="6:12" ht="12" customHeight="1">
      <c r="F712" s="28"/>
      <c r="G712" s="28"/>
      <c r="H712" s="28"/>
      <c r="I712" s="28"/>
      <c r="J712" s="28"/>
      <c r="K712" s="28"/>
      <c r="L712" s="28"/>
    </row>
    <row r="713" spans="6:12" ht="12" customHeight="1">
      <c r="F713" s="28"/>
      <c r="G713" s="28"/>
      <c r="H713" s="28"/>
      <c r="I713" s="28"/>
      <c r="J713" s="28"/>
      <c r="K713" s="28"/>
      <c r="L713" s="28"/>
    </row>
    <row r="714" spans="6:12" ht="12" customHeight="1">
      <c r="F714" s="28"/>
      <c r="G714" s="28"/>
      <c r="H714" s="28"/>
      <c r="I714" s="28"/>
      <c r="J714" s="28"/>
      <c r="K714" s="28"/>
      <c r="L714" s="28"/>
    </row>
    <row r="715" spans="6:12" ht="12" customHeight="1">
      <c r="F715" s="28"/>
      <c r="G715" s="28"/>
      <c r="H715" s="28"/>
      <c r="I715" s="28"/>
      <c r="J715" s="28"/>
      <c r="K715" s="28"/>
      <c r="L715" s="28"/>
    </row>
    <row r="716" spans="6:12" ht="12" customHeight="1">
      <c r="F716" s="28"/>
      <c r="G716" s="28"/>
      <c r="H716" s="28"/>
      <c r="I716" s="28"/>
      <c r="J716" s="28"/>
      <c r="K716" s="28"/>
      <c r="L716" s="28"/>
    </row>
    <row r="717" spans="6:12" ht="12" customHeight="1">
      <c r="F717" s="28"/>
      <c r="G717" s="28"/>
      <c r="H717" s="28"/>
      <c r="I717" s="28"/>
      <c r="J717" s="28"/>
      <c r="K717" s="28"/>
      <c r="L717" s="28"/>
    </row>
    <row r="718" spans="6:12" ht="12" customHeight="1">
      <c r="F718" s="28"/>
      <c r="G718" s="28"/>
      <c r="H718" s="28"/>
      <c r="I718" s="28"/>
      <c r="J718" s="28"/>
      <c r="K718" s="28"/>
      <c r="L718" s="28"/>
    </row>
    <row r="719" spans="6:12" ht="12" customHeight="1">
      <c r="F719" s="28"/>
      <c r="G719" s="28"/>
      <c r="H719" s="28"/>
      <c r="I719" s="28"/>
      <c r="J719" s="28"/>
      <c r="K719" s="28"/>
      <c r="L719" s="28"/>
    </row>
    <row r="720" spans="6:12" ht="12" customHeight="1">
      <c r="F720" s="28"/>
      <c r="G720" s="28"/>
      <c r="H720" s="28"/>
      <c r="I720" s="28"/>
      <c r="J720" s="28"/>
      <c r="K720" s="28"/>
      <c r="L720" s="28"/>
    </row>
    <row r="721" spans="6:12" ht="12" customHeight="1">
      <c r="F721" s="28"/>
      <c r="G721" s="28"/>
      <c r="H721" s="28"/>
      <c r="I721" s="28"/>
      <c r="J721" s="28"/>
      <c r="K721" s="28"/>
      <c r="L721" s="28"/>
    </row>
    <row r="722" spans="6:12" ht="12" customHeight="1">
      <c r="F722" s="28"/>
      <c r="G722" s="28"/>
      <c r="H722" s="28"/>
      <c r="I722" s="28"/>
      <c r="J722" s="28"/>
      <c r="K722" s="28"/>
      <c r="L722" s="28"/>
    </row>
    <row r="723" spans="6:12" ht="12" customHeight="1">
      <c r="F723" s="28"/>
      <c r="G723" s="28"/>
      <c r="H723" s="28"/>
      <c r="I723" s="28"/>
      <c r="J723" s="28"/>
      <c r="K723" s="28"/>
      <c r="L723" s="28"/>
    </row>
    <row r="724" spans="6:12" ht="12" customHeight="1">
      <c r="F724" s="28"/>
      <c r="G724" s="28"/>
      <c r="H724" s="28"/>
      <c r="I724" s="28"/>
      <c r="J724" s="28"/>
      <c r="K724" s="28"/>
      <c r="L724" s="28"/>
    </row>
    <row r="725" spans="6:12" ht="12" customHeight="1">
      <c r="F725" s="28"/>
      <c r="G725" s="28"/>
      <c r="H725" s="28"/>
      <c r="I725" s="28"/>
      <c r="J725" s="28"/>
      <c r="K725" s="28"/>
      <c r="L725" s="28"/>
    </row>
    <row r="726" spans="6:12" ht="12" customHeight="1">
      <c r="F726" s="28"/>
      <c r="G726" s="28"/>
      <c r="H726" s="28"/>
      <c r="I726" s="28"/>
      <c r="J726" s="28"/>
      <c r="K726" s="28"/>
      <c r="L726" s="28"/>
    </row>
    <row r="727" spans="6:12" ht="12" customHeight="1">
      <c r="F727" s="28"/>
      <c r="G727" s="28"/>
      <c r="H727" s="28"/>
      <c r="I727" s="28"/>
      <c r="J727" s="28"/>
      <c r="K727" s="28"/>
      <c r="L727" s="28"/>
    </row>
    <row r="728" spans="6:12" ht="12" customHeight="1">
      <c r="F728" s="28"/>
      <c r="G728" s="28"/>
      <c r="H728" s="28"/>
      <c r="I728" s="28"/>
      <c r="J728" s="28"/>
      <c r="K728" s="28"/>
      <c r="L728" s="28"/>
    </row>
    <row r="729" spans="6:12" ht="12" customHeight="1">
      <c r="F729" s="28"/>
      <c r="G729" s="28"/>
      <c r="H729" s="28"/>
      <c r="I729" s="28"/>
      <c r="J729" s="28"/>
      <c r="K729" s="28"/>
      <c r="L729" s="28"/>
    </row>
    <row r="730" spans="6:12" ht="12" customHeight="1">
      <c r="F730" s="28"/>
      <c r="G730" s="28"/>
      <c r="H730" s="28"/>
      <c r="I730" s="28"/>
      <c r="J730" s="28"/>
      <c r="K730" s="28"/>
      <c r="L730" s="28"/>
    </row>
    <row r="731" spans="6:12" ht="12" customHeight="1">
      <c r="F731" s="28"/>
      <c r="G731" s="28"/>
      <c r="H731" s="28"/>
      <c r="I731" s="28"/>
      <c r="J731" s="28"/>
      <c r="K731" s="28"/>
      <c r="L731" s="28"/>
    </row>
    <row r="732" spans="6:12" ht="12" customHeight="1">
      <c r="F732" s="28"/>
      <c r="G732" s="28"/>
      <c r="H732" s="28"/>
      <c r="I732" s="28"/>
      <c r="J732" s="28"/>
      <c r="K732" s="28"/>
      <c r="L732" s="28"/>
    </row>
    <row r="733" spans="6:12" ht="12" customHeight="1">
      <c r="F733" s="28"/>
      <c r="G733" s="28"/>
      <c r="H733" s="28"/>
      <c r="I733" s="28"/>
      <c r="J733" s="28"/>
      <c r="K733" s="28"/>
      <c r="L733" s="28"/>
    </row>
    <row r="734" spans="6:12" ht="12" customHeight="1">
      <c r="F734" s="28"/>
      <c r="G734" s="28"/>
      <c r="H734" s="28"/>
      <c r="I734" s="28"/>
      <c r="J734" s="28"/>
      <c r="K734" s="28"/>
      <c r="L734" s="28"/>
    </row>
    <row r="735" spans="6:12" ht="12" customHeight="1">
      <c r="F735" s="28"/>
      <c r="G735" s="28"/>
      <c r="H735" s="28"/>
      <c r="I735" s="28"/>
      <c r="J735" s="28"/>
      <c r="K735" s="28"/>
      <c r="L735" s="28"/>
    </row>
    <row r="736" spans="6:12" ht="12" customHeight="1">
      <c r="F736" s="28"/>
      <c r="G736" s="28"/>
      <c r="H736" s="28"/>
      <c r="I736" s="28"/>
      <c r="J736" s="28"/>
      <c r="K736" s="28"/>
      <c r="L736" s="28"/>
    </row>
    <row r="737" spans="6:12" ht="12" customHeight="1">
      <c r="F737" s="28"/>
      <c r="G737" s="28"/>
      <c r="H737" s="28"/>
      <c r="I737" s="28"/>
      <c r="J737" s="28"/>
      <c r="K737" s="28"/>
      <c r="L737" s="28"/>
    </row>
    <row r="738" spans="6:12" ht="12" customHeight="1">
      <c r="F738" s="28"/>
      <c r="G738" s="28"/>
      <c r="H738" s="28"/>
      <c r="I738" s="28"/>
      <c r="J738" s="28"/>
      <c r="K738" s="28"/>
      <c r="L738" s="28"/>
    </row>
    <row r="739" spans="6:12" ht="12" customHeight="1">
      <c r="F739" s="28"/>
      <c r="G739" s="28"/>
      <c r="H739" s="28"/>
      <c r="I739" s="28"/>
      <c r="J739" s="28"/>
      <c r="K739" s="28"/>
      <c r="L739" s="28"/>
    </row>
    <row r="740" spans="6:12" ht="12" customHeight="1">
      <c r="F740" s="28"/>
      <c r="G740" s="28"/>
      <c r="H740" s="28"/>
      <c r="I740" s="28"/>
      <c r="J740" s="28"/>
      <c r="K740" s="28"/>
      <c r="L740" s="28"/>
    </row>
    <row r="741" spans="6:12" ht="12" customHeight="1">
      <c r="F741" s="28"/>
      <c r="G741" s="28"/>
      <c r="H741" s="28"/>
      <c r="I741" s="28"/>
      <c r="J741" s="28"/>
      <c r="K741" s="28"/>
      <c r="L741" s="28"/>
    </row>
    <row r="742" spans="6:12" ht="12" customHeight="1">
      <c r="F742" s="28"/>
      <c r="G742" s="28"/>
      <c r="H742" s="28"/>
      <c r="I742" s="28"/>
      <c r="J742" s="28"/>
      <c r="K742" s="28"/>
      <c r="L742" s="28"/>
    </row>
    <row r="743" spans="6:12" ht="12" customHeight="1">
      <c r="F743" s="28"/>
      <c r="G743" s="28"/>
      <c r="H743" s="28"/>
      <c r="I743" s="28"/>
      <c r="J743" s="28"/>
      <c r="K743" s="28"/>
      <c r="L743" s="28"/>
    </row>
    <row r="744" spans="6:12" ht="12" customHeight="1">
      <c r="F744" s="28"/>
      <c r="G744" s="28"/>
      <c r="H744" s="28"/>
      <c r="I744" s="28"/>
      <c r="J744" s="28"/>
      <c r="K744" s="28"/>
      <c r="L744" s="28"/>
    </row>
    <row r="745" spans="6:12" ht="12" customHeight="1">
      <c r="F745" s="28"/>
      <c r="G745" s="28"/>
      <c r="H745" s="28"/>
      <c r="I745" s="28"/>
      <c r="J745" s="28"/>
      <c r="K745" s="28"/>
      <c r="L745" s="28"/>
    </row>
    <row r="746" spans="6:12" ht="12" customHeight="1">
      <c r="F746" s="28"/>
      <c r="G746" s="28"/>
      <c r="H746" s="28"/>
      <c r="I746" s="28"/>
      <c r="J746" s="28"/>
      <c r="K746" s="28"/>
      <c r="L746" s="28"/>
    </row>
    <row r="747" spans="6:12" ht="12" customHeight="1">
      <c r="F747" s="28"/>
      <c r="G747" s="28"/>
      <c r="H747" s="28"/>
      <c r="I747" s="28"/>
      <c r="J747" s="28"/>
      <c r="K747" s="28"/>
      <c r="L747" s="28"/>
    </row>
    <row r="748" spans="6:12" ht="12" customHeight="1">
      <c r="F748" s="28"/>
      <c r="G748" s="28"/>
      <c r="H748" s="28"/>
      <c r="I748" s="28"/>
      <c r="J748" s="28"/>
      <c r="K748" s="28"/>
      <c r="L748" s="28"/>
    </row>
    <row r="749" spans="6:12" ht="12" customHeight="1">
      <c r="F749" s="28"/>
      <c r="G749" s="28"/>
      <c r="H749" s="28"/>
      <c r="I749" s="28"/>
      <c r="J749" s="28"/>
      <c r="K749" s="28"/>
      <c r="L749" s="28"/>
    </row>
    <row r="750" spans="6:12" ht="12" customHeight="1">
      <c r="F750" s="28"/>
      <c r="G750" s="28"/>
      <c r="H750" s="28"/>
      <c r="I750" s="28"/>
      <c r="J750" s="28"/>
      <c r="K750" s="28"/>
      <c r="L750" s="28"/>
    </row>
    <row r="751" spans="6:12" ht="12" customHeight="1">
      <c r="F751" s="28"/>
      <c r="G751" s="28"/>
      <c r="H751" s="28"/>
      <c r="I751" s="28"/>
      <c r="J751" s="28"/>
      <c r="K751" s="28"/>
      <c r="L751" s="28"/>
    </row>
    <row r="752" spans="6:12" ht="12" customHeight="1">
      <c r="F752" s="28"/>
      <c r="G752" s="28"/>
      <c r="H752" s="28"/>
      <c r="I752" s="28"/>
      <c r="J752" s="28"/>
      <c r="K752" s="28"/>
      <c r="L752" s="28"/>
    </row>
    <row r="753" spans="6:12" ht="12" customHeight="1">
      <c r="F753" s="28"/>
      <c r="G753" s="28"/>
      <c r="H753" s="28"/>
      <c r="I753" s="28"/>
      <c r="J753" s="28"/>
      <c r="K753" s="28"/>
      <c r="L753" s="28"/>
    </row>
    <row r="754" spans="6:12" ht="12" customHeight="1">
      <c r="F754" s="28"/>
      <c r="G754" s="28"/>
      <c r="H754" s="28"/>
      <c r="I754" s="28"/>
      <c r="J754" s="28"/>
      <c r="K754" s="28"/>
      <c r="L754" s="28"/>
    </row>
    <row r="755" spans="6:12" ht="12" customHeight="1">
      <c r="F755" s="28"/>
      <c r="G755" s="28"/>
      <c r="H755" s="28"/>
      <c r="I755" s="28"/>
      <c r="J755" s="28"/>
      <c r="K755" s="28"/>
      <c r="L755" s="28"/>
    </row>
    <row r="756" spans="6:12" ht="12" customHeight="1">
      <c r="F756" s="28"/>
      <c r="G756" s="28"/>
      <c r="H756" s="28"/>
      <c r="I756" s="28"/>
      <c r="J756" s="28"/>
      <c r="K756" s="28"/>
      <c r="L756" s="28"/>
    </row>
    <row r="757" spans="6:12" ht="12" customHeight="1">
      <c r="F757" s="28"/>
      <c r="G757" s="28"/>
      <c r="H757" s="28"/>
      <c r="I757" s="28"/>
      <c r="J757" s="28"/>
      <c r="K757" s="28"/>
      <c r="L757" s="28"/>
    </row>
    <row r="758" spans="6:12" ht="12" customHeight="1">
      <c r="F758" s="28"/>
      <c r="G758" s="28"/>
      <c r="H758" s="28"/>
      <c r="I758" s="28"/>
      <c r="J758" s="28"/>
      <c r="K758" s="28"/>
      <c r="L758" s="28"/>
    </row>
    <row r="759" spans="6:12" ht="12" customHeight="1">
      <c r="F759" s="28"/>
      <c r="G759" s="28"/>
      <c r="H759" s="28"/>
      <c r="I759" s="28"/>
      <c r="J759" s="28"/>
      <c r="K759" s="28"/>
      <c r="L759" s="28"/>
    </row>
    <row r="760" spans="6:12" ht="12" customHeight="1">
      <c r="F760" s="28"/>
      <c r="G760" s="28"/>
      <c r="H760" s="28"/>
      <c r="I760" s="28"/>
      <c r="J760" s="28"/>
      <c r="K760" s="28"/>
      <c r="L760" s="28"/>
    </row>
    <row r="761" spans="6:12" ht="12" customHeight="1">
      <c r="F761" s="28"/>
      <c r="G761" s="28"/>
      <c r="H761" s="28"/>
      <c r="I761" s="28"/>
      <c r="J761" s="28"/>
      <c r="K761" s="28"/>
      <c r="L761" s="28"/>
    </row>
    <row r="762" spans="6:12" ht="12" customHeight="1">
      <c r="F762" s="28"/>
      <c r="G762" s="28"/>
      <c r="H762" s="28"/>
      <c r="I762" s="28"/>
      <c r="J762" s="28"/>
      <c r="K762" s="28"/>
      <c r="L762" s="28"/>
    </row>
    <row r="763" spans="6:12" ht="12" customHeight="1">
      <c r="F763" s="28"/>
      <c r="G763" s="28"/>
      <c r="H763" s="28"/>
      <c r="I763" s="28"/>
      <c r="J763" s="28"/>
      <c r="K763" s="28"/>
      <c r="L763" s="28"/>
    </row>
    <row r="764" spans="6:12" ht="12" customHeight="1">
      <c r="F764" s="28"/>
      <c r="G764" s="28"/>
      <c r="H764" s="28"/>
      <c r="I764" s="28"/>
      <c r="J764" s="28"/>
      <c r="K764" s="28"/>
      <c r="L764" s="28"/>
    </row>
    <row r="765" spans="6:12" ht="12" customHeight="1">
      <c r="F765" s="28"/>
      <c r="G765" s="28"/>
      <c r="H765" s="28"/>
      <c r="I765" s="28"/>
      <c r="J765" s="28"/>
      <c r="K765" s="28"/>
      <c r="L765" s="28"/>
    </row>
    <row r="766" spans="6:12" ht="12" customHeight="1">
      <c r="F766" s="28"/>
      <c r="G766" s="28"/>
      <c r="H766" s="28"/>
      <c r="I766" s="28"/>
      <c r="J766" s="28"/>
      <c r="K766" s="28"/>
      <c r="L766" s="28"/>
    </row>
    <row r="767" spans="6:12" ht="12" customHeight="1">
      <c r="F767" s="28"/>
      <c r="G767" s="28"/>
      <c r="H767" s="28"/>
      <c r="I767" s="28"/>
      <c r="J767" s="28"/>
      <c r="K767" s="28"/>
      <c r="L767" s="28"/>
    </row>
    <row r="768" spans="6:12" ht="12" customHeight="1">
      <c r="F768" s="28"/>
      <c r="G768" s="28"/>
      <c r="H768" s="28"/>
      <c r="I768" s="28"/>
      <c r="J768" s="28"/>
      <c r="K768" s="28"/>
      <c r="L768" s="28"/>
    </row>
    <row r="769" spans="6:12" ht="12" customHeight="1">
      <c r="F769" s="28"/>
      <c r="G769" s="28"/>
      <c r="H769" s="28"/>
      <c r="I769" s="28"/>
      <c r="J769" s="28"/>
      <c r="K769" s="28"/>
      <c r="L769" s="28"/>
    </row>
    <row r="770" spans="6:12" ht="12" customHeight="1">
      <c r="F770" s="28"/>
      <c r="G770" s="28"/>
      <c r="H770" s="28"/>
      <c r="I770" s="28"/>
      <c r="J770" s="28"/>
      <c r="K770" s="28"/>
      <c r="L770" s="28"/>
    </row>
    <row r="771" spans="6:12" ht="12" customHeight="1">
      <c r="F771" s="28"/>
      <c r="G771" s="28"/>
      <c r="H771" s="28"/>
      <c r="I771" s="28"/>
      <c r="J771" s="28"/>
      <c r="K771" s="28"/>
      <c r="L771" s="28"/>
    </row>
    <row r="772" spans="6:12" ht="12" customHeight="1">
      <c r="F772" s="28"/>
      <c r="G772" s="28"/>
      <c r="H772" s="28"/>
      <c r="I772" s="28"/>
      <c r="J772" s="28"/>
      <c r="K772" s="28"/>
      <c r="L772" s="28"/>
    </row>
    <row r="773" spans="6:12" ht="12" customHeight="1">
      <c r="F773" s="28"/>
      <c r="G773" s="28"/>
      <c r="H773" s="28"/>
      <c r="I773" s="28"/>
      <c r="J773" s="28"/>
      <c r="K773" s="28"/>
      <c r="L773" s="28"/>
    </row>
    <row r="774" spans="6:12" ht="12" customHeight="1">
      <c r="F774" s="28"/>
      <c r="G774" s="28"/>
      <c r="H774" s="28"/>
      <c r="I774" s="28"/>
      <c r="J774" s="28"/>
      <c r="K774" s="28"/>
      <c r="L774" s="28"/>
    </row>
    <row r="775" spans="6:12" ht="12" customHeight="1">
      <c r="F775" s="28"/>
      <c r="G775" s="28"/>
      <c r="H775" s="28"/>
      <c r="I775" s="28"/>
      <c r="J775" s="28"/>
      <c r="K775" s="28"/>
      <c r="L775" s="28"/>
    </row>
    <row r="776" spans="6:12" ht="12" customHeight="1">
      <c r="F776" s="28"/>
      <c r="G776" s="28"/>
      <c r="H776" s="28"/>
      <c r="I776" s="28"/>
      <c r="J776" s="28"/>
      <c r="K776" s="28"/>
      <c r="L776" s="28"/>
    </row>
    <row r="777" spans="6:12" ht="12" customHeight="1">
      <c r="F777" s="28"/>
      <c r="G777" s="28"/>
      <c r="H777" s="28"/>
      <c r="I777" s="28"/>
      <c r="J777" s="28"/>
      <c r="K777" s="28"/>
      <c r="L777" s="28"/>
    </row>
    <row r="778" spans="6:12" ht="12" customHeight="1">
      <c r="F778" s="28"/>
      <c r="G778" s="28"/>
      <c r="H778" s="28"/>
      <c r="I778" s="28"/>
      <c r="J778" s="28"/>
      <c r="K778" s="28"/>
      <c r="L778" s="28"/>
    </row>
    <row r="779" spans="6:12" ht="12" customHeight="1">
      <c r="F779" s="28"/>
      <c r="G779" s="28"/>
      <c r="H779" s="28"/>
      <c r="I779" s="28"/>
      <c r="J779" s="28"/>
      <c r="K779" s="28"/>
      <c r="L779" s="28"/>
    </row>
    <row r="780" spans="6:12" ht="12" customHeight="1">
      <c r="F780" s="28"/>
      <c r="G780" s="28"/>
      <c r="H780" s="28"/>
      <c r="I780" s="28"/>
      <c r="J780" s="28"/>
      <c r="K780" s="28"/>
      <c r="L780" s="28"/>
    </row>
    <row r="781" spans="6:12" ht="12" customHeight="1">
      <c r="F781" s="28"/>
      <c r="G781" s="28"/>
      <c r="H781" s="28"/>
      <c r="I781" s="28"/>
      <c r="J781" s="28"/>
      <c r="K781" s="28"/>
      <c r="L781" s="28"/>
    </row>
    <row r="782" spans="6:12" ht="12" customHeight="1">
      <c r="F782" s="28"/>
      <c r="G782" s="28"/>
      <c r="H782" s="28"/>
      <c r="I782" s="28"/>
      <c r="J782" s="28"/>
      <c r="K782" s="28"/>
      <c r="L782" s="28"/>
    </row>
    <row r="783" spans="6:12" ht="12" customHeight="1">
      <c r="F783" s="28"/>
      <c r="G783" s="28"/>
      <c r="H783" s="28"/>
      <c r="I783" s="28"/>
      <c r="J783" s="28"/>
      <c r="K783" s="28"/>
      <c r="L783" s="28"/>
    </row>
    <row r="784" spans="6:12" ht="12" customHeight="1">
      <c r="F784" s="28"/>
      <c r="G784" s="28"/>
      <c r="H784" s="28"/>
      <c r="I784" s="28"/>
      <c r="J784" s="28"/>
      <c r="K784" s="28"/>
      <c r="L784" s="28"/>
    </row>
    <row r="785" spans="6:12" ht="12" customHeight="1">
      <c r="F785" s="28"/>
      <c r="G785" s="28"/>
      <c r="H785" s="28"/>
      <c r="I785" s="28"/>
      <c r="J785" s="28"/>
      <c r="K785" s="28"/>
      <c r="L785" s="28"/>
    </row>
    <row r="786" spans="6:12" ht="12" customHeight="1">
      <c r="F786" s="28"/>
      <c r="G786" s="28"/>
      <c r="H786" s="28"/>
      <c r="I786" s="28"/>
      <c r="J786" s="28"/>
      <c r="K786" s="28"/>
      <c r="L786" s="28"/>
    </row>
    <row r="787" spans="6:12" ht="12" customHeight="1">
      <c r="F787" s="28"/>
      <c r="G787" s="28"/>
      <c r="H787" s="28"/>
      <c r="I787" s="28"/>
      <c r="J787" s="28"/>
      <c r="K787" s="28"/>
      <c r="L787" s="28"/>
    </row>
    <row r="788" spans="6:12" ht="12" customHeight="1">
      <c r="F788" s="28"/>
      <c r="G788" s="28"/>
      <c r="H788" s="28"/>
      <c r="I788" s="28"/>
      <c r="J788" s="28"/>
      <c r="K788" s="28"/>
      <c r="L788" s="28"/>
    </row>
    <row r="789" spans="6:12" ht="12" customHeight="1">
      <c r="F789" s="28"/>
      <c r="G789" s="28"/>
      <c r="H789" s="28"/>
      <c r="I789" s="28"/>
      <c r="J789" s="28"/>
      <c r="K789" s="28"/>
      <c r="L789" s="28"/>
    </row>
    <row r="790" spans="6:12" ht="12" customHeight="1">
      <c r="F790" s="28"/>
      <c r="G790" s="28"/>
      <c r="H790" s="28"/>
      <c r="I790" s="28"/>
      <c r="J790" s="28"/>
      <c r="K790" s="28"/>
      <c r="L790" s="28"/>
    </row>
    <row r="791" spans="6:12" ht="12" customHeight="1">
      <c r="F791" s="28"/>
      <c r="G791" s="28"/>
      <c r="H791" s="28"/>
      <c r="I791" s="28"/>
      <c r="J791" s="28"/>
      <c r="K791" s="28"/>
      <c r="L791" s="28"/>
    </row>
    <row r="792" spans="6:12" ht="12" customHeight="1">
      <c r="F792" s="28"/>
      <c r="G792" s="28"/>
      <c r="H792" s="28"/>
      <c r="I792" s="28"/>
      <c r="J792" s="28"/>
      <c r="K792" s="28"/>
      <c r="L792" s="28"/>
    </row>
    <row r="793" spans="6:12" ht="12" customHeight="1">
      <c r="F793" s="28"/>
      <c r="G793" s="28"/>
      <c r="H793" s="28"/>
      <c r="I793" s="28"/>
      <c r="J793" s="28"/>
      <c r="K793" s="28"/>
      <c r="L793" s="28"/>
    </row>
    <row r="794" spans="6:12" ht="12" customHeight="1">
      <c r="F794" s="28"/>
      <c r="G794" s="28"/>
      <c r="H794" s="28"/>
      <c r="I794" s="28"/>
      <c r="J794" s="28"/>
      <c r="K794" s="28"/>
      <c r="L794" s="28"/>
    </row>
    <row r="795" spans="6:12" ht="12" customHeight="1">
      <c r="F795" s="28"/>
      <c r="G795" s="28"/>
      <c r="H795" s="28"/>
      <c r="I795" s="28"/>
      <c r="J795" s="28"/>
      <c r="K795" s="28"/>
      <c r="L795" s="28"/>
    </row>
    <row r="796" spans="6:12" ht="12" customHeight="1">
      <c r="F796" s="28"/>
      <c r="G796" s="28"/>
      <c r="H796" s="28"/>
      <c r="I796" s="28"/>
      <c r="J796" s="28"/>
      <c r="K796" s="28"/>
      <c r="L796" s="28"/>
    </row>
    <row r="797" spans="6:12" ht="12" customHeight="1">
      <c r="F797" s="28"/>
      <c r="G797" s="28"/>
      <c r="H797" s="28"/>
      <c r="I797" s="28"/>
      <c r="J797" s="28"/>
      <c r="K797" s="28"/>
      <c r="L797" s="28"/>
    </row>
    <row r="798" spans="6:12" ht="12" customHeight="1">
      <c r="F798" s="28"/>
      <c r="G798" s="28"/>
      <c r="H798" s="28"/>
      <c r="I798" s="28"/>
      <c r="J798" s="28"/>
      <c r="K798" s="28"/>
      <c r="L798" s="28"/>
    </row>
    <row r="799" spans="6:12" ht="12" customHeight="1">
      <c r="F799" s="28"/>
      <c r="G799" s="28"/>
      <c r="H799" s="28"/>
      <c r="I799" s="28"/>
      <c r="J799" s="28"/>
      <c r="K799" s="28"/>
      <c r="L799" s="28"/>
    </row>
    <row r="800" spans="6:12" ht="12" customHeight="1">
      <c r="F800" s="28"/>
      <c r="G800" s="28"/>
      <c r="H800" s="28"/>
      <c r="I800" s="28"/>
      <c r="J800" s="28"/>
      <c r="K800" s="28"/>
      <c r="L800" s="28"/>
    </row>
    <row r="801" spans="6:12" ht="12" customHeight="1">
      <c r="F801" s="28"/>
      <c r="G801" s="28"/>
      <c r="H801" s="28"/>
      <c r="I801" s="28"/>
      <c r="J801" s="28"/>
      <c r="K801" s="28"/>
      <c r="L801" s="28"/>
    </row>
    <row r="802" spans="6:12" ht="12" customHeight="1">
      <c r="F802" s="28"/>
      <c r="G802" s="28"/>
      <c r="H802" s="28"/>
      <c r="I802" s="28"/>
      <c r="J802" s="28"/>
      <c r="K802" s="28"/>
      <c r="L802" s="28"/>
    </row>
    <row r="803" spans="6:12" ht="12" customHeight="1">
      <c r="F803" s="28"/>
      <c r="G803" s="28"/>
      <c r="H803" s="28"/>
      <c r="I803" s="28"/>
      <c r="J803" s="28"/>
      <c r="K803" s="28"/>
      <c r="L803" s="28"/>
    </row>
    <row r="804" spans="6:12" ht="12" customHeight="1">
      <c r="F804" s="28"/>
      <c r="G804" s="28"/>
      <c r="H804" s="28"/>
      <c r="I804" s="28"/>
      <c r="J804" s="28"/>
      <c r="K804" s="28"/>
      <c r="L804" s="28"/>
    </row>
    <row r="805" spans="6:12" ht="12" customHeight="1">
      <c r="F805" s="28"/>
      <c r="G805" s="28"/>
      <c r="H805" s="28"/>
      <c r="I805" s="28"/>
      <c r="J805" s="28"/>
      <c r="K805" s="28"/>
      <c r="L805" s="28"/>
    </row>
    <row r="806" spans="6:12" ht="12" customHeight="1">
      <c r="F806" s="28"/>
      <c r="G806" s="28"/>
      <c r="H806" s="28"/>
      <c r="I806" s="28"/>
      <c r="J806" s="28"/>
      <c r="K806" s="28"/>
      <c r="L806" s="28"/>
    </row>
    <row r="807" spans="6:12" ht="12" customHeight="1">
      <c r="F807" s="28"/>
      <c r="G807" s="28"/>
      <c r="H807" s="28"/>
      <c r="I807" s="28"/>
      <c r="J807" s="28"/>
      <c r="K807" s="28"/>
      <c r="L807" s="28"/>
    </row>
    <row r="808" spans="6:12" ht="12" customHeight="1">
      <c r="F808" s="28"/>
      <c r="G808" s="28"/>
      <c r="H808" s="28"/>
      <c r="I808" s="28"/>
      <c r="J808" s="28"/>
      <c r="K808" s="28"/>
      <c r="L808" s="28"/>
    </row>
    <row r="809" spans="6:12" ht="12" customHeight="1">
      <c r="F809" s="28"/>
      <c r="G809" s="28"/>
      <c r="H809" s="28"/>
      <c r="I809" s="28"/>
      <c r="J809" s="28"/>
      <c r="K809" s="28"/>
      <c r="L809" s="28"/>
    </row>
    <row r="810" spans="6:12" ht="12" customHeight="1">
      <c r="F810" s="28"/>
      <c r="G810" s="28"/>
      <c r="H810" s="28"/>
      <c r="I810" s="28"/>
      <c r="J810" s="28"/>
      <c r="K810" s="28"/>
      <c r="L810" s="28"/>
    </row>
    <row r="811" spans="6:12" ht="12" customHeight="1">
      <c r="F811" s="28"/>
      <c r="G811" s="28"/>
      <c r="H811" s="28"/>
      <c r="I811" s="28"/>
      <c r="J811" s="28"/>
      <c r="K811" s="28"/>
      <c r="L811" s="28"/>
    </row>
    <row r="812" spans="6:12" ht="12" customHeight="1">
      <c r="F812" s="28"/>
      <c r="G812" s="28"/>
      <c r="H812" s="28"/>
      <c r="I812" s="28"/>
      <c r="J812" s="28"/>
      <c r="K812" s="28"/>
      <c r="L812" s="28"/>
    </row>
    <row r="813" spans="6:12" ht="12" customHeight="1">
      <c r="F813" s="28"/>
      <c r="G813" s="28"/>
      <c r="H813" s="28"/>
      <c r="I813" s="28"/>
      <c r="J813" s="28"/>
      <c r="K813" s="28"/>
      <c r="L813" s="28"/>
    </row>
    <row r="814" spans="6:12" ht="12" customHeight="1">
      <c r="F814" s="28"/>
      <c r="G814" s="28"/>
      <c r="H814" s="28"/>
      <c r="I814" s="28"/>
      <c r="J814" s="28"/>
      <c r="K814" s="28"/>
      <c r="L814" s="28"/>
    </row>
    <row r="815" spans="6:12" ht="12" customHeight="1">
      <c r="F815" s="28"/>
      <c r="G815" s="28"/>
      <c r="H815" s="28"/>
      <c r="I815" s="28"/>
      <c r="J815" s="28"/>
      <c r="K815" s="28"/>
      <c r="L815" s="28"/>
    </row>
    <row r="816" spans="6:12" ht="12" customHeight="1">
      <c r="F816" s="28"/>
      <c r="G816" s="28"/>
      <c r="H816" s="28"/>
      <c r="I816" s="28"/>
      <c r="J816" s="28"/>
      <c r="K816" s="28"/>
      <c r="L816" s="28"/>
    </row>
    <row r="817" spans="6:12" ht="12" customHeight="1">
      <c r="F817" s="28"/>
      <c r="G817" s="28"/>
      <c r="H817" s="28"/>
      <c r="I817" s="28"/>
      <c r="J817" s="28"/>
      <c r="K817" s="28"/>
      <c r="L817" s="28"/>
    </row>
    <row r="818" spans="6:12" ht="12" customHeight="1">
      <c r="F818" s="28"/>
      <c r="G818" s="28"/>
      <c r="H818" s="28"/>
      <c r="I818" s="28"/>
      <c r="J818" s="28"/>
      <c r="K818" s="28"/>
      <c r="L818" s="28"/>
    </row>
    <row r="819" spans="6:12" ht="12" customHeight="1">
      <c r="F819" s="28"/>
      <c r="G819" s="28"/>
      <c r="H819" s="28"/>
      <c r="I819" s="28"/>
      <c r="J819" s="28"/>
      <c r="K819" s="28"/>
      <c r="L819" s="28"/>
    </row>
    <row r="820" spans="6:12" ht="12" customHeight="1">
      <c r="F820" s="28"/>
      <c r="G820" s="28"/>
      <c r="H820" s="28"/>
      <c r="I820" s="28"/>
      <c r="J820" s="28"/>
      <c r="K820" s="28"/>
      <c r="L820" s="28"/>
    </row>
    <row r="821" spans="6:12" ht="12" customHeight="1">
      <c r="F821" s="28"/>
      <c r="G821" s="28"/>
      <c r="H821" s="28"/>
      <c r="I821" s="28"/>
      <c r="J821" s="28"/>
      <c r="K821" s="28"/>
      <c r="L821" s="28"/>
    </row>
    <row r="822" spans="6:12" ht="12" customHeight="1">
      <c r="F822" s="28"/>
      <c r="G822" s="28"/>
      <c r="H822" s="28"/>
      <c r="I822" s="28"/>
      <c r="J822" s="28"/>
      <c r="K822" s="28"/>
      <c r="L822" s="28"/>
    </row>
    <row r="823" spans="6:12" ht="12" customHeight="1">
      <c r="F823" s="28"/>
      <c r="G823" s="28"/>
      <c r="H823" s="28"/>
      <c r="I823" s="28"/>
      <c r="J823" s="28"/>
      <c r="K823" s="28"/>
      <c r="L823" s="28"/>
    </row>
    <row r="824" spans="6:12" ht="12" customHeight="1">
      <c r="F824" s="28"/>
      <c r="G824" s="28"/>
      <c r="H824" s="28"/>
      <c r="I824" s="28"/>
      <c r="J824" s="28"/>
      <c r="K824" s="28"/>
      <c r="L824" s="28"/>
    </row>
    <row r="825" spans="6:12" ht="12" customHeight="1">
      <c r="F825" s="28"/>
      <c r="G825" s="28"/>
      <c r="H825" s="28"/>
      <c r="I825" s="28"/>
      <c r="J825" s="28"/>
      <c r="K825" s="28"/>
      <c r="L825" s="28"/>
    </row>
    <row r="826" spans="6:12" ht="12" customHeight="1">
      <c r="F826" s="28"/>
      <c r="G826" s="28"/>
      <c r="H826" s="28"/>
      <c r="I826" s="28"/>
      <c r="J826" s="28"/>
      <c r="K826" s="28"/>
      <c r="L826" s="28"/>
    </row>
    <row r="827" spans="6:12" ht="12" customHeight="1">
      <c r="F827" s="28"/>
      <c r="G827" s="28"/>
      <c r="H827" s="28"/>
      <c r="I827" s="28"/>
      <c r="J827" s="28"/>
      <c r="K827" s="28"/>
      <c r="L827" s="28"/>
    </row>
    <row r="828" spans="6:12" ht="12" customHeight="1">
      <c r="F828" s="28"/>
      <c r="G828" s="28"/>
      <c r="H828" s="28"/>
      <c r="I828" s="28"/>
      <c r="J828" s="28"/>
      <c r="K828" s="28"/>
      <c r="L828" s="28"/>
    </row>
    <row r="829" spans="6:12" ht="12" customHeight="1">
      <c r="F829" s="28"/>
      <c r="G829" s="28"/>
      <c r="H829" s="28"/>
      <c r="I829" s="28"/>
      <c r="J829" s="28"/>
      <c r="K829" s="28"/>
      <c r="L829" s="28"/>
    </row>
    <row r="830" spans="6:12" ht="12" customHeight="1">
      <c r="F830" s="28"/>
      <c r="G830" s="28"/>
      <c r="H830" s="28"/>
      <c r="I830" s="28"/>
      <c r="J830" s="28"/>
      <c r="K830" s="28"/>
      <c r="L830" s="28"/>
    </row>
    <row r="831" spans="6:12" ht="12" customHeight="1">
      <c r="F831" s="28"/>
      <c r="G831" s="28"/>
      <c r="H831" s="28"/>
      <c r="I831" s="28"/>
      <c r="J831" s="28"/>
      <c r="K831" s="28"/>
      <c r="L831" s="28"/>
    </row>
    <row r="832" spans="6:12" ht="12" customHeight="1">
      <c r="F832" s="28"/>
      <c r="G832" s="28"/>
      <c r="H832" s="28"/>
      <c r="I832" s="28"/>
      <c r="J832" s="28"/>
      <c r="K832" s="28"/>
      <c r="L832" s="28"/>
    </row>
    <row r="833" spans="6:12" ht="12" customHeight="1">
      <c r="F833" s="28"/>
      <c r="G833" s="28"/>
      <c r="H833" s="28"/>
      <c r="I833" s="28"/>
      <c r="J833" s="28"/>
      <c r="K833" s="28"/>
      <c r="L833" s="28"/>
    </row>
    <row r="834" spans="6:12" ht="12" customHeight="1">
      <c r="F834" s="28"/>
      <c r="G834" s="28"/>
      <c r="H834" s="28"/>
      <c r="I834" s="28"/>
      <c r="J834" s="28"/>
      <c r="K834" s="28"/>
      <c r="L834" s="28"/>
    </row>
    <row r="835" spans="6:12" ht="12" customHeight="1">
      <c r="F835" s="28"/>
      <c r="G835" s="28"/>
      <c r="H835" s="28"/>
      <c r="I835" s="28"/>
      <c r="J835" s="28"/>
      <c r="K835" s="28"/>
      <c r="L835" s="28"/>
    </row>
    <row r="836" spans="6:12" ht="12" customHeight="1">
      <c r="F836" s="28"/>
      <c r="G836" s="28"/>
      <c r="H836" s="28"/>
      <c r="I836" s="28"/>
      <c r="J836" s="28"/>
      <c r="K836" s="28"/>
      <c r="L836" s="28"/>
    </row>
    <row r="837" spans="6:12" ht="12" customHeight="1">
      <c r="F837" s="28"/>
      <c r="G837" s="28"/>
      <c r="H837" s="28"/>
      <c r="I837" s="28"/>
      <c r="J837" s="28"/>
      <c r="K837" s="28"/>
      <c r="L837" s="28"/>
    </row>
    <row r="838" spans="6:12" ht="12" customHeight="1">
      <c r="F838" s="28"/>
      <c r="G838" s="28"/>
      <c r="H838" s="28"/>
      <c r="I838" s="28"/>
      <c r="J838" s="28"/>
      <c r="K838" s="28"/>
      <c r="L838" s="28"/>
    </row>
    <row r="839" spans="6:12" ht="12" customHeight="1">
      <c r="F839" s="28"/>
      <c r="G839" s="28"/>
      <c r="H839" s="28"/>
      <c r="I839" s="28"/>
      <c r="J839" s="28"/>
      <c r="K839" s="28"/>
      <c r="L839" s="28"/>
    </row>
    <row r="840" spans="6:12" ht="12" customHeight="1">
      <c r="F840" s="28"/>
      <c r="G840" s="28"/>
      <c r="H840" s="28"/>
      <c r="I840" s="28"/>
      <c r="J840" s="28"/>
      <c r="K840" s="28"/>
      <c r="L840" s="28"/>
    </row>
    <row r="841" spans="6:12" ht="12" customHeight="1">
      <c r="F841" s="28"/>
      <c r="G841" s="28"/>
      <c r="H841" s="28"/>
      <c r="I841" s="28"/>
      <c r="J841" s="28"/>
      <c r="K841" s="28"/>
      <c r="L841" s="28"/>
    </row>
    <row r="842" spans="6:12" ht="12" customHeight="1">
      <c r="F842" s="28"/>
      <c r="G842" s="28"/>
      <c r="H842" s="28"/>
      <c r="I842" s="28"/>
      <c r="J842" s="28"/>
      <c r="K842" s="28"/>
      <c r="L842" s="28"/>
    </row>
    <row r="843" spans="6:12" ht="12" customHeight="1">
      <c r="F843" s="28"/>
      <c r="G843" s="28"/>
      <c r="H843" s="28"/>
      <c r="I843" s="28"/>
      <c r="J843" s="28"/>
      <c r="K843" s="28"/>
      <c r="L843" s="28"/>
    </row>
    <row r="844" spans="6:12" ht="12" customHeight="1">
      <c r="F844" s="28"/>
      <c r="G844" s="28"/>
      <c r="H844" s="28"/>
      <c r="I844" s="28"/>
      <c r="J844" s="28"/>
      <c r="K844" s="28"/>
      <c r="L844" s="28"/>
    </row>
    <row r="845" spans="6:12" ht="12" customHeight="1">
      <c r="F845" s="28"/>
      <c r="G845" s="28"/>
      <c r="H845" s="28"/>
      <c r="I845" s="28"/>
      <c r="J845" s="28"/>
      <c r="K845" s="28"/>
      <c r="L845" s="28"/>
    </row>
    <row r="846" spans="6:12" ht="12" customHeight="1">
      <c r="F846" s="28"/>
      <c r="G846" s="28"/>
      <c r="H846" s="28"/>
      <c r="I846" s="28"/>
      <c r="J846" s="28"/>
      <c r="K846" s="28"/>
      <c r="L846" s="28"/>
    </row>
    <row r="847" spans="6:12" ht="12" customHeight="1">
      <c r="F847" s="28"/>
      <c r="G847" s="28"/>
      <c r="H847" s="28"/>
      <c r="I847" s="28"/>
      <c r="J847" s="28"/>
      <c r="K847" s="28"/>
      <c r="L847" s="28"/>
    </row>
    <row r="848" spans="6:12" ht="12" customHeight="1">
      <c r="F848" s="28"/>
      <c r="G848" s="28"/>
      <c r="H848" s="28"/>
      <c r="I848" s="28"/>
      <c r="J848" s="28"/>
      <c r="K848" s="28"/>
      <c r="L848" s="28"/>
    </row>
    <row r="849" spans="6:12" ht="12" customHeight="1">
      <c r="F849" s="28"/>
      <c r="G849" s="28"/>
      <c r="H849" s="28"/>
      <c r="I849" s="28"/>
      <c r="J849" s="28"/>
      <c r="K849" s="28"/>
      <c r="L849" s="28"/>
    </row>
    <row r="850" spans="6:12" ht="12" customHeight="1">
      <c r="F850" s="28"/>
      <c r="G850" s="28"/>
      <c r="H850" s="28"/>
      <c r="I850" s="28"/>
      <c r="J850" s="28"/>
      <c r="K850" s="28"/>
      <c r="L850" s="28"/>
    </row>
    <row r="851" spans="6:12" ht="12" customHeight="1">
      <c r="F851" s="28"/>
      <c r="G851" s="28"/>
      <c r="H851" s="28"/>
      <c r="I851" s="28"/>
      <c r="J851" s="28"/>
      <c r="K851" s="28"/>
      <c r="L851" s="28"/>
    </row>
    <row r="852" spans="6:12" ht="12" customHeight="1">
      <c r="F852" s="28"/>
      <c r="G852" s="28"/>
      <c r="H852" s="28"/>
      <c r="I852" s="28"/>
      <c r="J852" s="28"/>
      <c r="K852" s="28"/>
      <c r="L852" s="28"/>
    </row>
    <row r="853" spans="6:12" ht="12" customHeight="1">
      <c r="F853" s="28"/>
      <c r="G853" s="28"/>
      <c r="H853" s="28"/>
      <c r="I853" s="28"/>
      <c r="J853" s="28"/>
      <c r="K853" s="28"/>
      <c r="L853" s="28"/>
    </row>
    <row r="854" spans="6:12" ht="12" customHeight="1">
      <c r="F854" s="28"/>
      <c r="G854" s="28"/>
      <c r="H854" s="28"/>
      <c r="I854" s="28"/>
      <c r="J854" s="28"/>
      <c r="K854" s="28"/>
      <c r="L854" s="28"/>
    </row>
    <row r="855" spans="6:12" ht="12" customHeight="1">
      <c r="F855" s="28"/>
      <c r="G855" s="28"/>
      <c r="H855" s="28"/>
      <c r="I855" s="28"/>
      <c r="J855" s="28"/>
      <c r="K855" s="28"/>
      <c r="L855" s="28"/>
    </row>
    <row r="856" spans="6:12" ht="12" customHeight="1">
      <c r="F856" s="28"/>
      <c r="G856" s="28"/>
      <c r="H856" s="28"/>
      <c r="I856" s="28"/>
      <c r="J856" s="28"/>
      <c r="K856" s="28"/>
      <c r="L856" s="28"/>
    </row>
    <row r="857" spans="6:12" ht="12" customHeight="1">
      <c r="F857" s="28"/>
      <c r="G857" s="28"/>
      <c r="H857" s="28"/>
      <c r="I857" s="28"/>
      <c r="J857" s="28"/>
      <c r="K857" s="28"/>
      <c r="L857" s="28"/>
    </row>
    <row r="858" spans="6:12" ht="12" customHeight="1">
      <c r="F858" s="28"/>
      <c r="G858" s="28"/>
      <c r="H858" s="28"/>
      <c r="I858" s="28"/>
      <c r="J858" s="28"/>
      <c r="K858" s="28"/>
      <c r="L858" s="28"/>
    </row>
    <row r="859" spans="6:12" ht="12" customHeight="1">
      <c r="F859" s="28"/>
      <c r="G859" s="28"/>
      <c r="H859" s="28"/>
      <c r="I859" s="28"/>
      <c r="J859" s="28"/>
      <c r="K859" s="28"/>
      <c r="L859" s="28"/>
    </row>
    <row r="860" spans="6:12" ht="12" customHeight="1">
      <c r="F860" s="28"/>
      <c r="G860" s="28"/>
      <c r="H860" s="28"/>
      <c r="I860" s="28"/>
      <c r="J860" s="28"/>
      <c r="K860" s="28"/>
      <c r="L860" s="28"/>
    </row>
    <row r="861" spans="6:12" ht="12" customHeight="1">
      <c r="F861" s="28"/>
      <c r="G861" s="28"/>
      <c r="H861" s="28"/>
      <c r="I861" s="28"/>
      <c r="J861" s="28"/>
      <c r="K861" s="28"/>
      <c r="L861" s="28"/>
    </row>
    <row r="862" spans="6:12" ht="12" customHeight="1">
      <c r="F862" s="28"/>
      <c r="G862" s="28"/>
      <c r="H862" s="28"/>
      <c r="I862" s="28"/>
      <c r="J862" s="28"/>
      <c r="K862" s="28"/>
      <c r="L862" s="28"/>
    </row>
    <row r="863" spans="6:12" ht="12" customHeight="1">
      <c r="F863" s="28"/>
      <c r="G863" s="28"/>
      <c r="H863" s="28"/>
      <c r="I863" s="28"/>
      <c r="J863" s="28"/>
      <c r="K863" s="28"/>
      <c r="L863" s="28"/>
    </row>
    <row r="864" spans="6:12" ht="12" customHeight="1">
      <c r="F864" s="28"/>
      <c r="G864" s="28"/>
      <c r="H864" s="28"/>
      <c r="I864" s="28"/>
      <c r="J864" s="28"/>
      <c r="K864" s="28"/>
      <c r="L864" s="28"/>
    </row>
    <row r="865" spans="6:12" ht="12" customHeight="1">
      <c r="F865" s="28"/>
      <c r="G865" s="28"/>
      <c r="H865" s="28"/>
      <c r="I865" s="28"/>
      <c r="J865" s="28"/>
      <c r="K865" s="28"/>
      <c r="L865" s="28"/>
    </row>
    <row r="866" spans="6:12" ht="12" customHeight="1">
      <c r="F866" s="28"/>
      <c r="G866" s="28"/>
      <c r="H866" s="28"/>
      <c r="I866" s="28"/>
      <c r="J866" s="28"/>
      <c r="K866" s="28"/>
      <c r="L866" s="28"/>
    </row>
    <row r="867" spans="6:12" ht="12" customHeight="1">
      <c r="F867" s="28"/>
      <c r="G867" s="28"/>
      <c r="H867" s="28"/>
      <c r="I867" s="28"/>
      <c r="J867" s="28"/>
      <c r="K867" s="28"/>
      <c r="L867" s="28"/>
    </row>
    <row r="868" spans="6:12" ht="12" customHeight="1">
      <c r="F868" s="28"/>
      <c r="G868" s="28"/>
      <c r="H868" s="28"/>
      <c r="I868" s="28"/>
      <c r="J868" s="28"/>
      <c r="K868" s="28"/>
      <c r="L868" s="28"/>
    </row>
    <row r="869" spans="6:12" ht="12" customHeight="1">
      <c r="F869" s="28"/>
      <c r="G869" s="28"/>
      <c r="H869" s="28"/>
      <c r="I869" s="28"/>
      <c r="J869" s="28"/>
      <c r="K869" s="28"/>
      <c r="L869" s="28"/>
    </row>
    <row r="870" spans="6:12" ht="12" customHeight="1">
      <c r="F870" s="28"/>
      <c r="G870" s="28"/>
      <c r="H870" s="28"/>
      <c r="I870" s="28"/>
      <c r="J870" s="28"/>
      <c r="K870" s="28"/>
      <c r="L870" s="28"/>
    </row>
    <row r="871" spans="6:12" ht="12" customHeight="1">
      <c r="F871" s="28"/>
      <c r="G871" s="28"/>
      <c r="H871" s="28"/>
      <c r="I871" s="28"/>
      <c r="J871" s="28"/>
      <c r="K871" s="28"/>
      <c r="L871" s="28"/>
    </row>
    <row r="872" spans="6:12" ht="12" customHeight="1">
      <c r="F872" s="28"/>
      <c r="G872" s="28"/>
      <c r="H872" s="28"/>
      <c r="I872" s="28"/>
      <c r="J872" s="28"/>
      <c r="K872" s="28"/>
      <c r="L872" s="28"/>
    </row>
    <row r="873" spans="6:12" ht="12" customHeight="1">
      <c r="F873" s="28"/>
      <c r="G873" s="28"/>
      <c r="H873" s="28"/>
      <c r="I873" s="28"/>
      <c r="J873" s="28"/>
      <c r="K873" s="28"/>
      <c r="L873" s="28"/>
    </row>
    <row r="874" spans="6:12" ht="12" customHeight="1">
      <c r="F874" s="28"/>
      <c r="G874" s="28"/>
      <c r="H874" s="28"/>
      <c r="I874" s="28"/>
      <c r="J874" s="28"/>
      <c r="K874" s="28"/>
      <c r="L874" s="28"/>
    </row>
    <row r="875" spans="6:12" ht="12" customHeight="1">
      <c r="F875" s="28"/>
      <c r="G875" s="28"/>
      <c r="H875" s="28"/>
      <c r="I875" s="28"/>
      <c r="J875" s="28"/>
      <c r="K875" s="28"/>
      <c r="L875" s="28"/>
    </row>
    <row r="876" spans="6:12" ht="12" customHeight="1">
      <c r="F876" s="28"/>
      <c r="G876" s="28"/>
      <c r="H876" s="28"/>
      <c r="I876" s="28"/>
      <c r="J876" s="28"/>
      <c r="K876" s="28"/>
      <c r="L876" s="28"/>
    </row>
    <row r="877" spans="6:12" ht="12" customHeight="1">
      <c r="F877" s="28"/>
      <c r="G877" s="28"/>
      <c r="H877" s="28"/>
      <c r="I877" s="28"/>
      <c r="J877" s="28"/>
      <c r="K877" s="28"/>
      <c r="L877" s="28"/>
    </row>
    <row r="878" spans="6:12" ht="12" customHeight="1">
      <c r="F878" s="28"/>
      <c r="G878" s="28"/>
      <c r="H878" s="28"/>
      <c r="I878" s="28"/>
      <c r="J878" s="28"/>
      <c r="K878" s="28"/>
      <c r="L878" s="28"/>
    </row>
    <row r="879" spans="6:12" ht="12" customHeight="1">
      <c r="F879" s="28"/>
      <c r="G879" s="28"/>
      <c r="H879" s="28"/>
      <c r="I879" s="28"/>
      <c r="J879" s="28"/>
      <c r="K879" s="28"/>
      <c r="L879" s="28"/>
    </row>
    <row r="880" spans="6:12" ht="12" customHeight="1">
      <c r="F880" s="28"/>
      <c r="G880" s="28"/>
      <c r="H880" s="28"/>
      <c r="I880" s="28"/>
      <c r="J880" s="28"/>
      <c r="K880" s="28"/>
      <c r="L880" s="28"/>
    </row>
    <row r="881" spans="6:12" ht="12" customHeight="1">
      <c r="F881" s="28"/>
      <c r="G881" s="28"/>
      <c r="H881" s="28"/>
      <c r="I881" s="28"/>
      <c r="J881" s="28"/>
      <c r="K881" s="28"/>
      <c r="L881" s="28"/>
    </row>
    <row r="882" spans="6:12" ht="12" customHeight="1">
      <c r="F882" s="28"/>
      <c r="G882" s="28"/>
      <c r="H882" s="28"/>
      <c r="I882" s="28"/>
      <c r="J882" s="28"/>
      <c r="K882" s="28"/>
      <c r="L882" s="28"/>
    </row>
    <row r="883" spans="6:12" ht="12" customHeight="1">
      <c r="F883" s="28"/>
      <c r="G883" s="28"/>
      <c r="H883" s="28"/>
      <c r="I883" s="28"/>
      <c r="J883" s="28"/>
      <c r="K883" s="28"/>
      <c r="L883" s="28"/>
    </row>
    <row r="884" spans="6:12" ht="12" customHeight="1">
      <c r="F884" s="28"/>
      <c r="G884" s="28"/>
      <c r="H884" s="28"/>
      <c r="I884" s="28"/>
      <c r="J884" s="28"/>
      <c r="K884" s="28"/>
      <c r="L884" s="28"/>
    </row>
    <row r="885" spans="6:12" ht="12" customHeight="1">
      <c r="F885" s="28"/>
      <c r="G885" s="28"/>
      <c r="H885" s="28"/>
      <c r="I885" s="28"/>
      <c r="J885" s="28"/>
      <c r="K885" s="28"/>
      <c r="L885" s="28"/>
    </row>
    <row r="886" spans="6:12" ht="12" customHeight="1">
      <c r="F886" s="28"/>
      <c r="G886" s="28"/>
      <c r="H886" s="28"/>
      <c r="I886" s="28"/>
      <c r="J886" s="28"/>
      <c r="K886" s="28"/>
      <c r="L886" s="28"/>
    </row>
    <row r="887" spans="6:12" ht="12" customHeight="1">
      <c r="F887" s="28"/>
      <c r="G887" s="28"/>
      <c r="H887" s="28"/>
      <c r="I887" s="28"/>
      <c r="J887" s="28"/>
      <c r="K887" s="28"/>
      <c r="L887" s="28"/>
    </row>
    <row r="888" spans="6:12" ht="12" customHeight="1">
      <c r="F888" s="28"/>
      <c r="G888" s="28"/>
      <c r="H888" s="28"/>
      <c r="I888" s="28"/>
      <c r="J888" s="28"/>
      <c r="K888" s="28"/>
      <c r="L888" s="28"/>
    </row>
    <row r="889" spans="6:12" ht="12" customHeight="1">
      <c r="F889" s="28"/>
      <c r="G889" s="28"/>
      <c r="H889" s="28"/>
      <c r="I889" s="28"/>
      <c r="J889" s="28"/>
      <c r="K889" s="28"/>
      <c r="L889" s="28"/>
    </row>
    <row r="890" spans="6:12" ht="12" customHeight="1">
      <c r="F890" s="28"/>
      <c r="G890" s="28"/>
      <c r="H890" s="28"/>
      <c r="I890" s="28"/>
      <c r="J890" s="28"/>
      <c r="K890" s="28"/>
      <c r="L890" s="28"/>
    </row>
    <row r="891" spans="6:12" ht="12" customHeight="1">
      <c r="F891" s="28"/>
      <c r="G891" s="28"/>
      <c r="H891" s="28"/>
      <c r="I891" s="28"/>
      <c r="J891" s="28"/>
      <c r="K891" s="28"/>
      <c r="L891" s="28"/>
    </row>
    <row r="892" spans="6:12" ht="12" customHeight="1">
      <c r="F892" s="28"/>
      <c r="G892" s="28"/>
      <c r="H892" s="28"/>
      <c r="I892" s="28"/>
      <c r="J892" s="28"/>
      <c r="K892" s="28"/>
      <c r="L892" s="28"/>
    </row>
    <row r="893" spans="6:12" ht="12" customHeight="1">
      <c r="F893" s="28"/>
      <c r="G893" s="28"/>
      <c r="H893" s="28"/>
      <c r="I893" s="28"/>
      <c r="J893" s="28"/>
      <c r="K893" s="28"/>
      <c r="L893" s="28"/>
    </row>
    <row r="894" spans="6:12" ht="12" customHeight="1">
      <c r="F894" s="28"/>
      <c r="G894" s="28"/>
      <c r="H894" s="28"/>
      <c r="I894" s="28"/>
      <c r="J894" s="28"/>
      <c r="K894" s="28"/>
      <c r="L894" s="28"/>
    </row>
    <row r="895" spans="6:12" ht="12" customHeight="1">
      <c r="F895" s="28"/>
      <c r="G895" s="28"/>
      <c r="H895" s="28"/>
      <c r="I895" s="28"/>
      <c r="J895" s="28"/>
      <c r="K895" s="28"/>
      <c r="L895" s="28"/>
    </row>
    <row r="896" spans="6:12" ht="12" customHeight="1">
      <c r="F896" s="28"/>
      <c r="G896" s="28"/>
      <c r="H896" s="28"/>
      <c r="I896" s="28"/>
      <c r="J896" s="28"/>
      <c r="K896" s="28"/>
      <c r="L896" s="28"/>
    </row>
    <row r="897" spans="6:12" ht="12" customHeight="1">
      <c r="F897" s="28"/>
      <c r="G897" s="28"/>
      <c r="H897" s="28"/>
      <c r="I897" s="28"/>
      <c r="J897" s="28"/>
      <c r="K897" s="28"/>
      <c r="L897" s="28"/>
    </row>
    <row r="898" spans="6:12" ht="12" customHeight="1">
      <c r="F898" s="28"/>
      <c r="G898" s="28"/>
      <c r="H898" s="28"/>
      <c r="I898" s="28"/>
      <c r="J898" s="28"/>
      <c r="K898" s="28"/>
      <c r="L898" s="28"/>
    </row>
    <row r="899" spans="6:12" ht="12" customHeight="1">
      <c r="F899" s="28"/>
      <c r="G899" s="28"/>
      <c r="H899" s="28"/>
      <c r="I899" s="28"/>
      <c r="J899" s="28"/>
      <c r="K899" s="28"/>
      <c r="L899" s="28"/>
    </row>
    <row r="900" spans="6:12" ht="12" customHeight="1">
      <c r="F900" s="28"/>
      <c r="G900" s="28"/>
      <c r="H900" s="28"/>
      <c r="I900" s="28"/>
      <c r="J900" s="28"/>
      <c r="K900" s="28"/>
      <c r="L900" s="28"/>
    </row>
    <row r="901" spans="6:12" ht="12" customHeight="1">
      <c r="F901" s="28"/>
      <c r="G901" s="28"/>
      <c r="H901" s="28"/>
      <c r="I901" s="28"/>
      <c r="J901" s="28"/>
      <c r="K901" s="28"/>
      <c r="L901" s="28"/>
    </row>
    <row r="902" spans="6:12" ht="12" customHeight="1">
      <c r="F902" s="28"/>
      <c r="G902" s="28"/>
      <c r="H902" s="28"/>
      <c r="I902" s="28"/>
      <c r="J902" s="28"/>
      <c r="K902" s="28"/>
      <c r="L902" s="28"/>
    </row>
    <row r="903" spans="6:12" ht="12" customHeight="1">
      <c r="F903" s="28"/>
      <c r="G903" s="28"/>
      <c r="H903" s="28"/>
      <c r="I903" s="28"/>
      <c r="J903" s="28"/>
      <c r="K903" s="28"/>
      <c r="L903" s="28"/>
    </row>
    <row r="904" spans="6:12" ht="12" customHeight="1">
      <c r="F904" s="28"/>
      <c r="G904" s="28"/>
      <c r="H904" s="28"/>
      <c r="I904" s="28"/>
      <c r="J904" s="28"/>
      <c r="K904" s="28"/>
      <c r="L904" s="28"/>
    </row>
    <row r="905" spans="6:12" ht="12" customHeight="1">
      <c r="F905" s="28"/>
      <c r="G905" s="28"/>
      <c r="H905" s="28"/>
      <c r="I905" s="28"/>
      <c r="J905" s="28"/>
      <c r="K905" s="28"/>
      <c r="L905" s="28"/>
    </row>
    <row r="906" spans="6:12" ht="12" customHeight="1">
      <c r="F906" s="28"/>
      <c r="G906" s="28"/>
      <c r="H906" s="28"/>
      <c r="I906" s="28"/>
      <c r="J906" s="28"/>
      <c r="K906" s="28"/>
      <c r="L906" s="28"/>
    </row>
    <row r="907" spans="6:12" ht="12" customHeight="1">
      <c r="F907" s="28"/>
      <c r="G907" s="28"/>
      <c r="H907" s="28"/>
      <c r="I907" s="28"/>
      <c r="J907" s="28"/>
      <c r="K907" s="28"/>
      <c r="L907" s="28"/>
    </row>
    <row r="908" spans="6:12" ht="12" customHeight="1">
      <c r="F908" s="28"/>
      <c r="G908" s="28"/>
      <c r="H908" s="28"/>
      <c r="I908" s="28"/>
      <c r="J908" s="28"/>
      <c r="K908" s="28"/>
      <c r="L908" s="28"/>
    </row>
    <row r="909" spans="6:12" ht="12" customHeight="1">
      <c r="F909" s="28"/>
      <c r="G909" s="28"/>
      <c r="H909" s="28"/>
      <c r="I909" s="28"/>
      <c r="J909" s="28"/>
      <c r="K909" s="28"/>
      <c r="L909" s="28"/>
    </row>
    <row r="910" spans="6:12" ht="12" customHeight="1">
      <c r="F910" s="28"/>
      <c r="G910" s="28"/>
      <c r="H910" s="28"/>
      <c r="I910" s="28"/>
      <c r="J910" s="28"/>
      <c r="K910" s="28"/>
      <c r="L910" s="28"/>
    </row>
    <row r="911" spans="6:12" ht="12" customHeight="1">
      <c r="F911" s="28"/>
      <c r="G911" s="28"/>
      <c r="H911" s="28"/>
      <c r="I911" s="28"/>
      <c r="J911" s="28"/>
      <c r="K911" s="28"/>
      <c r="L911" s="28"/>
    </row>
    <row r="912" spans="6:12" ht="12" customHeight="1">
      <c r="F912" s="28"/>
      <c r="G912" s="28"/>
      <c r="H912" s="28"/>
      <c r="I912" s="28"/>
      <c r="J912" s="28"/>
      <c r="K912" s="28"/>
      <c r="L912" s="28"/>
    </row>
    <row r="913" spans="6:12" ht="12" customHeight="1">
      <c r="F913" s="28"/>
      <c r="G913" s="28"/>
      <c r="H913" s="28"/>
      <c r="I913" s="28"/>
      <c r="J913" s="28"/>
      <c r="K913" s="28"/>
      <c r="L913" s="28"/>
    </row>
    <row r="914" spans="6:12" ht="12" customHeight="1">
      <c r="F914" s="28"/>
      <c r="G914" s="28"/>
      <c r="H914" s="28"/>
      <c r="I914" s="28"/>
      <c r="J914" s="28"/>
      <c r="K914" s="28"/>
      <c r="L914" s="28"/>
    </row>
    <row r="915" spans="6:12" ht="12" customHeight="1">
      <c r="F915" s="28"/>
      <c r="G915" s="28"/>
      <c r="H915" s="28"/>
      <c r="I915" s="28"/>
      <c r="J915" s="28"/>
      <c r="K915" s="28"/>
      <c r="L915" s="28"/>
    </row>
    <row r="916" spans="6:12" ht="12" customHeight="1">
      <c r="F916" s="28"/>
      <c r="G916" s="28"/>
      <c r="H916" s="28"/>
      <c r="I916" s="28"/>
      <c r="J916" s="28"/>
      <c r="K916" s="28"/>
      <c r="L916" s="28"/>
    </row>
    <row r="917" spans="6:12" ht="12" customHeight="1">
      <c r="F917" s="28"/>
      <c r="G917" s="28"/>
      <c r="H917" s="28"/>
      <c r="I917" s="28"/>
      <c r="J917" s="28"/>
      <c r="K917" s="28"/>
      <c r="L917" s="28"/>
    </row>
    <row r="918" spans="6:12" ht="12" customHeight="1">
      <c r="F918" s="28"/>
      <c r="G918" s="28"/>
      <c r="H918" s="28"/>
      <c r="I918" s="28"/>
      <c r="J918" s="28"/>
      <c r="K918" s="28"/>
      <c r="L918" s="28"/>
    </row>
    <row r="919" spans="6:12" ht="12" customHeight="1">
      <c r="F919" s="28"/>
      <c r="G919" s="28"/>
      <c r="H919" s="28"/>
      <c r="I919" s="28"/>
      <c r="J919" s="28"/>
      <c r="K919" s="28"/>
      <c r="L919" s="28"/>
    </row>
    <row r="920" spans="6:12" ht="12" customHeight="1">
      <c r="F920" s="28"/>
      <c r="G920" s="28"/>
      <c r="H920" s="28"/>
      <c r="I920" s="28"/>
      <c r="J920" s="28"/>
      <c r="K920" s="28"/>
      <c r="L920" s="28"/>
    </row>
    <row r="921" spans="6:12" ht="12" customHeight="1">
      <c r="F921" s="28"/>
      <c r="G921" s="28"/>
      <c r="H921" s="28"/>
      <c r="I921" s="28"/>
      <c r="J921" s="28"/>
      <c r="K921" s="28"/>
      <c r="L921" s="28"/>
    </row>
    <row r="922" spans="6:12" ht="12" customHeight="1">
      <c r="F922" s="28"/>
      <c r="G922" s="28"/>
      <c r="H922" s="28"/>
      <c r="I922" s="28"/>
      <c r="J922" s="28"/>
      <c r="K922" s="28"/>
      <c r="L922" s="28"/>
    </row>
    <row r="923" spans="6:12" ht="12" customHeight="1">
      <c r="F923" s="28"/>
      <c r="G923" s="28"/>
      <c r="H923" s="28"/>
      <c r="I923" s="28"/>
      <c r="J923" s="28"/>
      <c r="K923" s="28"/>
      <c r="L923" s="28"/>
    </row>
    <row r="924" spans="6:12" ht="12" customHeight="1">
      <c r="F924" s="28"/>
      <c r="G924" s="28"/>
      <c r="H924" s="28"/>
      <c r="I924" s="28"/>
      <c r="J924" s="28"/>
      <c r="K924" s="28"/>
      <c r="L924" s="28"/>
    </row>
    <row r="925" spans="6:12" ht="12" customHeight="1">
      <c r="F925" s="28"/>
      <c r="G925" s="28"/>
      <c r="H925" s="28"/>
      <c r="I925" s="28"/>
      <c r="J925" s="28"/>
      <c r="K925" s="28"/>
      <c r="L925" s="28"/>
    </row>
    <row r="926" spans="6:12" ht="12" customHeight="1">
      <c r="F926" s="28"/>
      <c r="G926" s="28"/>
      <c r="H926" s="28"/>
      <c r="I926" s="28"/>
      <c r="J926" s="28"/>
      <c r="K926" s="28"/>
      <c r="L926" s="28"/>
    </row>
    <row r="927" spans="6:12" ht="12" customHeight="1">
      <c r="F927" s="28"/>
      <c r="G927" s="28"/>
      <c r="H927" s="28"/>
      <c r="I927" s="28"/>
      <c r="J927" s="28"/>
      <c r="K927" s="28"/>
      <c r="L927" s="28"/>
    </row>
    <row r="928" spans="6:12" ht="12" customHeight="1">
      <c r="F928" s="28"/>
      <c r="G928" s="28"/>
      <c r="H928" s="28"/>
      <c r="I928" s="28"/>
      <c r="J928" s="28"/>
      <c r="K928" s="28"/>
      <c r="L928" s="28"/>
    </row>
    <row r="929" spans="6:12" ht="12" customHeight="1">
      <c r="F929" s="28"/>
      <c r="G929" s="28"/>
      <c r="H929" s="28"/>
      <c r="I929" s="28"/>
      <c r="J929" s="28"/>
      <c r="K929" s="28"/>
      <c r="L929" s="28"/>
    </row>
    <row r="930" spans="6:12" ht="12" customHeight="1">
      <c r="F930" s="28"/>
      <c r="G930" s="28"/>
      <c r="H930" s="28"/>
      <c r="I930" s="28"/>
      <c r="J930" s="28"/>
      <c r="K930" s="28"/>
      <c r="L930" s="28"/>
    </row>
    <row r="931" spans="6:12" ht="12" customHeight="1">
      <c r="F931" s="28"/>
      <c r="G931" s="28"/>
      <c r="H931" s="28"/>
      <c r="I931" s="28"/>
      <c r="J931" s="28"/>
      <c r="K931" s="28"/>
      <c r="L931" s="28"/>
    </row>
    <row r="932" spans="6:12" ht="12" customHeight="1">
      <c r="F932" s="28"/>
      <c r="G932" s="28"/>
      <c r="H932" s="28"/>
      <c r="I932" s="28"/>
      <c r="J932" s="28"/>
      <c r="K932" s="28"/>
      <c r="L932" s="28"/>
    </row>
    <row r="933" spans="6:12" ht="12" customHeight="1">
      <c r="F933" s="28"/>
      <c r="G933" s="28"/>
      <c r="H933" s="28"/>
      <c r="I933" s="28"/>
      <c r="J933" s="28"/>
      <c r="K933" s="28"/>
      <c r="L933" s="28"/>
    </row>
    <row r="934" spans="6:12" ht="12" customHeight="1">
      <c r="F934" s="28"/>
      <c r="G934" s="28"/>
      <c r="H934" s="28"/>
      <c r="I934" s="28"/>
      <c r="J934" s="28"/>
      <c r="K934" s="28"/>
      <c r="L934" s="28"/>
    </row>
    <row r="935" spans="6:12" ht="12" customHeight="1">
      <c r="F935" s="28"/>
      <c r="G935" s="28"/>
      <c r="H935" s="28"/>
      <c r="I935" s="28"/>
      <c r="J935" s="28"/>
      <c r="K935" s="28"/>
      <c r="L935" s="28"/>
    </row>
    <row r="936" spans="6:12" ht="12" customHeight="1">
      <c r="F936" s="28"/>
      <c r="G936" s="28"/>
      <c r="H936" s="28"/>
      <c r="I936" s="28"/>
      <c r="J936" s="28"/>
      <c r="K936" s="28"/>
      <c r="L936" s="28"/>
    </row>
    <row r="937" spans="6:12" ht="12" customHeight="1">
      <c r="F937" s="28"/>
      <c r="G937" s="28"/>
      <c r="H937" s="28"/>
      <c r="I937" s="28"/>
      <c r="J937" s="28"/>
      <c r="K937" s="28"/>
      <c r="L937" s="28"/>
    </row>
    <row r="938" spans="6:12" ht="12" customHeight="1">
      <c r="F938" s="28"/>
      <c r="G938" s="28"/>
      <c r="H938" s="28"/>
      <c r="I938" s="28"/>
      <c r="J938" s="28"/>
      <c r="K938" s="28"/>
      <c r="L938" s="28"/>
    </row>
    <row r="939" spans="6:12" ht="12" customHeight="1">
      <c r="F939" s="28"/>
      <c r="G939" s="28"/>
      <c r="H939" s="28"/>
      <c r="I939" s="28"/>
      <c r="J939" s="28"/>
      <c r="K939" s="28"/>
      <c r="L939" s="28"/>
    </row>
    <row r="940" spans="6:12" ht="12" customHeight="1">
      <c r="F940" s="28"/>
      <c r="G940" s="28"/>
      <c r="H940" s="28"/>
      <c r="I940" s="28"/>
      <c r="J940" s="28"/>
      <c r="K940" s="28"/>
      <c r="L940" s="28"/>
    </row>
    <row r="941" spans="6:12" ht="12" customHeight="1">
      <c r="F941" s="28"/>
      <c r="G941" s="28"/>
      <c r="H941" s="28"/>
      <c r="I941" s="28"/>
      <c r="J941" s="28"/>
      <c r="K941" s="28"/>
      <c r="L941" s="28"/>
    </row>
    <row r="942" spans="6:12" ht="12" customHeight="1">
      <c r="F942" s="28"/>
      <c r="G942" s="28"/>
      <c r="H942" s="28"/>
      <c r="I942" s="28"/>
      <c r="J942" s="28"/>
      <c r="K942" s="28"/>
      <c r="L942" s="28"/>
    </row>
    <row r="943" spans="6:12" ht="12" customHeight="1">
      <c r="F943" s="28"/>
      <c r="G943" s="28"/>
      <c r="H943" s="28"/>
      <c r="I943" s="28"/>
      <c r="J943" s="28"/>
      <c r="K943" s="28"/>
      <c r="L943" s="28"/>
    </row>
    <row r="944" spans="6:12" ht="12" customHeight="1">
      <c r="F944" s="28"/>
      <c r="G944" s="28"/>
      <c r="H944" s="28"/>
      <c r="I944" s="28"/>
      <c r="J944" s="28"/>
      <c r="K944" s="28"/>
      <c r="L944" s="28"/>
    </row>
    <row r="945" spans="6:12" ht="12" customHeight="1">
      <c r="F945" s="28"/>
      <c r="G945" s="28"/>
      <c r="H945" s="28"/>
      <c r="I945" s="28"/>
      <c r="J945" s="28"/>
      <c r="K945" s="28"/>
      <c r="L945" s="28"/>
    </row>
    <row r="946" spans="6:12" ht="12" customHeight="1">
      <c r="F946" s="28"/>
      <c r="G946" s="28"/>
      <c r="H946" s="28"/>
      <c r="I946" s="28"/>
      <c r="J946" s="28"/>
      <c r="K946" s="28"/>
      <c r="L946" s="28"/>
    </row>
    <row r="947" spans="6:12" ht="12" customHeight="1">
      <c r="F947" s="28"/>
      <c r="G947" s="28"/>
      <c r="H947" s="28"/>
      <c r="I947" s="28"/>
      <c r="J947" s="28"/>
      <c r="K947" s="28"/>
      <c r="L947" s="28"/>
    </row>
    <row r="948" spans="6:12" ht="12" customHeight="1">
      <c r="F948" s="28"/>
      <c r="G948" s="28"/>
      <c r="H948" s="28"/>
      <c r="I948" s="28"/>
      <c r="J948" s="28"/>
      <c r="K948" s="28"/>
      <c r="L948" s="28"/>
    </row>
    <row r="949" spans="6:12" ht="12" customHeight="1">
      <c r="F949" s="28"/>
      <c r="G949" s="28"/>
      <c r="H949" s="28"/>
      <c r="I949" s="28"/>
      <c r="J949" s="28"/>
      <c r="K949" s="28"/>
      <c r="L949" s="28"/>
    </row>
    <row r="950" spans="6:12" ht="12" customHeight="1">
      <c r="F950" s="28"/>
      <c r="G950" s="28"/>
      <c r="H950" s="28"/>
      <c r="I950" s="28"/>
      <c r="J950" s="28"/>
      <c r="K950" s="28"/>
      <c r="L950" s="28"/>
    </row>
    <row r="951" spans="6:12" ht="12" customHeight="1">
      <c r="F951" s="28"/>
      <c r="G951" s="28"/>
      <c r="H951" s="28"/>
      <c r="I951" s="28"/>
      <c r="J951" s="28"/>
      <c r="K951" s="28"/>
      <c r="L951" s="28"/>
    </row>
    <row r="952" spans="6:12" ht="12" customHeight="1">
      <c r="F952" s="28"/>
      <c r="G952" s="28"/>
      <c r="H952" s="28"/>
      <c r="I952" s="28"/>
      <c r="J952" s="28"/>
      <c r="K952" s="28"/>
      <c r="L952" s="28"/>
    </row>
    <row r="953" spans="6:12" ht="12" customHeight="1">
      <c r="F953" s="28"/>
      <c r="G953" s="28"/>
      <c r="H953" s="28"/>
      <c r="I953" s="28"/>
      <c r="J953" s="28"/>
      <c r="K953" s="28"/>
      <c r="L953" s="28"/>
    </row>
    <row r="954" spans="6:12" ht="12" customHeight="1">
      <c r="F954" s="28"/>
      <c r="G954" s="28"/>
      <c r="H954" s="28"/>
      <c r="I954" s="28"/>
      <c r="J954" s="28"/>
      <c r="K954" s="28"/>
      <c r="L954" s="28"/>
    </row>
    <row r="955" spans="6:12" ht="12" customHeight="1">
      <c r="F955" s="28"/>
      <c r="G955" s="28"/>
      <c r="H955" s="28"/>
      <c r="I955" s="28"/>
      <c r="J955" s="28"/>
      <c r="K955" s="28"/>
      <c r="L955" s="28"/>
    </row>
    <row r="956" spans="6:12" ht="12" customHeight="1">
      <c r="F956" s="28"/>
      <c r="G956" s="28"/>
      <c r="H956" s="28"/>
      <c r="I956" s="28"/>
      <c r="J956" s="28"/>
      <c r="K956" s="28"/>
      <c r="L956" s="28"/>
    </row>
    <row r="957" spans="6:12" ht="12" customHeight="1">
      <c r="F957" s="28"/>
      <c r="G957" s="28"/>
      <c r="H957" s="28"/>
      <c r="I957" s="28"/>
      <c r="J957" s="28"/>
      <c r="K957" s="28"/>
      <c r="L957" s="28"/>
    </row>
    <row r="958" spans="6:12" ht="12" customHeight="1">
      <c r="F958" s="28"/>
      <c r="G958" s="28"/>
      <c r="H958" s="28"/>
      <c r="I958" s="28"/>
      <c r="J958" s="28"/>
      <c r="K958" s="28"/>
      <c r="L958" s="28"/>
    </row>
    <row r="959" spans="6:12" ht="12" customHeight="1">
      <c r="F959" s="28"/>
      <c r="G959" s="28"/>
      <c r="H959" s="28"/>
      <c r="I959" s="28"/>
      <c r="J959" s="28"/>
      <c r="K959" s="28"/>
      <c r="L959" s="28"/>
    </row>
    <row r="960" spans="6:12" ht="12" customHeight="1">
      <c r="F960" s="28"/>
      <c r="G960" s="28"/>
      <c r="H960" s="28"/>
      <c r="I960" s="28"/>
      <c r="J960" s="28"/>
      <c r="K960" s="28"/>
      <c r="L960" s="28"/>
    </row>
    <row r="961" spans="6:12" ht="12" customHeight="1">
      <c r="F961" s="28"/>
      <c r="G961" s="28"/>
      <c r="H961" s="28"/>
      <c r="I961" s="28"/>
      <c r="J961" s="28"/>
      <c r="K961" s="28"/>
      <c r="L961" s="28"/>
    </row>
    <row r="962" spans="6:12" ht="12" customHeight="1">
      <c r="F962" s="28"/>
      <c r="G962" s="28"/>
      <c r="H962" s="28"/>
      <c r="I962" s="28"/>
      <c r="J962" s="28"/>
      <c r="K962" s="28"/>
      <c r="L962" s="28"/>
    </row>
    <row r="963" spans="6:12" ht="12" customHeight="1">
      <c r="F963" s="28"/>
      <c r="G963" s="28"/>
      <c r="H963" s="28"/>
      <c r="I963" s="28"/>
      <c r="J963" s="28"/>
      <c r="K963" s="28"/>
      <c r="L963" s="28"/>
    </row>
    <row r="964" spans="6:12" ht="12" customHeight="1">
      <c r="F964" s="28"/>
      <c r="G964" s="28"/>
      <c r="H964" s="28"/>
      <c r="I964" s="28"/>
      <c r="J964" s="28"/>
      <c r="K964" s="28"/>
      <c r="L964" s="28"/>
    </row>
    <row r="965" spans="6:12" ht="12" customHeight="1">
      <c r="F965" s="28"/>
      <c r="G965" s="28"/>
      <c r="H965" s="28"/>
      <c r="I965" s="28"/>
      <c r="J965" s="28"/>
      <c r="K965" s="28"/>
      <c r="L965" s="28"/>
    </row>
    <row r="966" spans="6:12" ht="12" customHeight="1">
      <c r="F966" s="28"/>
      <c r="G966" s="28"/>
      <c r="H966" s="28"/>
      <c r="I966" s="28"/>
      <c r="J966" s="28"/>
      <c r="K966" s="28"/>
      <c r="L966" s="28"/>
    </row>
    <row r="967" spans="6:12" ht="12" customHeight="1">
      <c r="F967" s="28"/>
      <c r="G967" s="28"/>
      <c r="H967" s="28"/>
      <c r="I967" s="28"/>
      <c r="J967" s="28"/>
      <c r="K967" s="28"/>
      <c r="L967" s="28"/>
    </row>
    <row r="968" spans="6:12" ht="12" customHeight="1">
      <c r="F968" s="28"/>
      <c r="G968" s="28"/>
      <c r="H968" s="28"/>
      <c r="I968" s="28"/>
      <c r="J968" s="28"/>
      <c r="K968" s="28"/>
      <c r="L968" s="28"/>
    </row>
    <row r="969" spans="6:12" ht="12" customHeight="1">
      <c r="F969" s="28"/>
      <c r="G969" s="28"/>
      <c r="H969" s="28"/>
      <c r="I969" s="28"/>
      <c r="J969" s="28"/>
      <c r="K969" s="28"/>
      <c r="L969" s="28"/>
    </row>
    <row r="970" spans="6:12" ht="12" customHeight="1">
      <c r="F970" s="28"/>
      <c r="G970" s="28"/>
      <c r="H970" s="28"/>
      <c r="I970" s="28"/>
      <c r="J970" s="28"/>
      <c r="K970" s="28"/>
      <c r="L970" s="28"/>
    </row>
    <row r="971" spans="6:12" ht="12" customHeight="1">
      <c r="F971" s="28"/>
      <c r="G971" s="28"/>
      <c r="H971" s="28"/>
      <c r="I971" s="28"/>
      <c r="J971" s="28"/>
      <c r="K971" s="28"/>
      <c r="L971" s="28"/>
    </row>
    <row r="972" spans="6:12" ht="12" customHeight="1">
      <c r="F972" s="28"/>
      <c r="G972" s="28"/>
      <c r="H972" s="28"/>
      <c r="I972" s="28"/>
      <c r="J972" s="28"/>
      <c r="K972" s="28"/>
      <c r="L972" s="28"/>
    </row>
    <row r="973" spans="6:12" ht="12" customHeight="1">
      <c r="F973" s="28"/>
      <c r="G973" s="28"/>
      <c r="H973" s="28"/>
      <c r="I973" s="28"/>
      <c r="J973" s="28"/>
      <c r="K973" s="28"/>
      <c r="L973" s="28"/>
    </row>
    <row r="974" spans="6:12" ht="12" customHeight="1">
      <c r="F974" s="28"/>
      <c r="G974" s="28"/>
      <c r="H974" s="28"/>
      <c r="I974" s="28"/>
      <c r="J974" s="28"/>
      <c r="K974" s="28"/>
      <c r="L974" s="28"/>
    </row>
    <row r="975" spans="6:12" ht="12" customHeight="1">
      <c r="F975" s="28"/>
      <c r="G975" s="28"/>
      <c r="H975" s="28"/>
      <c r="I975" s="28"/>
      <c r="J975" s="28"/>
      <c r="K975" s="28"/>
      <c r="L975" s="28"/>
    </row>
    <row r="976" spans="6:12" ht="12" customHeight="1">
      <c r="F976" s="28"/>
      <c r="G976" s="28"/>
      <c r="H976" s="28"/>
      <c r="I976" s="28"/>
      <c r="J976" s="28"/>
      <c r="K976" s="28"/>
      <c r="L976" s="28"/>
    </row>
    <row r="977" spans="6:12" ht="12" customHeight="1">
      <c r="F977" s="28"/>
      <c r="G977" s="28"/>
      <c r="H977" s="28"/>
      <c r="I977" s="28"/>
      <c r="J977" s="28"/>
      <c r="K977" s="28"/>
      <c r="L977" s="28"/>
    </row>
    <row r="978" spans="6:12" ht="12" customHeight="1">
      <c r="F978" s="28"/>
      <c r="G978" s="28"/>
      <c r="H978" s="28"/>
      <c r="I978" s="28"/>
      <c r="J978" s="28"/>
      <c r="K978" s="28"/>
      <c r="L978" s="28"/>
    </row>
    <row r="979" spans="6:12" ht="12" customHeight="1">
      <c r="F979" s="28"/>
      <c r="G979" s="28"/>
      <c r="H979" s="28"/>
      <c r="I979" s="28"/>
      <c r="J979" s="28"/>
      <c r="K979" s="28"/>
      <c r="L979" s="28"/>
    </row>
    <row r="980" spans="6:12" ht="12" customHeight="1">
      <c r="F980" s="28"/>
      <c r="G980" s="28"/>
      <c r="H980" s="28"/>
      <c r="I980" s="28"/>
      <c r="J980" s="28"/>
      <c r="K980" s="28"/>
      <c r="L980" s="28"/>
    </row>
    <row r="981" spans="6:12" ht="12" customHeight="1">
      <c r="F981" s="28"/>
      <c r="G981" s="28"/>
      <c r="H981" s="28"/>
      <c r="I981" s="28"/>
      <c r="J981" s="28"/>
      <c r="K981" s="28"/>
      <c r="L981" s="28"/>
    </row>
    <row r="982" spans="6:12" ht="12" customHeight="1">
      <c r="F982" s="28"/>
      <c r="G982" s="28"/>
      <c r="H982" s="28"/>
      <c r="I982" s="28"/>
      <c r="J982" s="28"/>
      <c r="K982" s="28"/>
      <c r="L982" s="28"/>
    </row>
    <row r="983" spans="6:12" ht="12" customHeight="1">
      <c r="F983" s="28"/>
      <c r="G983" s="28"/>
      <c r="H983" s="28"/>
      <c r="I983" s="28"/>
      <c r="J983" s="28"/>
      <c r="K983" s="28"/>
      <c r="L983" s="28"/>
    </row>
    <row r="984" spans="6:12" ht="12" customHeight="1">
      <c r="F984" s="28"/>
      <c r="G984" s="28"/>
      <c r="H984" s="28"/>
      <c r="I984" s="28"/>
      <c r="J984" s="28"/>
      <c r="K984" s="28"/>
      <c r="L984" s="28"/>
    </row>
    <row r="985" spans="6:12" ht="12" customHeight="1">
      <c r="F985" s="28"/>
      <c r="G985" s="28"/>
      <c r="H985" s="28"/>
      <c r="I985" s="28"/>
      <c r="J985" s="28"/>
      <c r="K985" s="28"/>
      <c r="L985" s="28"/>
    </row>
    <row r="986" spans="6:12" ht="12" customHeight="1">
      <c r="F986" s="28"/>
      <c r="G986" s="28"/>
      <c r="H986" s="28"/>
      <c r="I986" s="28"/>
      <c r="J986" s="28"/>
      <c r="K986" s="28"/>
      <c r="L986" s="28"/>
    </row>
    <row r="987" spans="6:12" ht="12" customHeight="1">
      <c r="F987" s="28"/>
      <c r="G987" s="28"/>
      <c r="H987" s="28"/>
      <c r="I987" s="28"/>
      <c r="J987" s="28"/>
      <c r="K987" s="28"/>
      <c r="L987" s="28"/>
    </row>
    <row r="988" spans="6:12" ht="12" customHeight="1">
      <c r="F988" s="28"/>
      <c r="G988" s="28"/>
      <c r="H988" s="28"/>
      <c r="I988" s="28"/>
      <c r="J988" s="28"/>
      <c r="K988" s="28"/>
      <c r="L988" s="28"/>
    </row>
    <row r="989" spans="6:12" ht="12" customHeight="1">
      <c r="F989" s="28"/>
      <c r="G989" s="28"/>
      <c r="H989" s="28"/>
      <c r="I989" s="28"/>
      <c r="J989" s="28"/>
      <c r="K989" s="28"/>
      <c r="L989" s="28"/>
    </row>
    <row r="990" spans="6:12" ht="12" customHeight="1">
      <c r="F990" s="28"/>
      <c r="G990" s="28"/>
      <c r="H990" s="28"/>
      <c r="I990" s="28"/>
      <c r="J990" s="28"/>
      <c r="K990" s="28"/>
      <c r="L990" s="28"/>
    </row>
    <row r="991" spans="6:12" ht="12" customHeight="1">
      <c r="F991" s="28"/>
      <c r="G991" s="28"/>
      <c r="H991" s="28"/>
      <c r="I991" s="28"/>
      <c r="J991" s="28"/>
      <c r="K991" s="28"/>
      <c r="L991" s="28"/>
    </row>
    <row r="992" spans="6:12" ht="12" customHeight="1">
      <c r="F992" s="28"/>
      <c r="G992" s="28"/>
      <c r="H992" s="28"/>
      <c r="I992" s="28"/>
      <c r="J992" s="28"/>
      <c r="K992" s="28"/>
      <c r="L992" s="28"/>
    </row>
    <row r="993" spans="6:12" ht="12" customHeight="1">
      <c r="F993" s="28"/>
      <c r="G993" s="28"/>
      <c r="H993" s="28"/>
      <c r="I993" s="28"/>
      <c r="J993" s="28"/>
      <c r="K993" s="28"/>
      <c r="L993" s="28"/>
    </row>
    <row r="994" spans="6:12" ht="12" customHeight="1">
      <c r="F994" s="28"/>
      <c r="G994" s="28"/>
      <c r="H994" s="28"/>
      <c r="I994" s="28"/>
      <c r="J994" s="28"/>
      <c r="K994" s="28"/>
      <c r="L994" s="28"/>
    </row>
    <row r="995" spans="6:12" ht="12" customHeight="1">
      <c r="F995" s="28"/>
      <c r="G995" s="28"/>
      <c r="H995" s="28"/>
      <c r="I995" s="28"/>
      <c r="J995" s="28"/>
      <c r="K995" s="28"/>
      <c r="L995" s="28"/>
    </row>
    <row r="996" spans="6:12" ht="12" customHeight="1">
      <c r="F996" s="28"/>
      <c r="G996" s="28"/>
      <c r="H996" s="28"/>
      <c r="I996" s="28"/>
      <c r="J996" s="28"/>
      <c r="K996" s="28"/>
      <c r="L996" s="28"/>
    </row>
    <row r="997" spans="6:12" ht="12" customHeight="1">
      <c r="F997" s="28"/>
      <c r="G997" s="28"/>
      <c r="H997" s="28"/>
      <c r="I997" s="28"/>
      <c r="J997" s="28"/>
      <c r="K997" s="28"/>
      <c r="L997" s="28"/>
    </row>
    <row r="998" spans="6:12" ht="12" customHeight="1">
      <c r="F998" s="28"/>
      <c r="G998" s="28"/>
      <c r="H998" s="28"/>
      <c r="I998" s="28"/>
      <c r="J998" s="28"/>
      <c r="K998" s="28"/>
      <c r="L998" s="28"/>
    </row>
    <row r="999" spans="6:12" ht="12" customHeight="1">
      <c r="F999" s="28"/>
      <c r="G999" s="28"/>
      <c r="H999" s="28"/>
      <c r="I999" s="28"/>
      <c r="J999" s="28"/>
      <c r="K999" s="28"/>
      <c r="L999" s="28"/>
    </row>
    <row r="1000" spans="6:12" ht="12" customHeight="1">
      <c r="F1000" s="28"/>
      <c r="G1000" s="28"/>
      <c r="H1000" s="28"/>
      <c r="I1000" s="28"/>
      <c r="J1000" s="28"/>
      <c r="K1000" s="28"/>
      <c r="L1000" s="28"/>
    </row>
  </sheetData>
  <mergeCells count="2">
    <mergeCell ref="F510:G510"/>
    <mergeCell ref="H510:I510"/>
  </mergeCells>
  <conditionalFormatting sqref="H657 J618:J656">
    <cfRule type="cellIs" dxfId="15" priority="1" stopIfTrue="1" operator="notEqual">
      <formula>0</formula>
    </cfRule>
  </conditionalFormatting>
  <conditionalFormatting sqref="J618:J656">
    <cfRule type="cellIs" dxfId="14" priority="2" operator="lessThan">
      <formula>0</formula>
    </cfRule>
  </conditionalFormatting>
  <conditionalFormatting sqref="J618:J656">
    <cfRule type="cellIs" dxfId="13" priority="3" stopIfTrue="1" operator="greaterThan">
      <formula>0</formula>
    </cfRule>
  </conditionalFormatting>
  <pageMargins left="0.3" right="0.3" top="0.75" bottom="0.5" header="0" footer="0"/>
  <pageSetup orientation="landscape"/>
  <headerFooter>
    <oddHeader>&amp;CDOE 25 for 2021-2022</oddHeader>
    <oddFooter>&amp;L&amp;F&amp;CPage &amp;P&amp;R&amp;D&amp;T</oddFooter>
  </headerFooter>
  <rowBreaks count="24" manualBreakCount="24">
    <brk id="353" man="1"/>
    <brk id="194" man="1"/>
    <brk id="291" man="1"/>
    <brk id="230" man="1"/>
    <brk id="486" man="1"/>
    <brk id="518" man="1"/>
    <brk id="616" man="1"/>
    <brk id="329" man="1"/>
    <brk id="553" man="1"/>
    <brk id="170" man="1"/>
    <brk id="140" man="1"/>
    <brk id="589" man="1"/>
    <brk id="462" man="1"/>
    <brk id="79" man="1"/>
    <brk id="272" man="1"/>
    <brk id="112" man="1"/>
    <brk id="657" man="1"/>
    <brk id="435" man="1"/>
    <brk id="52" man="1"/>
    <brk id="212" man="1"/>
    <brk id="310" man="1"/>
    <brk id="248" man="1"/>
    <brk id="409" man="1"/>
    <brk id="383" man="1"/>
  </rowBreaks>
  <legacyDrawing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99594"/>
    <pageSetUpPr fitToPage="1"/>
  </sheetPr>
  <dimension ref="A1:Z1000"/>
  <sheetViews>
    <sheetView workbookViewId="0"/>
  </sheetViews>
  <sheetFormatPr defaultColWidth="16.83203125" defaultRowHeight="15" customHeight="1"/>
  <cols>
    <col min="1" max="2" width="9.33203125" customWidth="1"/>
    <col min="3" max="3" width="154.5" customWidth="1"/>
    <col min="4" max="4" width="9.33203125" customWidth="1"/>
    <col min="5" max="5" width="14.1640625" customWidth="1"/>
    <col min="6" max="6" width="13.1640625" customWidth="1"/>
    <col min="7" max="7" width="9.33203125" customWidth="1"/>
    <col min="8" max="8" width="23.33203125" customWidth="1"/>
    <col min="9" max="26" width="8.83203125" customWidth="1"/>
  </cols>
  <sheetData>
    <row r="1" spans="1:26">
      <c r="A1" s="120"/>
      <c r="B1" s="120"/>
      <c r="C1" s="120"/>
      <c r="D1" s="120"/>
      <c r="E1" s="120"/>
      <c r="F1" s="120"/>
      <c r="G1" s="120"/>
      <c r="H1" s="120"/>
      <c r="I1" s="120"/>
      <c r="J1" s="120"/>
      <c r="K1" s="120"/>
      <c r="L1" s="120"/>
      <c r="M1" s="120"/>
      <c r="N1" s="120"/>
      <c r="O1" s="120"/>
      <c r="P1" s="120"/>
      <c r="Q1" s="120"/>
      <c r="R1" s="120"/>
      <c r="S1" s="120"/>
      <c r="T1" s="120"/>
      <c r="U1" s="120"/>
      <c r="V1" s="120"/>
      <c r="W1" s="120"/>
      <c r="X1" s="120"/>
      <c r="Y1" s="120"/>
      <c r="Z1" s="120"/>
    </row>
    <row r="2" spans="1:26">
      <c r="A2" s="120"/>
      <c r="B2" s="120"/>
      <c r="C2" s="262" t="s">
        <v>618</v>
      </c>
      <c r="D2" s="260"/>
      <c r="E2" s="260"/>
      <c r="F2" s="120"/>
      <c r="G2" s="120"/>
      <c r="H2" s="120"/>
      <c r="I2" s="120"/>
      <c r="J2" s="120"/>
      <c r="K2" s="120"/>
      <c r="L2" s="120"/>
      <c r="M2" s="120"/>
      <c r="N2" s="120"/>
      <c r="O2" s="120"/>
      <c r="P2" s="120"/>
      <c r="Q2" s="120"/>
      <c r="R2" s="120"/>
      <c r="S2" s="120"/>
      <c r="T2" s="120"/>
      <c r="U2" s="120"/>
      <c r="V2" s="120"/>
      <c r="W2" s="120"/>
      <c r="X2" s="120"/>
      <c r="Y2" s="120"/>
      <c r="Z2" s="120"/>
    </row>
    <row r="3" spans="1:26">
      <c r="A3" s="120"/>
      <c r="B3" s="120"/>
      <c r="C3" s="122"/>
      <c r="D3" s="120"/>
      <c r="E3" s="120"/>
      <c r="F3" s="120"/>
      <c r="G3" s="120"/>
      <c r="H3" s="120"/>
      <c r="I3" s="120"/>
      <c r="J3" s="120"/>
      <c r="K3" s="120"/>
      <c r="L3" s="120"/>
      <c r="M3" s="120"/>
      <c r="N3" s="120"/>
      <c r="O3" s="120"/>
      <c r="P3" s="120"/>
      <c r="Q3" s="120"/>
      <c r="R3" s="120"/>
      <c r="S3" s="120"/>
      <c r="T3" s="120"/>
      <c r="U3" s="120"/>
      <c r="V3" s="120"/>
      <c r="W3" s="120"/>
      <c r="X3" s="120"/>
      <c r="Y3" s="120"/>
      <c r="Z3" s="120"/>
    </row>
    <row r="4" spans="1:26">
      <c r="A4" s="120"/>
      <c r="B4" s="120"/>
      <c r="C4" s="120"/>
      <c r="D4" s="120"/>
      <c r="E4" s="120"/>
      <c r="F4" s="120"/>
      <c r="G4" s="120"/>
      <c r="H4" s="120"/>
      <c r="I4" s="120"/>
      <c r="J4" s="120"/>
      <c r="K4" s="120"/>
      <c r="L4" s="120"/>
      <c r="M4" s="120"/>
      <c r="N4" s="120"/>
      <c r="O4" s="120"/>
      <c r="P4" s="120"/>
      <c r="Q4" s="120"/>
      <c r="R4" s="120"/>
      <c r="S4" s="120"/>
      <c r="T4" s="120"/>
      <c r="U4" s="120"/>
      <c r="V4" s="120"/>
      <c r="W4" s="120"/>
      <c r="X4" s="120"/>
      <c r="Y4" s="120"/>
      <c r="Z4" s="120"/>
    </row>
    <row r="5" spans="1:26">
      <c r="A5" s="120"/>
      <c r="B5" s="123" t="s">
        <v>166</v>
      </c>
      <c r="C5" s="123"/>
      <c r="D5" s="123" t="s">
        <v>619</v>
      </c>
      <c r="E5" s="124" t="s">
        <v>620</v>
      </c>
      <c r="F5" s="125"/>
      <c r="G5" s="120"/>
      <c r="H5" s="120"/>
      <c r="I5" s="120"/>
      <c r="J5" s="120"/>
      <c r="K5" s="120"/>
      <c r="L5" s="120"/>
      <c r="M5" s="120"/>
      <c r="N5" s="120"/>
      <c r="O5" s="120"/>
      <c r="P5" s="120"/>
      <c r="Q5" s="120"/>
      <c r="R5" s="120"/>
      <c r="S5" s="120"/>
      <c r="T5" s="120"/>
      <c r="U5" s="120"/>
      <c r="V5" s="120"/>
      <c r="W5" s="120"/>
      <c r="X5" s="120"/>
      <c r="Y5" s="120"/>
      <c r="Z5" s="120"/>
    </row>
    <row r="6" spans="1:26">
      <c r="A6" s="120"/>
      <c r="B6" s="125"/>
      <c r="C6" s="125"/>
      <c r="D6" s="125"/>
      <c r="E6" s="125"/>
      <c r="F6" s="125"/>
      <c r="G6" s="120"/>
      <c r="H6" s="120"/>
      <c r="I6" s="120"/>
      <c r="J6" s="120"/>
      <c r="K6" s="120"/>
      <c r="L6" s="120"/>
      <c r="M6" s="120"/>
      <c r="N6" s="120"/>
      <c r="O6" s="120"/>
      <c r="P6" s="120"/>
      <c r="Q6" s="120"/>
      <c r="R6" s="120"/>
      <c r="S6" s="120"/>
      <c r="T6" s="120"/>
      <c r="U6" s="120"/>
      <c r="V6" s="120"/>
      <c r="W6" s="120"/>
      <c r="X6" s="120"/>
      <c r="Y6" s="120"/>
      <c r="Z6" s="120"/>
    </row>
    <row r="7" spans="1:26">
      <c r="A7" s="120"/>
      <c r="B7" s="125"/>
      <c r="C7" s="123" t="s">
        <v>621</v>
      </c>
      <c r="D7" s="125"/>
      <c r="E7" s="126">
        <f>'DOE25'!H155</f>
        <v>17805.57</v>
      </c>
      <c r="F7" s="123" t="s">
        <v>219</v>
      </c>
      <c r="G7" s="120"/>
      <c r="H7" s="127" t="str">
        <f>IF(SUM(E9:E17)=E7,"","ERROR: Sum of the 5 sub-totals do not equal total reported to the left!")</f>
        <v/>
      </c>
      <c r="I7" s="120"/>
      <c r="J7" s="120"/>
      <c r="K7" s="120"/>
      <c r="L7" s="120"/>
      <c r="M7" s="120"/>
      <c r="N7" s="120"/>
      <c r="O7" s="120"/>
      <c r="P7" s="120"/>
      <c r="Q7" s="120"/>
      <c r="R7" s="120"/>
      <c r="S7" s="120"/>
      <c r="T7" s="120"/>
      <c r="U7" s="120"/>
      <c r="V7" s="120"/>
      <c r="W7" s="120"/>
      <c r="X7" s="120"/>
      <c r="Y7" s="120"/>
      <c r="Z7" s="120"/>
    </row>
    <row r="8" spans="1:26">
      <c r="A8" s="120"/>
      <c r="B8" s="125"/>
      <c r="C8" s="125"/>
      <c r="D8" s="125"/>
      <c r="E8" s="125"/>
      <c r="F8" s="125"/>
      <c r="G8" s="120"/>
      <c r="H8" s="120"/>
      <c r="I8" s="120"/>
      <c r="J8" s="120"/>
      <c r="K8" s="120"/>
      <c r="L8" s="120"/>
      <c r="M8" s="120"/>
      <c r="N8" s="120"/>
      <c r="O8" s="120"/>
      <c r="P8" s="120"/>
      <c r="Q8" s="120"/>
      <c r="R8" s="120"/>
      <c r="S8" s="120"/>
      <c r="T8" s="120"/>
      <c r="U8" s="120"/>
      <c r="V8" s="120"/>
      <c r="W8" s="120"/>
      <c r="X8" s="120"/>
      <c r="Y8" s="120"/>
      <c r="Z8" s="120"/>
    </row>
    <row r="9" spans="1:26">
      <c r="A9" s="120"/>
      <c r="B9" s="125"/>
      <c r="C9" s="125" t="s">
        <v>622</v>
      </c>
      <c r="D9" s="125" t="s">
        <v>623</v>
      </c>
      <c r="E9" s="128">
        <v>11600.2</v>
      </c>
      <c r="F9" s="125" t="s">
        <v>624</v>
      </c>
      <c r="G9" s="120"/>
      <c r="H9" s="120"/>
      <c r="I9" s="120"/>
      <c r="J9" s="120"/>
      <c r="K9" s="120"/>
      <c r="L9" s="120"/>
      <c r="M9" s="120"/>
      <c r="N9" s="120"/>
      <c r="O9" s="120"/>
      <c r="P9" s="120"/>
      <c r="Q9" s="120"/>
      <c r="R9" s="120"/>
      <c r="S9" s="120"/>
      <c r="T9" s="120"/>
      <c r="U9" s="120"/>
      <c r="V9" s="120"/>
      <c r="W9" s="120"/>
      <c r="X9" s="120"/>
      <c r="Y9" s="120"/>
      <c r="Z9" s="120"/>
    </row>
    <row r="10" spans="1:26">
      <c r="A10" s="120"/>
      <c r="B10" s="125"/>
      <c r="C10" s="125"/>
      <c r="D10" s="125"/>
      <c r="E10" s="125"/>
      <c r="F10" s="125"/>
      <c r="G10" s="120"/>
      <c r="H10" s="120"/>
      <c r="I10" s="120"/>
      <c r="J10" s="120"/>
      <c r="K10" s="120"/>
      <c r="L10" s="120"/>
      <c r="M10" s="120"/>
      <c r="N10" s="120"/>
      <c r="O10" s="120"/>
      <c r="P10" s="120"/>
      <c r="Q10" s="120"/>
      <c r="R10" s="120"/>
      <c r="S10" s="120"/>
      <c r="T10" s="120"/>
      <c r="U10" s="120"/>
      <c r="V10" s="120"/>
      <c r="W10" s="120"/>
      <c r="X10" s="120"/>
      <c r="Y10" s="120"/>
      <c r="Z10" s="120"/>
    </row>
    <row r="11" spans="1:26">
      <c r="A11" s="120"/>
      <c r="B11" s="125"/>
      <c r="C11" s="125" t="s">
        <v>625</v>
      </c>
      <c r="D11" s="125" t="s">
        <v>626</v>
      </c>
      <c r="E11" s="128"/>
      <c r="F11" s="125" t="s">
        <v>627</v>
      </c>
      <c r="G11" s="120"/>
      <c r="H11" s="120"/>
      <c r="I11" s="120"/>
      <c r="J11" s="120"/>
      <c r="K11" s="120"/>
      <c r="L11" s="120"/>
      <c r="M11" s="120"/>
      <c r="N11" s="120"/>
      <c r="O11" s="120"/>
      <c r="P11" s="120"/>
      <c r="Q11" s="120"/>
      <c r="R11" s="120"/>
      <c r="S11" s="120"/>
      <c r="T11" s="120"/>
      <c r="U11" s="120"/>
      <c r="V11" s="120"/>
      <c r="W11" s="120"/>
      <c r="X11" s="120"/>
      <c r="Y11" s="120"/>
      <c r="Z11" s="120"/>
    </row>
    <row r="12" spans="1:26">
      <c r="A12" s="120"/>
      <c r="B12" s="125"/>
      <c r="C12" s="125"/>
      <c r="D12" s="125"/>
      <c r="E12" s="125"/>
      <c r="F12" s="125"/>
      <c r="G12" s="120"/>
      <c r="H12" s="120"/>
      <c r="I12" s="120"/>
      <c r="J12" s="120"/>
      <c r="K12" s="120"/>
      <c r="L12" s="120"/>
      <c r="M12" s="120"/>
      <c r="N12" s="120"/>
      <c r="O12" s="120"/>
      <c r="P12" s="120"/>
      <c r="Q12" s="120"/>
      <c r="R12" s="120"/>
      <c r="S12" s="120"/>
      <c r="T12" s="120"/>
      <c r="U12" s="120"/>
      <c r="V12" s="120"/>
      <c r="W12" s="120"/>
      <c r="X12" s="120"/>
      <c r="Y12" s="120"/>
      <c r="Z12" s="120"/>
    </row>
    <row r="13" spans="1:26">
      <c r="A13" s="120"/>
      <c r="B13" s="125"/>
      <c r="C13" s="125" t="s">
        <v>628</v>
      </c>
      <c r="D13" s="125" t="s">
        <v>629</v>
      </c>
      <c r="E13" s="128">
        <v>6205.37</v>
      </c>
      <c r="F13" s="125" t="s">
        <v>630</v>
      </c>
      <c r="G13" s="120"/>
      <c r="H13" s="120"/>
      <c r="I13" s="120"/>
      <c r="J13" s="120"/>
      <c r="K13" s="120"/>
      <c r="L13" s="120"/>
      <c r="M13" s="120"/>
      <c r="N13" s="120"/>
      <c r="O13" s="120"/>
      <c r="P13" s="120"/>
      <c r="Q13" s="120"/>
      <c r="R13" s="120"/>
      <c r="S13" s="120"/>
      <c r="T13" s="120"/>
      <c r="U13" s="120"/>
      <c r="V13" s="120"/>
      <c r="W13" s="120"/>
      <c r="X13" s="120"/>
      <c r="Y13" s="120"/>
      <c r="Z13" s="120"/>
    </row>
    <row r="14" spans="1:26">
      <c r="A14" s="120"/>
      <c r="B14" s="125"/>
      <c r="C14" s="125"/>
      <c r="D14" s="125"/>
      <c r="E14" s="125"/>
      <c r="F14" s="125"/>
      <c r="G14" s="120"/>
      <c r="H14" s="120"/>
      <c r="I14" s="120"/>
      <c r="J14" s="120"/>
      <c r="K14" s="120"/>
      <c r="L14" s="120"/>
      <c r="M14" s="120"/>
      <c r="N14" s="120"/>
      <c r="O14" s="120"/>
      <c r="P14" s="120"/>
      <c r="Q14" s="120"/>
      <c r="R14" s="120"/>
      <c r="S14" s="120"/>
      <c r="T14" s="120"/>
      <c r="U14" s="120"/>
      <c r="V14" s="120"/>
      <c r="W14" s="120"/>
      <c r="X14" s="120"/>
      <c r="Y14" s="120"/>
      <c r="Z14" s="120"/>
    </row>
    <row r="15" spans="1:26">
      <c r="A15" s="120"/>
      <c r="B15" s="125"/>
      <c r="C15" s="125" t="s">
        <v>631</v>
      </c>
      <c r="D15" s="125" t="s">
        <v>632</v>
      </c>
      <c r="E15" s="128"/>
      <c r="F15" s="125" t="s">
        <v>633</v>
      </c>
      <c r="G15" s="120"/>
      <c r="H15" s="120"/>
      <c r="I15" s="120"/>
      <c r="J15" s="120"/>
      <c r="K15" s="120"/>
      <c r="L15" s="120"/>
      <c r="M15" s="120"/>
      <c r="N15" s="120"/>
      <c r="O15" s="120"/>
      <c r="P15" s="120"/>
      <c r="Q15" s="120"/>
      <c r="R15" s="120"/>
      <c r="S15" s="120"/>
      <c r="T15" s="120"/>
      <c r="U15" s="120"/>
      <c r="V15" s="120"/>
      <c r="W15" s="120"/>
      <c r="X15" s="120"/>
      <c r="Y15" s="120"/>
      <c r="Z15" s="120"/>
    </row>
    <row r="16" spans="1:26">
      <c r="A16" s="120"/>
      <c r="B16" s="125"/>
      <c r="C16" s="125"/>
      <c r="D16" s="125"/>
      <c r="E16" s="125"/>
      <c r="F16" s="125"/>
      <c r="G16" s="120"/>
      <c r="H16" s="120"/>
      <c r="I16" s="120"/>
      <c r="J16" s="120"/>
      <c r="K16" s="120"/>
      <c r="L16" s="120"/>
      <c r="M16" s="120"/>
      <c r="N16" s="120"/>
      <c r="O16" s="120"/>
      <c r="P16" s="120"/>
      <c r="Q16" s="120"/>
      <c r="R16" s="120"/>
      <c r="S16" s="120"/>
      <c r="T16" s="120"/>
      <c r="U16" s="120"/>
      <c r="V16" s="120"/>
      <c r="W16" s="120"/>
      <c r="X16" s="120"/>
      <c r="Y16" s="120"/>
      <c r="Z16" s="120"/>
    </row>
    <row r="17" spans="1:26">
      <c r="A17" s="120"/>
      <c r="B17" s="125"/>
      <c r="C17" s="125" t="s">
        <v>634</v>
      </c>
      <c r="D17" s="125" t="s">
        <v>635</v>
      </c>
      <c r="E17" s="128"/>
      <c r="F17" s="125" t="s">
        <v>636</v>
      </c>
      <c r="G17" s="120"/>
      <c r="H17" s="120"/>
      <c r="I17" s="120"/>
      <c r="J17" s="120"/>
      <c r="K17" s="120"/>
      <c r="L17" s="120"/>
      <c r="M17" s="120"/>
      <c r="N17" s="120"/>
      <c r="O17" s="120"/>
      <c r="P17" s="120"/>
      <c r="Q17" s="120"/>
      <c r="R17" s="120"/>
      <c r="S17" s="120"/>
      <c r="T17" s="120"/>
      <c r="U17" s="120"/>
      <c r="V17" s="120"/>
      <c r="W17" s="120"/>
      <c r="X17" s="120"/>
      <c r="Y17" s="120"/>
      <c r="Z17" s="120"/>
    </row>
    <row r="18" spans="1:26">
      <c r="A18" s="120"/>
      <c r="B18" s="125"/>
      <c r="C18" s="125"/>
      <c r="D18" s="125"/>
      <c r="E18" s="125"/>
      <c r="F18" s="125"/>
      <c r="G18" s="120"/>
      <c r="H18" s="120"/>
      <c r="I18" s="120"/>
      <c r="J18" s="120"/>
      <c r="K18" s="120"/>
      <c r="L18" s="120"/>
      <c r="M18" s="120"/>
      <c r="N18" s="120"/>
      <c r="O18" s="120"/>
      <c r="P18" s="120"/>
      <c r="Q18" s="120"/>
      <c r="R18" s="120"/>
      <c r="S18" s="120"/>
      <c r="T18" s="120"/>
      <c r="U18" s="120"/>
      <c r="V18" s="120"/>
      <c r="W18" s="120"/>
      <c r="X18" s="120"/>
      <c r="Y18" s="120"/>
      <c r="Z18" s="120"/>
    </row>
    <row r="19" spans="1:26">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c r="Y19" s="120"/>
      <c r="Z19" s="120"/>
    </row>
    <row r="20" spans="1:26">
      <c r="A20" s="120"/>
      <c r="B20" s="123" t="s">
        <v>637</v>
      </c>
      <c r="C20" s="123"/>
      <c r="D20" s="123" t="s">
        <v>619</v>
      </c>
      <c r="E20" s="124" t="s">
        <v>620</v>
      </c>
      <c r="F20" s="125"/>
      <c r="G20" s="120"/>
      <c r="H20" s="120"/>
      <c r="I20" s="120"/>
      <c r="J20" s="120"/>
      <c r="K20" s="120"/>
      <c r="L20" s="120"/>
      <c r="M20" s="120"/>
      <c r="N20" s="120"/>
      <c r="O20" s="120"/>
      <c r="P20" s="120"/>
      <c r="Q20" s="120"/>
      <c r="R20" s="120"/>
      <c r="S20" s="120"/>
      <c r="T20" s="120"/>
      <c r="U20" s="120"/>
      <c r="V20" s="120"/>
      <c r="W20" s="120"/>
      <c r="X20" s="120"/>
      <c r="Y20" s="120"/>
      <c r="Z20" s="120"/>
    </row>
    <row r="21" spans="1:26" ht="15.75" customHeight="1">
      <c r="A21" s="120"/>
      <c r="B21" s="125"/>
      <c r="C21" s="125"/>
      <c r="D21" s="125"/>
      <c r="E21" s="125"/>
      <c r="F21" s="125"/>
      <c r="G21" s="120"/>
      <c r="H21" s="120"/>
      <c r="I21" s="120"/>
      <c r="J21" s="120"/>
      <c r="K21" s="120"/>
      <c r="L21" s="120"/>
      <c r="M21" s="120"/>
      <c r="N21" s="120"/>
      <c r="O21" s="120"/>
      <c r="P21" s="120"/>
      <c r="Q21" s="120"/>
      <c r="R21" s="120"/>
      <c r="S21" s="120"/>
      <c r="T21" s="120"/>
      <c r="U21" s="120"/>
      <c r="V21" s="120"/>
      <c r="W21" s="120"/>
      <c r="X21" s="120"/>
      <c r="Y21" s="120"/>
      <c r="Z21" s="120"/>
    </row>
    <row r="22" spans="1:26" ht="18" customHeight="1">
      <c r="A22" s="120"/>
      <c r="B22" s="125"/>
      <c r="C22" s="129" t="s">
        <v>638</v>
      </c>
      <c r="D22" s="125" t="s">
        <v>639</v>
      </c>
      <c r="E22" s="128"/>
      <c r="F22" s="125"/>
      <c r="G22" s="120"/>
      <c r="H22" s="120"/>
      <c r="I22" s="120"/>
      <c r="J22" s="120"/>
      <c r="K22" s="120"/>
      <c r="L22" s="120"/>
      <c r="M22" s="120"/>
      <c r="N22" s="120"/>
      <c r="O22" s="120"/>
      <c r="P22" s="120"/>
      <c r="Q22" s="120"/>
      <c r="R22" s="120"/>
      <c r="S22" s="120"/>
      <c r="T22" s="120"/>
      <c r="U22" s="120"/>
      <c r="V22" s="120"/>
      <c r="W22" s="120"/>
      <c r="X22" s="120"/>
      <c r="Y22" s="120"/>
      <c r="Z22" s="120"/>
    </row>
    <row r="23" spans="1:26" ht="15.75" customHeight="1">
      <c r="A23" s="120"/>
      <c r="B23" s="125"/>
      <c r="C23" s="125"/>
      <c r="D23" s="125"/>
      <c r="E23" s="125"/>
      <c r="F23" s="125"/>
      <c r="G23" s="120"/>
      <c r="H23" s="120"/>
      <c r="I23" s="120"/>
      <c r="J23" s="120"/>
      <c r="K23" s="120"/>
      <c r="L23" s="120"/>
      <c r="M23" s="120"/>
      <c r="N23" s="120"/>
      <c r="O23" s="120"/>
      <c r="P23" s="120"/>
      <c r="Q23" s="120"/>
      <c r="R23" s="120"/>
      <c r="S23" s="120"/>
      <c r="T23" s="120"/>
      <c r="U23" s="120"/>
      <c r="V23" s="120"/>
      <c r="W23" s="120"/>
      <c r="X23" s="120"/>
      <c r="Y23" s="120"/>
      <c r="Z23" s="120"/>
    </row>
    <row r="24" spans="1:26" ht="26.25" customHeight="1">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row>
    <row r="25" spans="1:26" ht="15.75" customHeight="1">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row>
    <row r="26" spans="1:26" ht="27.75" customHeight="1">
      <c r="A26" s="120"/>
      <c r="B26" s="120"/>
      <c r="C26" s="130"/>
      <c r="D26" s="120"/>
      <c r="E26" s="120"/>
      <c r="F26" s="120"/>
      <c r="G26" s="120"/>
      <c r="H26" s="120"/>
      <c r="I26" s="120"/>
      <c r="J26" s="120"/>
      <c r="K26" s="120"/>
      <c r="L26" s="120"/>
      <c r="M26" s="120"/>
      <c r="N26" s="120"/>
      <c r="O26" s="120"/>
      <c r="P26" s="120"/>
      <c r="Q26" s="120"/>
      <c r="R26" s="120"/>
      <c r="S26" s="120"/>
      <c r="T26" s="120"/>
      <c r="U26" s="120"/>
      <c r="V26" s="120"/>
      <c r="W26" s="120"/>
      <c r="X26" s="120"/>
      <c r="Y26" s="120"/>
      <c r="Z26" s="120"/>
    </row>
    <row r="27" spans="1:26" ht="15.75" customHeight="1">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row>
    <row r="28" spans="1:26" ht="15.75" customHeight="1">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row>
    <row r="29" spans="1:26" ht="15.75" customHeight="1">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spans="1:26" ht="16.5" customHeight="1">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spans="1:26" ht="15.75" customHeight="1">
      <c r="A31" s="120"/>
      <c r="B31" s="120"/>
      <c r="C31" s="120"/>
      <c r="D31" s="120"/>
      <c r="E31" s="120"/>
      <c r="F31" s="120"/>
      <c r="G31" s="120"/>
      <c r="H31" s="127"/>
      <c r="I31" s="120"/>
      <c r="J31" s="120"/>
      <c r="K31" s="120"/>
      <c r="L31" s="120"/>
      <c r="M31" s="120"/>
      <c r="N31" s="120"/>
      <c r="O31" s="120"/>
      <c r="P31" s="120"/>
      <c r="Q31" s="120"/>
      <c r="R31" s="120"/>
      <c r="S31" s="120"/>
      <c r="T31" s="120"/>
      <c r="U31" s="120"/>
      <c r="V31" s="120"/>
      <c r="W31" s="120"/>
      <c r="X31" s="120"/>
      <c r="Y31" s="120"/>
      <c r="Z31" s="120"/>
    </row>
    <row r="32" spans="1:26" ht="15.75" customHeight="1">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spans="1:26" ht="15.75" customHeight="1">
      <c r="A33" s="120"/>
      <c r="B33" s="120"/>
      <c r="C33" s="131"/>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spans="1:26" ht="15.75" customHeight="1">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spans="1:26" ht="15.75" customHeight="1">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spans="1:26" ht="15.75" customHeight="1">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spans="1:26" ht="15.75" customHeight="1">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spans="1:26" ht="15.75" customHeight="1">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spans="1:26" ht="15.75" customHeight="1">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spans="1:26" ht="15.75" customHeight="1">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spans="1:26" ht="15.75" customHeight="1">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spans="1:26" ht="15.75" customHeight="1">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spans="1:26" ht="15.75" customHeight="1">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spans="1:26" ht="15.75" customHeight="1">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spans="1:26" ht="15.75" customHeight="1">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spans="1:26" ht="15.75" customHeight="1">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spans="1:26" ht="15.75" customHeight="1">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spans="1:26" ht="15.75" customHeight="1">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spans="1:26" ht="15.75" customHeight="1">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spans="1:26" ht="15.75" customHeight="1">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spans="1:26" ht="15.75" customHeight="1">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ht="15.75" customHeight="1">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ht="15.75" customHeight="1">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spans="1:26" ht="15.75" customHeight="1">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spans="1:26" ht="15.75" customHeight="1">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spans="1:26" ht="15.75" customHeight="1">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spans="1:26" ht="15.75" customHeight="1">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spans="1:26" ht="15.75" customHeight="1">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spans="1:26" ht="15.75" customHeight="1">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spans="1:26" ht="15.75" customHeight="1">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spans="1:26" ht="15.75" customHeight="1">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spans="1:26" ht="15.75" customHeight="1">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spans="1:26" ht="15.75" customHeight="1">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row>
    <row r="64" spans="1:26" ht="15.75" customHeight="1">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row>
    <row r="65" spans="1:26" ht="15.75" customHeight="1">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spans="1:26" ht="15.75" customHeight="1">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spans="1:26" ht="15.75" customHeight="1">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spans="1:26" ht="15.75" customHeight="1">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spans="1:26" ht="15.75" customHeight="1">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spans="1:26" ht="15.75" customHeight="1">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spans="1:26" ht="15.75" customHeight="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spans="1:26" ht="15.75" customHeight="1">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spans="1:26" ht="15.75" customHeight="1">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spans="1:26" ht="15.75" customHeight="1">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spans="1:26" ht="15.75" customHeight="1">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spans="1:26" ht="15.75" customHeight="1">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spans="1:26" ht="15.75" customHeight="1">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spans="1:26" ht="15.75" customHeight="1">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spans="1:26" ht="15.75" customHeight="1">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spans="1:26" ht="15.75" customHeight="1">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spans="1:26" ht="15.75" customHeight="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spans="1:26" ht="15.75" customHeight="1">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spans="1:26" ht="15.75" customHeight="1">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spans="1:26" ht="15.75" customHeight="1">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spans="1:26" ht="15.75" customHeight="1">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spans="1:26" ht="15.75" customHeight="1">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spans="1:26" ht="15.75" customHeight="1">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spans="1:26" ht="15.75" customHeight="1">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spans="1:26" ht="15.75" customHeight="1">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spans="1:26" ht="15.75" customHeight="1">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spans="1:26" ht="15.75" customHeight="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spans="1:26" ht="15.75" customHeight="1">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spans="1:26" ht="15.75" customHeight="1">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spans="1:26" ht="15.75" customHeight="1">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spans="1:26" ht="15.75" customHeight="1">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spans="1:26" ht="15.75" customHeight="1">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row>
    <row r="97" spans="1:26" ht="15.75" customHeight="1">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row>
    <row r="98" spans="1:26" ht="15.75" customHeight="1">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row>
    <row r="99" spans="1:26" ht="15.75" customHeight="1">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row>
    <row r="100" spans="1:26" ht="15.75" customHeight="1">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spans="1:26" ht="15.75" customHeight="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spans="1:26" ht="15.75" customHeight="1">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spans="1:26" ht="15.75" customHeight="1">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spans="1:26" ht="15.75" customHeight="1">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spans="1:26" ht="15.75" customHeight="1">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ht="15.75" customHeight="1">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spans="1:26" ht="15.75" customHeight="1">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spans="1:26" ht="15.75" customHeight="1">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spans="1:26" ht="15.75" customHeight="1">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ht="15.75" customHeight="1">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spans="1:26" ht="15.75" customHeight="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ht="15.75" customHeight="1">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spans="1:26" ht="15.75" customHeight="1">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spans="1:26" ht="15.75" customHeight="1">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ht="15.75" customHeight="1">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spans="1:26" ht="15.75" customHeight="1">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spans="1:26" ht="15.75" customHeight="1">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spans="1:26" ht="15.75" customHeight="1">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spans="1:26" ht="15.75" customHeight="1">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spans="1:26" ht="15.75" customHeight="1">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spans="1:26" ht="15.75" customHeight="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spans="1:26" ht="15.75" customHeight="1">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spans="1:26" ht="15.75" customHeight="1">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spans="1:26" ht="15.75" customHeight="1">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spans="1:26" ht="15.75" customHeight="1">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spans="1:26" ht="15.75" customHeight="1">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spans="1:26" ht="15.75" customHeight="1">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spans="1:26" ht="15.75" customHeight="1">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spans="1:26" ht="15.75" customHeight="1">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spans="1:26" ht="15.75" customHeight="1">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spans="1:26" ht="15.75" customHeight="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spans="1:26" ht="15.75" customHeight="1">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spans="1:26" ht="15.75" customHeight="1">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spans="1:26" ht="15.75" customHeight="1">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spans="1:26" ht="15.75" customHeight="1">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spans="1:26" ht="15.75" customHeight="1">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spans="1:26" ht="15.75" customHeight="1">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spans="1:26" ht="15.75" customHeight="1">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spans="1:26" ht="15.75" customHeight="1">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spans="1:26" ht="15.75" customHeight="1">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spans="1:26" ht="15.75" customHeight="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spans="1:26" ht="15.75" customHeight="1">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spans="1:26" ht="15.75" customHeight="1">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spans="1:26" ht="15.75" customHeight="1">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spans="1:26" ht="15.75" customHeight="1">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spans="1:26" ht="15.75" customHeight="1">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spans="1:26" ht="15.75" customHeight="1">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spans="1:26" ht="15.75" customHeight="1">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ht="15.75" customHeight="1">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spans="1:26" ht="15.75" customHeight="1">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ht="15.75" customHeight="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spans="1:26" ht="15.75" customHeight="1">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ht="15.75" customHeight="1">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spans="1:26" ht="15.75" customHeight="1">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ht="15.75" customHeight="1">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spans="1:26" ht="15.75" customHeight="1">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ht="15.75" customHeight="1">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spans="1:26" ht="15.75" customHeight="1">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spans="1:26" ht="15.75" customHeight="1">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spans="1:26" ht="15.75" customHeight="1">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spans="1:26" ht="15.75" customHeight="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spans="1:26" ht="15.75" customHeight="1">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spans="1:26" ht="15.75" customHeight="1">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spans="1:26" ht="15.75" customHeight="1">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spans="1:26" ht="15.75" customHeight="1">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spans="1:26" ht="15.75" customHeight="1">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spans="1:26" ht="15.75" customHeight="1">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spans="1:26" ht="15.75" customHeight="1">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spans="1:26" ht="15.75" customHeight="1">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spans="1:26" ht="15.75" customHeight="1">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spans="1:26" ht="15.75" customHeight="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spans="1:26" ht="15.75" customHeight="1">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spans="1:26" ht="15.75" customHeight="1">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spans="1:26" ht="15.75" customHeight="1">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spans="1:26" ht="15.75" customHeight="1">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spans="1:26" ht="15.75" customHeight="1">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spans="1:26" ht="15.75" customHeight="1">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spans="1:26" ht="15.75" customHeight="1">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spans="1:26" ht="15.75" customHeight="1">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spans="1:26" ht="15.75" customHeight="1">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spans="1:26" ht="15.75" customHeight="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spans="1:26" ht="15.75" customHeight="1">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spans="1:26" ht="15.75" customHeight="1">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spans="1:26" ht="15.75" customHeight="1">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spans="1:26" ht="15.75" customHeight="1">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spans="1:26" ht="15.75" customHeight="1">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spans="1:26" ht="15.75" customHeight="1">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spans="1:26" ht="15.75" customHeight="1">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spans="1:26" ht="15.75" customHeight="1">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spans="1:26" ht="15.75" customHeight="1">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spans="1:26" ht="15.75" customHeight="1">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spans="1:26" ht="15.75" customHeight="1">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spans="1:26" ht="15.75" customHeight="1">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spans="1:26" ht="15.75" customHeight="1">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spans="1:26" ht="15.75" customHeight="1">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spans="1:26" ht="15.75" customHeight="1">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spans="1:26" ht="15.75" customHeight="1">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spans="1:26" ht="15.75" customHeight="1">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spans="1:26" ht="15.75" customHeight="1">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spans="1:26" ht="15.75" customHeight="1">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spans="1:26" ht="15.75" customHeight="1">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spans="1:26" ht="15.75" customHeight="1">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spans="1:26" ht="15.75" customHeight="1">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spans="1:26" ht="15.75" customHeight="1">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spans="1:26" ht="15.75" customHeight="1">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spans="1:26" ht="15.75" customHeight="1">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spans="1:26" ht="15.75" customHeight="1">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spans="1:26" ht="15.75" customHeight="1">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spans="1:26" ht="15.75" customHeight="1">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spans="1:26" ht="15.75" customHeight="1">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spans="1:26" ht="15.75" customHeight="1">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spans="1:26" ht="15.75" customHeight="1">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spans="1:26" ht="15.75" customHeight="1">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spans="1:26" ht="15.75" customHeight="1">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spans="1:26" ht="15.75" customHeight="1">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spans="1:26" ht="15.75" customHeight="1">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spans="1:26" ht="15.75" customHeight="1">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spans="1:26" ht="15.75" customHeight="1">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spans="1:26" ht="15.75" customHeight="1">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spans="1:26" ht="15.75" customHeight="1">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spans="1:26" ht="15.75" customHeight="1">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spans="1:26" ht="15.75" customHeight="1">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spans="1:26" ht="15.75" customHeight="1">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spans="1:26" ht="15.75" customHeight="1">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spans="1:26" ht="15.75" customHeight="1">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spans="1:26" ht="15.75" customHeight="1">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spans="1:26" ht="15.75" customHeight="1">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spans="1:26" ht="15.75" customHeight="1">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spans="1:26" ht="15.75" customHeight="1">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spans="1:26" ht="15.75" customHeight="1">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spans="1:26" ht="15.75" customHeight="1">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spans="1:26" ht="15.75" customHeight="1">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spans="1:26" ht="15.75" customHeight="1">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spans="1:26" ht="15.75" customHeight="1">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spans="1:26" ht="15.75" customHeight="1">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spans="1:26" ht="15.75" customHeight="1">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spans="1:26" ht="15.75" customHeight="1">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spans="1:26" ht="15.75" customHeight="1">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spans="1:26" ht="15.75" customHeight="1">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spans="1:26" ht="15.75" customHeight="1">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spans="1:26" ht="15.75" customHeight="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spans="1:26" ht="15.75" customHeight="1">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spans="1:26" ht="15.75" customHeight="1">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spans="1:26" ht="15.75" customHeight="1">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spans="1:26" ht="15.75" customHeight="1">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spans="1:26" ht="15.75" customHeight="1">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spans="1:26" ht="15.75" customHeight="1">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spans="1:26" ht="15.75" customHeight="1">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spans="1:26" ht="15.75" customHeight="1">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spans="1:26" ht="15.75" customHeight="1">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spans="1:26" ht="15.75" customHeight="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spans="1:26" ht="15.75" customHeight="1">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spans="1:26" ht="15.75" customHeight="1">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spans="1:26" ht="15.75" customHeight="1">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spans="1:26" ht="15.75" customHeight="1">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spans="1:26" ht="15.75" customHeight="1">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spans="1:26" ht="15.75" customHeight="1">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spans="1:26" ht="15.75" customHeight="1">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spans="1:26" ht="15.75" customHeight="1">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spans="1:26" ht="15.75" customHeight="1">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spans="1:26" ht="15.75" customHeight="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spans="1:26" ht="15.75" customHeight="1">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spans="1:26" ht="15.75" customHeight="1">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spans="1:26" ht="15.75" customHeight="1">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spans="1:26" ht="15.75" customHeight="1">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spans="1:26" ht="15.75" customHeight="1">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spans="1:26" ht="15.75" customHeight="1">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spans="1:26" ht="15.75" customHeight="1">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spans="1:26" ht="15.75" customHeight="1">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spans="1:26" ht="15.75" customHeight="1">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spans="1:26" ht="15.75" customHeight="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spans="1:26" ht="15.75" customHeight="1">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spans="1:26" ht="15.75" customHeight="1">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spans="1:26" ht="15.75" customHeight="1">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spans="1:26" ht="15.75" customHeight="1">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spans="1:26" ht="15.75" customHeight="1">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spans="1:26" ht="15.75" customHeight="1">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spans="1:26" ht="15.75" customHeight="1">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spans="1:26" ht="15.75" customHeight="1">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spans="1:26" ht="15.75" customHeight="1">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spans="1:26" ht="15.75" customHeight="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spans="1:26" ht="15.75" customHeight="1">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spans="1:26" ht="15.75" customHeight="1">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spans="1:26" ht="15.75" customHeight="1">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spans="1:26" ht="15.75" customHeight="1">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spans="1:26" ht="15.75" customHeight="1">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spans="1:26" ht="15.75" customHeight="1">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spans="1:26" ht="15.75" customHeight="1">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spans="1:26" ht="15.75" customHeight="1">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spans="1:26" ht="15.75" customHeight="1">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spans="1:26" ht="15.75" customHeight="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spans="1:26" ht="15.75" customHeight="1">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spans="1:26" ht="15.75" customHeight="1">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spans="1:26" ht="15.75" customHeight="1">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spans="1:26" ht="15.75" customHeight="1">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spans="1:26" ht="15.75" customHeight="1">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spans="1:26" ht="15.75" customHeight="1">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spans="1:26" ht="15.75" customHeight="1">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spans="1:26" ht="15.75" customHeight="1">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spans="1:26" ht="15.75" customHeight="1">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spans="1:26" ht="15.75" customHeight="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spans="1:26" ht="15.75" customHeight="1">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spans="1:26" ht="15.75" customHeight="1">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spans="1:26" ht="15.75" customHeight="1">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spans="1:26" ht="15.75" customHeight="1">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spans="1:26" ht="15.75" customHeight="1">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spans="1:26" ht="15.75" customHeight="1">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spans="1:26" ht="15.75" customHeight="1">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spans="1:26" ht="15.75" customHeight="1">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spans="1:26" ht="15.75" customHeight="1">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spans="1:26" ht="15.75" customHeight="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spans="1:26" ht="15.75" customHeight="1">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spans="1:26" ht="15.75" customHeight="1">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spans="1:26" ht="15.75" customHeight="1">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spans="1:26" ht="15.75" customHeight="1">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spans="1:26" ht="15.75" customHeight="1">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spans="1:26" ht="15.75" customHeight="1">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spans="1:26" ht="15.75" customHeight="1">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spans="1:26" ht="15.75" customHeight="1">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spans="1:26" ht="15.75" customHeight="1">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spans="1:26" ht="15.75" customHeight="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spans="1:26" ht="15.75" customHeight="1">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spans="1:26" ht="15.75" customHeight="1">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spans="1:26" ht="15.75" customHeight="1">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spans="1:26" ht="15.75" customHeight="1">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spans="1:26" ht="15.75" customHeight="1">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spans="1:26" ht="15.75" customHeight="1">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spans="1:26" ht="15.75" customHeight="1">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spans="1:26" ht="15.75" customHeight="1">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spans="1:26" ht="15.75" customHeight="1">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spans="1:26" ht="15.75" customHeight="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spans="1:26" ht="15.75" customHeight="1">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spans="1:26" ht="15.75" customHeight="1">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spans="1:26" ht="15.75" customHeight="1">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spans="1:26" ht="15.75" customHeight="1">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spans="1:26" ht="15.75" customHeight="1">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spans="1:26" ht="15.75" customHeight="1">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spans="1:26" ht="15.75" customHeight="1">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spans="1:26" ht="15.75" customHeight="1">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spans="1:26" ht="15.75" customHeight="1">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spans="1:26" ht="15.75" customHeight="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spans="1:26" ht="15.75" customHeight="1">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spans="1:26" ht="15.75" customHeight="1">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spans="1:26" ht="15.75" customHeight="1">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spans="1:26" ht="15.75" customHeight="1">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spans="1:26" ht="15.75" customHeight="1">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spans="1:26" ht="15.75" customHeight="1">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spans="1:26" ht="15.75" customHeight="1">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spans="1:26" ht="15.75" customHeight="1">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spans="1:26" ht="15.75" customHeight="1">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spans="1:26" ht="15.75" customHeight="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spans="1:26" ht="15.75" customHeight="1">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spans="1:26" ht="15.75" customHeight="1">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spans="1:26" ht="15.75" customHeight="1">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spans="1:26" ht="15.75" customHeight="1">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spans="1:26" ht="15.75" customHeight="1">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spans="1:26" ht="15.75" customHeight="1">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spans="1:26" ht="15.75" customHeight="1">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spans="1:26" ht="15.75" customHeight="1">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spans="1:26" ht="15.75" customHeight="1">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spans="1:26" ht="15.75" customHeight="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spans="1:26" ht="15.75" customHeight="1">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spans="1:26" ht="15.75" customHeight="1">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spans="1:26" ht="15.75" customHeight="1">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spans="1:26" ht="15.75" customHeight="1">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spans="1:26" ht="15.75" customHeight="1">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spans="1:26" ht="15.75" customHeight="1">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spans="1:26" ht="15.75" customHeight="1">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spans="1:26" ht="15.75" customHeight="1">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spans="1:26" ht="15.75" customHeight="1">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spans="1:26" ht="15.75" customHeight="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spans="1:26" ht="15.75" customHeight="1">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spans="1:26" ht="15.75" customHeight="1">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spans="1:26" ht="15.75" customHeight="1">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spans="1:26" ht="15.75" customHeight="1">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spans="1:26" ht="15.75" customHeight="1">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spans="1:26" ht="15.75" customHeight="1">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spans="1:26" ht="15.75" customHeight="1">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spans="1:26" ht="15.75" customHeight="1">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spans="1:26" ht="15.75" customHeight="1">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spans="1:26" ht="15.75" customHeight="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spans="1:26" ht="15.75" customHeight="1">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spans="1:26" ht="15.75" customHeight="1">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spans="1:26" ht="15.75" customHeight="1">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spans="1:26" ht="15.75" customHeight="1">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spans="1:26" ht="15.75" customHeight="1">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spans="1:26" ht="15.75" customHeight="1">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spans="1:26" ht="15.75" customHeight="1">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spans="1:26" ht="15.75" customHeight="1">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spans="1:26" ht="15.75" customHeight="1">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spans="1:26" ht="15.75" customHeight="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spans="1:26" ht="15.75" customHeight="1">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spans="1:26" ht="15.75" customHeight="1">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spans="1:26" ht="15.75" customHeight="1">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spans="1:26" ht="15.75" customHeight="1">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spans="1:26" ht="15.75" customHeight="1">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spans="1:26" ht="15.75" customHeight="1">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spans="1:26" ht="15.75" customHeight="1">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spans="1:26" ht="15.75" customHeight="1">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spans="1:26" ht="15.75" customHeight="1">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spans="1:26" ht="15.75" customHeight="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spans="1:26" ht="15.75" customHeight="1">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spans="1:26" ht="15.75" customHeight="1">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spans="1:26" ht="15.75" customHeight="1">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spans="1:26" ht="15.75" customHeight="1">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spans="1:26" ht="15.75" customHeight="1">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spans="1:26" ht="15.75" customHeight="1">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spans="1:26" ht="15.75" customHeight="1">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spans="1:26" ht="15.75" customHeight="1">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spans="1:26" ht="15.75" customHeight="1">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spans="1:26" ht="15.75" customHeight="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spans="1:26" ht="15.75" customHeight="1">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spans="1:26" ht="15.75" customHeight="1">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spans="1:26" ht="15.75" customHeight="1">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spans="1:26" ht="15.75" customHeight="1">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spans="1:26" ht="15.75" customHeight="1">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spans="1:26" ht="15.75" customHeight="1">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spans="1:26" ht="15.75" customHeight="1">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spans="1:26" ht="15.75" customHeight="1">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spans="1:26" ht="15.75" customHeight="1">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spans="1:26" ht="15.75" customHeight="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spans="1:26" ht="15.75" customHeight="1">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spans="1:26" ht="15.75" customHeight="1">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spans="1:26" ht="15.75" customHeight="1">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spans="1:26" ht="15.75" customHeight="1">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spans="1:26" ht="15.75" customHeight="1">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spans="1:26" ht="15.75" customHeight="1">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spans="1:26" ht="15.75" customHeight="1">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spans="1:26" ht="15.75" customHeight="1">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spans="1:26" ht="15.75" customHeight="1">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spans="1:26" ht="15.75" customHeight="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spans="1:26" ht="15.75" customHeight="1">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spans="1:26" ht="15.75" customHeight="1">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spans="1:26" ht="15.75" customHeight="1">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spans="1:26" ht="15.75" customHeight="1">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spans="1:26" ht="15.75" customHeight="1">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spans="1:26" ht="15.75" customHeight="1">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spans="1:26" ht="15.75" customHeight="1">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spans="1:26" ht="15.75" customHeight="1">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spans="1:26" ht="15.75" customHeight="1">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spans="1:26" ht="15.75" customHeight="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spans="1:26" ht="15.75" customHeight="1">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spans="1:26" ht="15.75" customHeight="1">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spans="1:26" ht="15.75" customHeight="1">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spans="1:26" ht="15.75" customHeight="1">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spans="1:26" ht="15.75" customHeight="1">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spans="1:26" ht="15.75" customHeight="1">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spans="1:26" ht="15.75" customHeight="1">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spans="1:26" ht="15.75" customHeight="1">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spans="1:26" ht="15.75" customHeight="1">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spans="1:26" ht="15.75" customHeight="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spans="1:26" ht="15.75" customHeight="1">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spans="1:26" ht="15.75" customHeight="1">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spans="1:26" ht="15.75" customHeight="1">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spans="1:26" ht="15.75" customHeight="1">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spans="1:26" ht="15.75" customHeight="1">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spans="1:26" ht="15.75" customHeight="1">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spans="1:26" ht="15.75" customHeight="1">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spans="1:26" ht="15.75" customHeight="1">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spans="1:26" ht="15.75" customHeight="1">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spans="1:26" ht="15.75" customHeight="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spans="1:26" ht="15.75" customHeight="1">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spans="1:26" ht="15.75" customHeight="1">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spans="1:26" ht="15.75" customHeight="1">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spans="1:26" ht="15.75" customHeight="1">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spans="1:26" ht="15.75" customHeight="1">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spans="1:26" ht="15.75" customHeight="1">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spans="1:26" ht="15.75" customHeight="1">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spans="1:26" ht="15.75" customHeight="1">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spans="1:26" ht="15.75" customHeight="1">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spans="1:26" ht="15.75" customHeight="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spans="1:26" ht="15.75" customHeight="1">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spans="1:26" ht="15.75" customHeight="1">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spans="1:26" ht="15.75" customHeight="1">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spans="1:26" ht="15.75" customHeight="1">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spans="1:26" ht="15.75" customHeight="1">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spans="1:26" ht="15.75" customHeight="1">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spans="1:26" ht="15.75" customHeight="1">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spans="1:26" ht="15.75" customHeight="1">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spans="1:26" ht="15.75" customHeight="1">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spans="1:26" ht="15.75" customHeight="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spans="1:26" ht="15.75" customHeight="1">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spans="1:26" ht="15.75" customHeight="1">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spans="1:26" ht="15.75" customHeight="1">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spans="1:26" ht="15.75" customHeight="1">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spans="1:26" ht="15.75" customHeight="1">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spans="1:26" ht="15.75" customHeight="1">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spans="1:26" ht="15.75" customHeight="1">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spans="1:26" ht="15.75" customHeight="1">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spans="1:26" ht="15.75" customHeight="1">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spans="1:26" ht="15.75" customHeight="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spans="1:26" ht="15.75" customHeight="1">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spans="1:26" ht="15.75" customHeight="1">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spans="1:26" ht="15.75" customHeight="1">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spans="1:26" ht="15.75" customHeight="1">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spans="1:26" ht="15.75" customHeight="1">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spans="1:26" ht="15.75" customHeight="1">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spans="1:26" ht="15.75" customHeight="1">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spans="1:26" ht="15.75" customHeight="1">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spans="1:26" ht="15.75" customHeight="1">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spans="1:26" ht="15.75" customHeight="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spans="1:26" ht="15.75" customHeight="1">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spans="1:26" ht="15.75" customHeight="1">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spans="1:26" ht="15.75" customHeight="1">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spans="1:26" ht="15.75" customHeight="1">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spans="1:26" ht="15.75" customHeight="1">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spans="1:26" ht="15.75" customHeight="1">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spans="1:26" ht="15.75" customHeight="1">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spans="1:26" ht="15.75" customHeight="1">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spans="1:26" ht="15.75" customHeight="1">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spans="1:26" ht="15.75" customHeight="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spans="1:26" ht="15.75" customHeight="1">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spans="1:26" ht="15.75" customHeight="1">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spans="1:26" ht="15.75" customHeight="1">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spans="1:26" ht="15.75" customHeight="1">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spans="1:26" ht="15.75" customHeight="1">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spans="1:26" ht="15.75" customHeight="1">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spans="1:26" ht="15.75" customHeight="1">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spans="1:26" ht="15.75" customHeight="1">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spans="1:26" ht="15.75" customHeight="1">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spans="1:26" ht="15.75" customHeight="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spans="1:26" ht="15.75" customHeight="1">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spans="1:26" ht="15.75" customHeight="1">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spans="1:26" ht="15.75" customHeight="1">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spans="1:26" ht="15.75" customHeight="1">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spans="1:26" ht="15.75" customHeight="1">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spans="1:26" ht="15.75" customHeight="1">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spans="1:26" ht="15.75" customHeight="1">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spans="1:26" ht="15.75" customHeight="1">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spans="1:26" ht="15.75" customHeight="1">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spans="1:26" ht="15.75" customHeight="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spans="1:26" ht="15.75" customHeight="1">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spans="1:26" ht="15.75" customHeight="1">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spans="1:26" ht="15.75" customHeight="1">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spans="1:26" ht="15.75" customHeight="1">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spans="1:26" ht="15.75" customHeight="1">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spans="1:26" ht="15.75" customHeight="1">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spans="1:26" ht="15.75" customHeight="1">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spans="1:26" ht="15.75" customHeight="1">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spans="1:26" ht="15.75" customHeight="1">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spans="1:26" ht="15.75" customHeight="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spans="1:26" ht="15.75" customHeight="1">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spans="1:26" ht="15.75" customHeight="1">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spans="1:26" ht="15.75" customHeight="1">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spans="1:26" ht="15.75" customHeight="1">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spans="1:26" ht="15.75" customHeight="1">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spans="1:26" ht="15.75" customHeight="1">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spans="1:26" ht="15.75" customHeight="1">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spans="1:26" ht="15.75" customHeight="1">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spans="1:26" ht="15.75" customHeight="1">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spans="1:26" ht="15.75" customHeight="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spans="1:26" ht="15.75" customHeight="1">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spans="1:26" ht="15.75" customHeight="1">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spans="1:26" ht="15.75" customHeight="1">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spans="1:26" ht="15.75" customHeight="1">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spans="1:26" ht="15.75" customHeight="1">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spans="1:26" ht="15.75" customHeight="1">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spans="1:26" ht="15.75" customHeight="1">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spans="1:26" ht="15.75" customHeight="1">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spans="1:26" ht="15.75" customHeight="1">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spans="1:26" ht="15.75" customHeight="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spans="1:26" ht="15.75" customHeight="1">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spans="1:26" ht="15.75" customHeight="1">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spans="1:26" ht="15.75" customHeight="1">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spans="1:26" ht="15.75" customHeight="1">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spans="1:26" ht="15.75" customHeight="1">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spans="1:26" ht="15.75" customHeight="1">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spans="1:26" ht="15.75" customHeight="1">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spans="1:26" ht="15.75" customHeight="1">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spans="1:26" ht="15.75" customHeight="1">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spans="1:26" ht="15.75" customHeight="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spans="1:26" ht="15.75" customHeight="1">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spans="1:26" ht="15.75" customHeight="1">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spans="1:26" ht="15.75" customHeight="1">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spans="1:26" ht="15.75" customHeight="1">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spans="1:26" ht="15.75" customHeight="1">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spans="1:26" ht="15.75" customHeight="1">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spans="1:26" ht="15.75" customHeight="1">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spans="1:26" ht="15.75" customHeight="1">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spans="1:26" ht="15.75" customHeight="1">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spans="1:26" ht="15.75" customHeight="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spans="1:26" ht="15.75" customHeight="1">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spans="1:26" ht="15.75" customHeight="1">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spans="1:26" ht="15.75" customHeight="1">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spans="1:26" ht="15.75" customHeight="1">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spans="1:26" ht="15.75" customHeight="1">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spans="1:26" ht="15.75" customHeight="1">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spans="1:26" ht="15.75" customHeight="1">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spans="1:26" ht="15.75" customHeight="1">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spans="1:26" ht="15.75" customHeight="1">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spans="1:26" ht="15.75" customHeight="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spans="1:26" ht="15.75" customHeight="1">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spans="1:26" ht="15.75" customHeight="1">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spans="1:26" ht="15.75" customHeight="1">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spans="1:26" ht="15.75" customHeight="1">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spans="1:26" ht="15.75" customHeight="1">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spans="1:26" ht="15.75" customHeight="1">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spans="1:26" ht="15.75" customHeight="1">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spans="1:26" ht="15.75" customHeight="1">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spans="1:26" ht="15.75" customHeight="1">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spans="1:26" ht="15.75" customHeight="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spans="1:26" ht="15.75" customHeight="1">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spans="1:26" ht="15.75" customHeight="1">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spans="1:26" ht="15.75" customHeight="1">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spans="1:26" ht="15.75" customHeight="1">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spans="1:26" ht="15.75" customHeight="1">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spans="1:26" ht="15.75" customHeight="1">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spans="1:26" ht="15.75" customHeight="1">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spans="1:26" ht="15.75" customHeight="1">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spans="1:26" ht="15.75" customHeight="1">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spans="1:26" ht="15.75" customHeight="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spans="1:26" ht="15.75" customHeight="1">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spans="1:26" ht="15.75" customHeight="1">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spans="1:26" ht="15.75" customHeight="1">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spans="1:26" ht="15.75" customHeight="1">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spans="1:26" ht="15.75" customHeight="1">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spans="1:26" ht="15.75" customHeight="1">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spans="1:26" ht="15.75" customHeight="1">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spans="1:26" ht="15.75" customHeight="1">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spans="1:26" ht="15.75" customHeight="1">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spans="1:26" ht="15.75" customHeight="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spans="1:26" ht="15.75" customHeight="1">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spans="1:26" ht="15.75" customHeight="1">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spans="1:26" ht="15.75" customHeight="1">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spans="1:26" ht="15.75" customHeight="1">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spans="1:26" ht="15.75" customHeight="1">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spans="1:26" ht="15.75" customHeight="1">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spans="1:26" ht="15.75" customHeight="1">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spans="1:26" ht="15.75" customHeight="1">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spans="1:26" ht="15.75" customHeight="1">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spans="1:26" ht="15.75" customHeight="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spans="1:26" ht="15.75" customHeight="1">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spans="1:26" ht="15.75" customHeight="1">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spans="1:26" ht="15.75" customHeight="1">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spans="1:26" ht="15.75" customHeight="1">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spans="1:26" ht="15.75" customHeight="1">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spans="1:26" ht="15.75" customHeight="1">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spans="1:26" ht="15.75" customHeight="1">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spans="1:26" ht="15.75" customHeight="1">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spans="1:26" ht="15.75" customHeight="1">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spans="1:26" ht="15.75" customHeight="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spans="1:26" ht="15.75" customHeight="1">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spans="1:26" ht="15.75" customHeight="1">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spans="1:26" ht="15.75" customHeight="1">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spans="1:26" ht="15.75" customHeight="1">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spans="1:26" ht="15.75" customHeight="1">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spans="1:26" ht="15.75" customHeight="1">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spans="1:26" ht="15.75" customHeight="1">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spans="1:26" ht="15.75" customHeight="1">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spans="1:26" ht="15.75" customHeight="1">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spans="1:26" ht="15.75" customHeight="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spans="1:26" ht="15.75" customHeight="1">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spans="1:26" ht="15.75" customHeight="1">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spans="1:26" ht="15.75" customHeight="1">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spans="1:26" ht="15.75" customHeight="1">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spans="1:26" ht="15.75" customHeight="1">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spans="1:26" ht="15.75" customHeight="1">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spans="1:26" ht="15.75" customHeight="1">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spans="1:26" ht="15.75" customHeight="1">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spans="1:26" ht="15.75" customHeight="1">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spans="1:26" ht="15.75" customHeight="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spans="1:26" ht="15.75" customHeight="1">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spans="1:26" ht="15.75" customHeight="1">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spans="1:26" ht="15.75" customHeight="1">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spans="1:26" ht="15.75" customHeight="1">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spans="1:26" ht="15.75" customHeight="1">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spans="1:26" ht="15.75" customHeight="1">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spans="1:26" ht="15.75" customHeight="1">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spans="1:26" ht="15.75" customHeight="1">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spans="1:26" ht="15.75" customHeight="1">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spans="1:26" ht="15.75" customHeight="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spans="1:26" ht="15.75" customHeight="1">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spans="1:26" ht="15.75" customHeight="1">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spans="1:26" ht="15.75" customHeight="1">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spans="1:26" ht="15.75" customHeight="1">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spans="1:26" ht="15.75" customHeight="1">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spans="1:26" ht="15.75" customHeight="1">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spans="1:26" ht="15.75" customHeight="1">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spans="1:26" ht="15.75" customHeight="1">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spans="1:26" ht="15.75" customHeight="1">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spans="1:26" ht="15.75" customHeight="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spans="1:26" ht="15.75" customHeight="1">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spans="1:26" ht="15.75" customHeight="1">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spans="1:26" ht="15.75" customHeight="1">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spans="1:26" ht="15.75" customHeight="1">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spans="1:26" ht="15.75" customHeight="1">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spans="1:26" ht="15.75" customHeight="1">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spans="1:26" ht="15.75" customHeight="1">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spans="1:26" ht="15.75" customHeight="1">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spans="1:26" ht="15.75" customHeight="1">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spans="1:26" ht="15.75" customHeight="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spans="1:26" ht="15.75" customHeight="1">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spans="1:26" ht="15.75" customHeight="1">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spans="1:26" ht="15.75" customHeight="1">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spans="1:26" ht="15.75" customHeight="1">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spans="1:26" ht="15.75" customHeight="1">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spans="1:26" ht="15.75" customHeight="1">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spans="1:26" ht="15.75" customHeight="1">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spans="1:26" ht="15.75" customHeight="1">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spans="1:26" ht="15.75" customHeight="1">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spans="1:26" ht="15.75" customHeight="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spans="1:26" ht="15.75" customHeight="1">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spans="1:26" ht="15.75" customHeight="1">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spans="1:26" ht="15.75" customHeight="1">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spans="1:26" ht="15.75" customHeight="1">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spans="1:26" ht="15.75" customHeight="1">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spans="1:26" ht="15.75" customHeight="1">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spans="1:26" ht="15.75" customHeight="1">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spans="1:26" ht="15.75" customHeight="1">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spans="1:26" ht="15.75" customHeight="1">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spans="1:26" ht="15.75" customHeight="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spans="1:26" ht="15.75" customHeight="1">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spans="1:26" ht="15.75" customHeight="1">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spans="1:26" ht="15.75" customHeight="1">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spans="1:26" ht="15.75" customHeight="1">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spans="1:26" ht="15.75" customHeight="1">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spans="1:26" ht="15.75" customHeight="1">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spans="1:26" ht="15.75" customHeight="1">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spans="1:26" ht="15.75" customHeight="1">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spans="1:26" ht="15.75" customHeight="1">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spans="1:26" ht="15.75" customHeight="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spans="1:26" ht="15.75" customHeight="1">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spans="1:26" ht="15.75" customHeight="1">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spans="1:26" ht="15.75" customHeight="1">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spans="1:26" ht="15.75" customHeight="1">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spans="1:26" ht="15.75" customHeight="1">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spans="1:26" ht="15.75" customHeight="1">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spans="1:26" ht="15.75" customHeight="1">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spans="1:26" ht="15.75" customHeight="1">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spans="1:26" ht="15.75" customHeight="1">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spans="1:26" ht="15.75" customHeight="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spans="1:26" ht="15.75" customHeight="1">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spans="1:26" ht="15.75" customHeight="1">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spans="1:26" ht="15.75" customHeight="1">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spans="1:26" ht="15.75" customHeight="1">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spans="1:26" ht="15.75" customHeight="1">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spans="1:26" ht="15.75" customHeight="1">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spans="1:26" ht="15.75" customHeight="1">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spans="1:26" ht="15.75" customHeight="1">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spans="1:26" ht="15.75" customHeight="1">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spans="1:26" ht="15.75" customHeight="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spans="1:26" ht="15.75" customHeight="1">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spans="1:26" ht="15.75" customHeight="1">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spans="1:26" ht="15.75" customHeight="1">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spans="1:26" ht="15.75" customHeight="1">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spans="1:26" ht="15.75" customHeight="1">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spans="1:26" ht="15.75" customHeight="1">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spans="1:26" ht="15.75" customHeight="1">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spans="1:26" ht="15.75" customHeight="1">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spans="1:26" ht="15.75" customHeight="1">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spans="1:26" ht="15.75" customHeight="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spans="1:26" ht="15.75" customHeight="1">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spans="1:26" ht="15.75" customHeight="1">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spans="1:26" ht="15.75" customHeight="1">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spans="1:26" ht="15.75" customHeight="1">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spans="1:26" ht="15.75" customHeight="1">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spans="1:26" ht="15.75" customHeight="1">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spans="1:26" ht="15.75" customHeight="1">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spans="1:26" ht="15.75" customHeight="1">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spans="1:26" ht="15.75" customHeight="1">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spans="1:26" ht="15.75" customHeight="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spans="1:26" ht="15.75" customHeight="1">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spans="1:26" ht="15.75" customHeight="1">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spans="1:26" ht="15.75" customHeight="1">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spans="1:26" ht="15.75" customHeight="1">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spans="1:26" ht="15.75" customHeight="1">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spans="1:26" ht="15.75" customHeight="1">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spans="1:26" ht="15.75" customHeight="1">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spans="1:26" ht="15.75" customHeight="1">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spans="1:26" ht="15.75" customHeight="1">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spans="1:26" ht="15.75" customHeight="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spans="1:26" ht="15.75" customHeight="1">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spans="1:26" ht="15.75" customHeight="1">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spans="1:26" ht="15.75" customHeight="1">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spans="1:26" ht="15.75" customHeight="1">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spans="1:26" ht="15.75" customHeight="1">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spans="1:26" ht="15.75" customHeight="1">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spans="1:26" ht="15.75" customHeight="1">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spans="1:26" ht="15.75" customHeight="1">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spans="1:26" ht="15.75" customHeight="1">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spans="1:26" ht="15.75" customHeight="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spans="1:26" ht="15.75" customHeight="1">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spans="1:26" ht="15.75" customHeight="1">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spans="1:26" ht="15.75" customHeight="1">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spans="1:26" ht="15.75" customHeight="1">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spans="1:26" ht="15.75" customHeight="1">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spans="1:26" ht="15.75" customHeight="1">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spans="1:26" ht="15.75" customHeight="1">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spans="1:26" ht="15.75" customHeight="1">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spans="1:26" ht="15.75" customHeight="1">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spans="1:26" ht="15.75" customHeight="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spans="1:26" ht="15.75" customHeight="1">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spans="1:26" ht="15.75" customHeight="1">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spans="1:26" ht="15.75" customHeight="1">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spans="1:26" ht="15.75" customHeight="1">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spans="1:26" ht="15.75" customHeight="1">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spans="1:26" ht="15.75" customHeight="1">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spans="1:26" ht="15.75" customHeight="1">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spans="1:26" ht="15.75" customHeight="1">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spans="1:26" ht="15.75" customHeight="1">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spans="1:26" ht="15.75" customHeight="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spans="1:26" ht="15.75" customHeight="1">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spans="1:26" ht="15.75" customHeight="1">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spans="1:26" ht="15.75" customHeight="1">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spans="1:26" ht="15.75" customHeight="1">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spans="1:26" ht="15.75" customHeight="1">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spans="1:26" ht="15.75" customHeight="1">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spans="1:26" ht="15.75" customHeight="1">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spans="1:26" ht="15.75" customHeight="1">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spans="1:26" ht="15.75" customHeight="1">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spans="1:26" ht="15.75" customHeight="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spans="1:26" ht="15.75" customHeight="1">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spans="1:26" ht="15.75" customHeight="1">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spans="1:26" ht="15.75" customHeight="1">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spans="1:26" ht="15.75" customHeight="1">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spans="1:26" ht="15.75" customHeight="1">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spans="1:26" ht="15.75" customHeight="1">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spans="1:26" ht="15.75" customHeight="1">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spans="1:26" ht="15.75" customHeight="1">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spans="1:26" ht="15.75" customHeight="1">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spans="1:26" ht="15.75" customHeight="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spans="1:26" ht="15.75" customHeight="1">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spans="1:26" ht="15.75" customHeight="1">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spans="1:26" ht="15.75" customHeight="1">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spans="1:26" ht="15.75" customHeight="1">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spans="1:26" ht="15.75" customHeight="1">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spans="1:26" ht="15.75" customHeight="1">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spans="1:26" ht="15.75" customHeight="1">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spans="1:26" ht="15.75" customHeight="1">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spans="1:26" ht="15.75" customHeight="1">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spans="1:26" ht="15.75" customHeight="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spans="1:26" ht="15.75" customHeight="1">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spans="1:26" ht="15.75" customHeight="1">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spans="1:26" ht="15.75" customHeight="1">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spans="1:26" ht="15.75" customHeight="1">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spans="1:26" ht="15.75" customHeight="1">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spans="1:26" ht="15.75" customHeight="1">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spans="1:26" ht="15.75" customHeight="1">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spans="1:26" ht="15.75" customHeight="1">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spans="1:26" ht="15.75" customHeight="1">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spans="1:26" ht="15.75" customHeight="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spans="1:26" ht="15.75" customHeight="1">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spans="1:26" ht="15.75" customHeight="1">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spans="1:26" ht="15.75" customHeight="1">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spans="1:26" ht="15.75" customHeight="1">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spans="1:26" ht="15.75" customHeight="1">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spans="1:26" ht="15.75" customHeight="1">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spans="1:26" ht="15.75" customHeight="1">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spans="1:26" ht="15.75" customHeight="1">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spans="1:26" ht="15.75" customHeight="1">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spans="1:26" ht="15.75" customHeight="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spans="1:26" ht="15.75" customHeight="1">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spans="1:26" ht="15.75" customHeight="1">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spans="1:26" ht="15.75" customHeight="1">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spans="1:26" ht="15.75" customHeight="1">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spans="1:26" ht="15.75" customHeight="1">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spans="1:26" ht="15.75" customHeight="1">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spans="1:26" ht="15.75" customHeight="1">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spans="1:26" ht="15.75" customHeight="1">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spans="1:26" ht="15.75" customHeight="1">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spans="1:26" ht="15.75" customHeight="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spans="1:26" ht="15.75" customHeight="1">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spans="1:26" ht="15.75" customHeight="1">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spans="1:26" ht="15.75" customHeight="1">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spans="1:26" ht="15.75" customHeight="1">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spans="1:26" ht="15.75" customHeight="1">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spans="1:26" ht="15.75" customHeight="1">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spans="1:26" ht="15.75" customHeight="1">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spans="1:26" ht="15.75" customHeight="1">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spans="1:26" ht="15.75" customHeight="1">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spans="1:26" ht="15.75" customHeight="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spans="1:26" ht="15.75" customHeight="1">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spans="1:26" ht="15.75" customHeight="1">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spans="1:26" ht="15.75" customHeight="1">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spans="1:26" ht="15.75" customHeight="1">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spans="1:26" ht="15.75" customHeight="1">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spans="1:26" ht="15.75" customHeight="1">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spans="1:26" ht="15.75" customHeight="1">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spans="1:26" ht="15.75" customHeight="1">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spans="1:26" ht="15.75" customHeight="1">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spans="1:26" ht="15.75" customHeight="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spans="1:26" ht="15.75" customHeight="1">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spans="1:26" ht="15.75" customHeight="1">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spans="1:26" ht="15.75" customHeight="1">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spans="1:26" ht="15.75" customHeight="1">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spans="1:26" ht="15.75" customHeight="1">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spans="1:26" ht="15.75" customHeight="1">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spans="1:26" ht="15.75" customHeight="1">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spans="1:26" ht="15.75" customHeight="1">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spans="1:26" ht="15.75" customHeight="1">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spans="1:26" ht="15.75" customHeight="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spans="1:26" ht="15.75" customHeight="1">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spans="1:26" ht="15.75" customHeight="1">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spans="1:26" ht="15.75" customHeight="1">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spans="1:26" ht="15.75" customHeight="1">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spans="1:26" ht="15.75" customHeight="1">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spans="1:26" ht="15.75" customHeight="1">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spans="1:26" ht="15.75" customHeight="1">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spans="1:26" ht="15.75" customHeight="1">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spans="1:26" ht="15.75" customHeight="1">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spans="1:26" ht="15.75" customHeight="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spans="1:26" ht="15.75" customHeight="1">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spans="1:26" ht="15.75" customHeight="1">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spans="1:26" ht="15.75" customHeight="1">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spans="1:26" ht="15.75" customHeight="1">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spans="1:26" ht="15.75" customHeight="1">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spans="1:26" ht="15.75" customHeight="1">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spans="1:26" ht="15.75" customHeight="1">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spans="1:26" ht="15.75" customHeight="1">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spans="1:26" ht="15.75" customHeight="1">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spans="1:26" ht="15.75" customHeight="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spans="1:26" ht="15.75" customHeight="1">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spans="1:26" ht="15.75" customHeight="1">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spans="1:26" ht="15.75" customHeight="1">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spans="1:26" ht="15.75" customHeight="1">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spans="1:26" ht="15.75" customHeight="1">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spans="1:26" ht="15.75" customHeight="1">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spans="1:26" ht="15.75" customHeight="1">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spans="1:26" ht="15.75" customHeight="1">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spans="1:26" ht="15.75" customHeight="1">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spans="1:26" ht="15.75" customHeight="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spans="1:26" ht="15.75" customHeight="1">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spans="1:26" ht="15.75" customHeight="1">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spans="1:26" ht="15.75" customHeight="1">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spans="1:26" ht="15.75" customHeight="1">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spans="1:26" ht="15.75" customHeight="1">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spans="1:26" ht="15.75" customHeight="1">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spans="1:26" ht="15.75" customHeight="1">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spans="1:26" ht="15.75" customHeight="1">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spans="1:26" ht="15.75" customHeight="1">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spans="1:26" ht="15.75" customHeight="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spans="1:26" ht="15.75" customHeight="1">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spans="1:26" ht="15.75" customHeight="1">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spans="1:26" ht="15.75" customHeight="1">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spans="1:26" ht="15.75" customHeight="1">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spans="1:26" ht="15.75" customHeight="1">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spans="1:26" ht="15.75" customHeight="1">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spans="1:26" ht="15.75" customHeight="1">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spans="1:26" ht="15.75" customHeight="1">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spans="1:26" ht="15.75" customHeight="1">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spans="1:26" ht="15.75" customHeight="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spans="1:26" ht="15.75" customHeight="1">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spans="1:26" ht="15.75" customHeight="1">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spans="1:26" ht="15.75" customHeight="1">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spans="1:26" ht="15.75" customHeight="1">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spans="1:26" ht="15.75" customHeight="1">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spans="1:26" ht="15.75" customHeight="1">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spans="1:26" ht="15.75" customHeight="1">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spans="1:26" ht="15.75" customHeight="1">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spans="1:26" ht="15.75" customHeight="1">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spans="1:26" ht="15.75" customHeight="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spans="1:26" ht="15.75" customHeight="1">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spans="1:26" ht="15.75" customHeight="1">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spans="1:26" ht="15.75" customHeight="1">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spans="1:26" ht="15.75" customHeight="1">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spans="1:26" ht="15.75" customHeight="1">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spans="1:26" ht="15.75" customHeight="1">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spans="1:26" ht="15.75" customHeight="1">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spans="1:26" ht="15.75" customHeight="1">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spans="1:26" ht="15.75" customHeight="1">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spans="1:26" ht="15.75" customHeight="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spans="1:26" ht="15.75" customHeight="1">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spans="1:26" ht="15.75" customHeight="1">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spans="1:26" ht="15.75" customHeight="1">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spans="1:26" ht="15.75" customHeight="1">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spans="1:26" ht="15.75" customHeight="1">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spans="1:26" ht="15.75" customHeight="1">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spans="1:26" ht="15.75" customHeight="1">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spans="1:26" ht="15.75" customHeight="1">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spans="1:26" ht="15.75" customHeight="1">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spans="1:26" ht="15.75" customHeight="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spans="1:26" ht="15.75" customHeight="1">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spans="1:26" ht="15.75" customHeight="1">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spans="1:26" ht="15.75" customHeight="1">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spans="1:26" ht="15.75" customHeight="1">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spans="1:26" ht="15.75" customHeight="1">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spans="1:26" ht="15.75" customHeight="1">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spans="1:26" ht="15.75" customHeight="1">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spans="1:26" ht="15.75" customHeight="1">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spans="1:26" ht="15.75" customHeight="1">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spans="1:26" ht="15.75" customHeight="1">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spans="1:26" ht="15.75" customHeight="1">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spans="1:26" ht="15.75" customHeight="1">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spans="1:26" ht="15.75" customHeight="1">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spans="1:26" ht="15.75" customHeight="1">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spans="1:26" ht="15.75" customHeight="1">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spans="1:26" ht="15.75" customHeight="1">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spans="1:26" ht="15.75" customHeight="1">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spans="1:26" ht="15.75" customHeight="1">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spans="1:26" ht="15.75" customHeight="1">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spans="1:26" ht="15.75" customHeight="1">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spans="1:26" ht="15.75" customHeight="1">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spans="1:26" ht="15.75" customHeight="1">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spans="1:26" ht="15.75" customHeight="1">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spans="1:26" ht="15.75" customHeight="1">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spans="1:26" ht="15.75" customHeight="1">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spans="1:26" ht="15.75" customHeight="1">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row r="998" spans="1:26" ht="15.75" customHeight="1">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row>
    <row r="999" spans="1:26" ht="15.75" customHeight="1">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row>
    <row r="1000" spans="1:26" ht="15.75" customHeight="1">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sheetData>
  <mergeCells count="1">
    <mergeCell ref="C2:E2"/>
  </mergeCells>
  <pageMargins left="0.7" right="0.7" top="0.75" bottom="0.75" header="0" footer="0"/>
  <pageSetup orientation="landscape"/>
  <headerFooter>
    <oddHeader>&amp;CNon-Title 1 ESEA FY2021-2022</oddHeader>
    <oddFooter>&amp;CPage &amp;P of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1000"/>
  <sheetViews>
    <sheetView workbookViewId="0">
      <selection activeCell="N17" sqref="N17"/>
    </sheetView>
  </sheetViews>
  <sheetFormatPr defaultColWidth="16.83203125" defaultRowHeight="15" customHeight="1"/>
  <cols>
    <col min="1" max="1" width="66" customWidth="1"/>
    <col min="2" max="2" width="23.1640625" customWidth="1"/>
    <col min="3" max="5" width="8.83203125" customWidth="1"/>
    <col min="6" max="6" width="46.6640625" customWidth="1"/>
    <col min="7" max="8" width="8.83203125" customWidth="1"/>
    <col min="9" max="9" width="8.1640625" hidden="1" customWidth="1"/>
    <col min="10" max="26" width="8.83203125" customWidth="1"/>
  </cols>
  <sheetData>
    <row r="1" spans="1:9" ht="14.1" customHeight="1">
      <c r="A1" s="263" t="s">
        <v>640</v>
      </c>
      <c r="B1" s="260"/>
      <c r="C1" s="260"/>
      <c r="D1" s="260"/>
      <c r="E1" s="260"/>
      <c r="F1" s="260"/>
      <c r="G1" s="260"/>
      <c r="H1" s="260"/>
    </row>
    <row r="2" spans="1:9" ht="14.1" customHeight="1">
      <c r="A2" s="263" t="s">
        <v>435</v>
      </c>
      <c r="B2" s="260"/>
      <c r="C2" s="260"/>
      <c r="D2" s="260"/>
      <c r="E2" s="260"/>
      <c r="F2" s="260"/>
      <c r="G2" s="260"/>
      <c r="H2" s="260"/>
    </row>
    <row r="3" spans="1:9" ht="14.1" customHeight="1">
      <c r="A3" s="133" t="s">
        <v>641</v>
      </c>
      <c r="B3" s="134"/>
      <c r="C3" s="132"/>
      <c r="D3" s="132"/>
      <c r="E3" s="132"/>
      <c r="F3" s="132"/>
      <c r="G3" s="132"/>
      <c r="H3" s="132"/>
      <c r="I3" s="135" t="s">
        <v>642</v>
      </c>
    </row>
    <row r="4" spans="1:9" ht="14.1" customHeight="1">
      <c r="I4" s="135" t="s">
        <v>643</v>
      </c>
    </row>
    <row r="5" spans="1:9" ht="14.1" customHeight="1">
      <c r="A5" s="136" t="s">
        <v>644</v>
      </c>
      <c r="B5" s="264" t="str">
        <f>'DOE25'!A2</f>
        <v>Mason</v>
      </c>
      <c r="C5" s="265"/>
      <c r="D5" s="265"/>
      <c r="E5" s="265"/>
      <c r="F5" s="266"/>
    </row>
    <row r="6" spans="1:9" ht="14.1" customHeight="1"/>
    <row r="7" spans="1:9" ht="14.1" customHeight="1"/>
    <row r="8" spans="1:9" ht="14.1" customHeight="1">
      <c r="A8" s="137" t="s">
        <v>645</v>
      </c>
      <c r="F8" s="138" t="s">
        <v>646</v>
      </c>
    </row>
    <row r="9" spans="1:9" ht="14.1" customHeight="1">
      <c r="A9" s="139" t="s">
        <v>647</v>
      </c>
      <c r="B9" s="140">
        <f>'DOE25'!G97</f>
        <v>3231.5</v>
      </c>
      <c r="F9" s="139" t="s">
        <v>648</v>
      </c>
    </row>
    <row r="10" spans="1:9" ht="14.1" customHeight="1">
      <c r="A10" s="139" t="s">
        <v>649</v>
      </c>
      <c r="B10" s="140">
        <f>'DOE25'!G112-'DOE25'!G97</f>
        <v>0</v>
      </c>
      <c r="F10" s="139" t="s">
        <v>650</v>
      </c>
    </row>
    <row r="11" spans="1:9" ht="14.1" customHeight="1">
      <c r="A11" s="139" t="s">
        <v>651</v>
      </c>
      <c r="B11" s="140">
        <f>'DOE25'!G140</f>
        <v>8157.72</v>
      </c>
      <c r="F11" s="139" t="s">
        <v>652</v>
      </c>
    </row>
    <row r="12" spans="1:9" ht="14.1" customHeight="1">
      <c r="A12" s="139" t="s">
        <v>653</v>
      </c>
      <c r="B12" s="140">
        <f>'DOE25'!G170</f>
        <v>53537.98</v>
      </c>
      <c r="F12" s="139" t="s">
        <v>654</v>
      </c>
    </row>
    <row r="13" spans="1:9" ht="14.1" customHeight="1">
      <c r="A13" s="139" t="s">
        <v>655</v>
      </c>
      <c r="B13" s="140">
        <f>'DOE25'!G193-'DOE25'!G180</f>
        <v>0</v>
      </c>
      <c r="F13" s="139" t="s">
        <v>656</v>
      </c>
    </row>
    <row r="14" spans="1:9" ht="14.1" customHeight="1">
      <c r="A14" s="137" t="s">
        <v>657</v>
      </c>
      <c r="B14" s="141">
        <f>SUM(B9:B13)</f>
        <v>64927.200000000004</v>
      </c>
    </row>
    <row r="15" spans="1:9" ht="14.1" customHeight="1"/>
    <row r="16" spans="1:9" ht="14.1" customHeight="1">
      <c r="A16" s="137" t="s">
        <v>658</v>
      </c>
      <c r="F16" s="138" t="s">
        <v>659</v>
      </c>
    </row>
    <row r="17" spans="1:6" ht="14.1" customHeight="1">
      <c r="A17" s="139" t="s">
        <v>660</v>
      </c>
      <c r="B17" s="140">
        <f>'DOE25'!L363-'DOE25'!L362</f>
        <v>76238.62</v>
      </c>
      <c r="F17" s="139" t="s">
        <v>661</v>
      </c>
    </row>
    <row r="18" spans="1:6" ht="14.1" customHeight="1">
      <c r="A18" s="139" t="s">
        <v>662</v>
      </c>
      <c r="B18" s="142"/>
      <c r="F18" s="138" t="s">
        <v>663</v>
      </c>
    </row>
    <row r="19" spans="1:6" ht="14.1" customHeight="1">
      <c r="A19" s="137" t="s">
        <v>664</v>
      </c>
      <c r="B19" s="141">
        <f>SUM(B17:B18)</f>
        <v>76238.62</v>
      </c>
    </row>
    <row r="20" spans="1:6" ht="14.1" customHeight="1"/>
    <row r="21" spans="1:6" ht="14.1" customHeight="1">
      <c r="A21" s="137" t="s">
        <v>665</v>
      </c>
    </row>
    <row r="22" spans="1:6" ht="14.1" customHeight="1">
      <c r="A22" s="137" t="s">
        <v>666</v>
      </c>
      <c r="B22" s="143">
        <f>B14-B19</f>
        <v>-11311.419999999991</v>
      </c>
      <c r="F22" s="139" t="s">
        <v>667</v>
      </c>
    </row>
    <row r="23" spans="1:6" ht="14.1" customHeight="1"/>
    <row r="24" spans="1:6" ht="14.1" customHeight="1"/>
    <row r="25" spans="1:6" ht="14.1" customHeight="1"/>
    <row r="26" spans="1:6" ht="14.1" customHeight="1">
      <c r="A26" s="137" t="s">
        <v>668</v>
      </c>
    </row>
    <row r="27" spans="1:6" ht="14.1" customHeight="1">
      <c r="A27" s="139" t="s">
        <v>669</v>
      </c>
      <c r="B27" s="140">
        <f>'DOE25'!G180</f>
        <v>11311.42</v>
      </c>
      <c r="F27" s="139" t="s">
        <v>670</v>
      </c>
    </row>
    <row r="28" spans="1:6" ht="14.1" customHeight="1">
      <c r="A28" s="139" t="s">
        <v>671</v>
      </c>
      <c r="B28" s="140">
        <f>'DOE25'!L362</f>
        <v>0</v>
      </c>
      <c r="F28" s="139" t="s">
        <v>672</v>
      </c>
    </row>
    <row r="29" spans="1:6" ht="14.1" customHeight="1"/>
    <row r="30" spans="1:6" ht="14.1" customHeight="1"/>
    <row r="31" spans="1:6" ht="14.1" customHeight="1">
      <c r="A31" s="139" t="s">
        <v>673</v>
      </c>
      <c r="B31" s="140">
        <f>'DOE25'!G466</f>
        <v>677</v>
      </c>
      <c r="F31" s="139" t="s">
        <v>674</v>
      </c>
    </row>
    <row r="32" spans="1:6" ht="14.1" customHeight="1"/>
    <row r="33" spans="1:6" ht="14.1" customHeight="1">
      <c r="A33" s="139" t="s">
        <v>675</v>
      </c>
      <c r="B33" s="140">
        <f>'DOE25'!G477</f>
        <v>677</v>
      </c>
      <c r="F33" s="139" t="s">
        <v>676</v>
      </c>
    </row>
    <row r="34" spans="1:6" ht="14.1" customHeight="1"/>
    <row r="35" spans="1:6" ht="14.1" customHeight="1"/>
    <row r="36" spans="1:6" ht="14.1" customHeight="1">
      <c r="A36" s="139" t="s">
        <v>677</v>
      </c>
      <c r="B36" s="144">
        <v>2748.28</v>
      </c>
      <c r="F36" s="138" t="s">
        <v>678</v>
      </c>
    </row>
    <row r="37" spans="1:6" ht="14.1" customHeight="1"/>
    <row r="38" spans="1:6" ht="14.1" customHeight="1"/>
    <row r="39" spans="1:6" ht="14.1" customHeight="1"/>
    <row r="40" spans="1:6" ht="14.1" customHeight="1"/>
    <row r="41" spans="1:6" ht="14.1" customHeight="1"/>
    <row r="42" spans="1:6" ht="11.25" customHeight="1"/>
    <row r="43" spans="1:6" ht="11.25" customHeight="1"/>
    <row r="44" spans="1:6" ht="11.25" customHeight="1"/>
    <row r="45" spans="1:6" ht="11.25" customHeight="1"/>
    <row r="46" spans="1:6" ht="11.25" customHeight="1"/>
    <row r="47" spans="1:6" ht="11.25" customHeight="1"/>
    <row r="48" spans="1:6" ht="11.25" customHeight="1"/>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3">
    <mergeCell ref="A1:H1"/>
    <mergeCell ref="A2:H2"/>
    <mergeCell ref="B5:F5"/>
  </mergeCells>
  <dataValidations count="1">
    <dataValidation type="list" allowBlank="1" showErrorMessage="1" sqref="B3" xr:uid="{00000000-0002-0000-0200-000000000000}">
      <formula1>$I$3:$I$4</formula1>
    </dataValidation>
  </dataValidations>
  <pageMargins left="0.7" right="0.7" top="0.75" bottom="0.75" header="0" footer="0"/>
  <pageSetup orientation="landscape"/>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0080"/>
  </sheetPr>
  <dimension ref="A1:C1000"/>
  <sheetViews>
    <sheetView workbookViewId="0"/>
  </sheetViews>
  <sheetFormatPr defaultColWidth="16.83203125" defaultRowHeight="15" customHeight="1"/>
  <cols>
    <col min="1" max="1" width="26.6640625" customWidth="1"/>
    <col min="2" max="2" width="33.83203125" customWidth="1"/>
    <col min="3" max="3" width="29.5" customWidth="1"/>
    <col min="4" max="26" width="8.83203125" customWidth="1"/>
  </cols>
  <sheetData>
    <row r="1" spans="1:3" ht="11.25" customHeight="1">
      <c r="A1" s="145" t="s">
        <v>679</v>
      </c>
      <c r="B1" s="146" t="str">
        <f>'DOE25'!A2</f>
        <v>Mason</v>
      </c>
      <c r="C1" s="147" t="s">
        <v>680</v>
      </c>
    </row>
    <row r="2" spans="1:3" ht="11.25" customHeight="1">
      <c r="A2" s="145"/>
      <c r="B2" s="146"/>
    </row>
    <row r="3" spans="1:3" ht="11.25" customHeight="1">
      <c r="A3" s="262" t="s">
        <v>681</v>
      </c>
      <c r="B3" s="260"/>
      <c r="C3" s="260"/>
    </row>
    <row r="4" spans="1:3" ht="11.25" customHeight="1">
      <c r="A4" s="121"/>
      <c r="B4" s="115" t="str">
        <f>'DOE25'!H1</f>
        <v>DOE 25  2021-2022</v>
      </c>
      <c r="C4" s="121"/>
    </row>
    <row r="5" spans="1:3" ht="11.25" customHeight="1">
      <c r="A5" s="145"/>
      <c r="B5" s="146"/>
    </row>
    <row r="6" spans="1:3" ht="11.25" customHeight="1">
      <c r="A6" s="17"/>
      <c r="B6" s="267" t="s">
        <v>682</v>
      </c>
      <c r="C6" s="260"/>
    </row>
    <row r="7" spans="1:3" ht="11.25" customHeight="1">
      <c r="A7" s="148" t="s">
        <v>683</v>
      </c>
      <c r="B7" s="268" t="s">
        <v>684</v>
      </c>
      <c r="C7" s="260"/>
    </row>
    <row r="8" spans="1:3" ht="11.25" customHeight="1">
      <c r="B8" s="149" t="s">
        <v>213</v>
      </c>
      <c r="C8" s="149" t="s">
        <v>685</v>
      </c>
    </row>
    <row r="9" spans="1:3" ht="11.25" customHeight="1">
      <c r="A9" s="49" t="s">
        <v>686</v>
      </c>
      <c r="B9" s="150">
        <f>'DOE25'!F198+'DOE25'!F216+'DOE25'!F234+'DOE25'!F277+'DOE25'!F296+'DOE25'!F315</f>
        <v>437672.14</v>
      </c>
      <c r="C9" s="150">
        <f>'DOE25'!G198+'DOE25'!G216+'DOE25'!G234+'DOE25'!G277+'DOE25'!G296+'DOE25'!G315</f>
        <v>173409.6</v>
      </c>
    </row>
    <row r="10" spans="1:3" ht="11.25" customHeight="1">
      <c r="A10" s="135" t="s">
        <v>687</v>
      </c>
      <c r="B10" s="151">
        <f>370829.89+7347</f>
        <v>378176.89</v>
      </c>
      <c r="C10" s="151">
        <f>64998.79+3012.67+1286.93+24549.36+64175.84+746.73</f>
        <v>158770.32</v>
      </c>
    </row>
    <row r="11" spans="1:3" ht="11.25" customHeight="1">
      <c r="A11" s="135" t="s">
        <v>688</v>
      </c>
      <c r="B11" s="151">
        <v>57917.65</v>
      </c>
      <c r="C11" s="151">
        <v>14518.57</v>
      </c>
    </row>
    <row r="12" spans="1:3" ht="11.25" customHeight="1">
      <c r="A12" s="135" t="s">
        <v>689</v>
      </c>
      <c r="B12" s="151">
        <v>1577.6</v>
      </c>
      <c r="C12" s="151">
        <v>120.71</v>
      </c>
    </row>
    <row r="13" spans="1:3" ht="11.25" customHeight="1">
      <c r="A13" s="135" t="str">
        <f>IF(B9=B13,IF(C9=C13,"Check Total OK","Check Total Error"),"Check Total Error")</f>
        <v>Check Total OK</v>
      </c>
      <c r="B13" s="152">
        <f t="shared" ref="B13:C13" si="0">SUM(B10:B12)</f>
        <v>437672.14</v>
      </c>
      <c r="C13" s="152">
        <f t="shared" si="0"/>
        <v>173409.6</v>
      </c>
    </row>
    <row r="14" spans="1:3" ht="11.25" customHeight="1">
      <c r="B14" s="153"/>
      <c r="C14" s="153"/>
    </row>
    <row r="15" spans="1:3" ht="11.25" customHeight="1">
      <c r="B15" s="267" t="s">
        <v>682</v>
      </c>
      <c r="C15" s="260"/>
    </row>
    <row r="16" spans="1:3" ht="11.25" customHeight="1">
      <c r="A16" s="148" t="s">
        <v>690</v>
      </c>
      <c r="B16" s="268" t="s">
        <v>691</v>
      </c>
      <c r="C16" s="260"/>
    </row>
    <row r="17" spans="1:3" ht="11.25" customHeight="1">
      <c r="B17" s="149" t="s">
        <v>213</v>
      </c>
      <c r="C17" s="149" t="s">
        <v>685</v>
      </c>
    </row>
    <row r="18" spans="1:3" ht="11.25" customHeight="1">
      <c r="A18" s="49" t="s">
        <v>686</v>
      </c>
      <c r="B18" s="150">
        <f>'DOE25'!F199+'DOE25'!F217+'DOE25'!F235+'DOE25'!F278+'DOE25'!F297+'DOE25'!F316</f>
        <v>122779.89</v>
      </c>
      <c r="C18" s="150">
        <f>'DOE25'!G199+'DOE25'!G217+'DOE25'!G235+'DOE25'!G278+'DOE25'!G297+'DOE25'!G316</f>
        <v>15550.539999999999</v>
      </c>
    </row>
    <row r="19" spans="1:3" ht="11.25" customHeight="1">
      <c r="A19" s="135" t="s">
        <v>687</v>
      </c>
      <c r="B19" s="151">
        <f>577.5+39992.94+28049.98</f>
        <v>68620.42</v>
      </c>
      <c r="C19" s="151">
        <f>1735.76+5264.76</f>
        <v>7000.52</v>
      </c>
    </row>
    <row r="20" spans="1:3" ht="11.25" customHeight="1">
      <c r="A20" s="135" t="s">
        <v>688</v>
      </c>
      <c r="B20" s="151">
        <f>52228.97</f>
        <v>52228.97</v>
      </c>
      <c r="C20" s="151">
        <v>8402.34</v>
      </c>
    </row>
    <row r="21" spans="1:3" ht="11.25" customHeight="1">
      <c r="A21" s="135" t="s">
        <v>689</v>
      </c>
      <c r="B21" s="151">
        <v>1930.5</v>
      </c>
      <c r="C21" s="151">
        <f>B21*7.65%</f>
        <v>147.68324999999999</v>
      </c>
    </row>
    <row r="22" spans="1:3" ht="11.25" customHeight="1">
      <c r="A22" s="135" t="str">
        <f>IF(B18=B22,IF(C18=C22,"Check Total OK","Check Total Error"),"Check Total Error")</f>
        <v>Check Total Error</v>
      </c>
      <c r="B22" s="152">
        <f t="shared" ref="B22:C22" si="1">SUM(B19:B21)</f>
        <v>122779.89</v>
      </c>
      <c r="C22" s="152">
        <f t="shared" si="1"/>
        <v>15550.543250000001</v>
      </c>
    </row>
    <row r="23" spans="1:3" ht="11.25" customHeight="1">
      <c r="B23" s="153"/>
      <c r="C23" s="153"/>
    </row>
    <row r="24" spans="1:3" ht="11.25" customHeight="1">
      <c r="B24" s="267" t="s">
        <v>682</v>
      </c>
      <c r="C24" s="260"/>
    </row>
    <row r="25" spans="1:3" ht="11.25" customHeight="1">
      <c r="A25" s="148" t="s">
        <v>692</v>
      </c>
      <c r="B25" s="268" t="s">
        <v>693</v>
      </c>
      <c r="C25" s="260"/>
    </row>
    <row r="26" spans="1:3" ht="11.25" customHeight="1">
      <c r="B26" s="149" t="s">
        <v>213</v>
      </c>
      <c r="C26" s="149" t="s">
        <v>685</v>
      </c>
    </row>
    <row r="27" spans="1:3" ht="11.25" customHeight="1">
      <c r="A27" s="49" t="s">
        <v>686</v>
      </c>
      <c r="B27" s="154">
        <f>'DOE25'!F200+'DOE25'!F218+'DOE25'!F236+'DOE25'!F279+'DOE25'!F298+'DOE25'!F317</f>
        <v>0</v>
      </c>
      <c r="C27" s="154">
        <f>'DOE25'!G200+'DOE25'!G218+'DOE25'!G236+'DOE25'!G279+'DOE25'!G298+'DOE25'!G317</f>
        <v>0</v>
      </c>
    </row>
    <row r="28" spans="1:3" ht="11.25" customHeight="1">
      <c r="A28" s="135" t="s">
        <v>687</v>
      </c>
      <c r="B28" s="151"/>
      <c r="C28" s="151"/>
    </row>
    <row r="29" spans="1:3" ht="11.25" customHeight="1">
      <c r="A29" s="135" t="s">
        <v>688</v>
      </c>
      <c r="B29" s="151"/>
      <c r="C29" s="151"/>
    </row>
    <row r="30" spans="1:3" ht="11.25" customHeight="1">
      <c r="A30" s="135" t="s">
        <v>689</v>
      </c>
      <c r="B30" s="151"/>
      <c r="C30" s="151"/>
    </row>
    <row r="31" spans="1:3" ht="11.25" customHeight="1">
      <c r="A31" s="135" t="str">
        <f>IF(B27=B31,IF(C27=C31,"Check Total OK","Check Total Error"),"Check Total Error")</f>
        <v>Check Total OK</v>
      </c>
      <c r="B31" s="152">
        <f t="shared" ref="B31:C31" si="2">SUM(B28:B30)</f>
        <v>0</v>
      </c>
      <c r="C31" s="152">
        <f t="shared" si="2"/>
        <v>0</v>
      </c>
    </row>
    <row r="32" spans="1:3" ht="11.25" customHeight="1"/>
    <row r="33" spans="1:3" ht="11.25" customHeight="1">
      <c r="B33" s="267" t="s">
        <v>682</v>
      </c>
      <c r="C33" s="260"/>
    </row>
    <row r="34" spans="1:3" ht="11.25" customHeight="1">
      <c r="A34" s="148" t="s">
        <v>694</v>
      </c>
      <c r="B34" s="268" t="s">
        <v>695</v>
      </c>
      <c r="C34" s="260"/>
    </row>
    <row r="35" spans="1:3" ht="11.25" customHeight="1">
      <c r="B35" s="149" t="s">
        <v>213</v>
      </c>
      <c r="C35" s="149" t="s">
        <v>685</v>
      </c>
    </row>
    <row r="36" spans="1:3" ht="11.25" customHeight="1">
      <c r="A36" s="49" t="s">
        <v>686</v>
      </c>
      <c r="B36" s="155">
        <f>'DOE25'!F201+'DOE25'!F219+'DOE25'!F237+'DOE25'!F280+'DOE25'!F299+'DOE25'!F318</f>
        <v>0</v>
      </c>
      <c r="C36" s="155">
        <f>'DOE25'!G201+'DOE25'!G219+'DOE25'!G237+'DOE25'!G280+'DOE25'!G299+'DOE25'!G318</f>
        <v>0</v>
      </c>
    </row>
    <row r="37" spans="1:3" ht="11.25" customHeight="1">
      <c r="A37" s="135" t="s">
        <v>687</v>
      </c>
      <c r="B37" s="151"/>
      <c r="C37" s="151"/>
    </row>
    <row r="38" spans="1:3" ht="11.25" customHeight="1">
      <c r="A38" s="135" t="s">
        <v>688</v>
      </c>
      <c r="B38" s="151"/>
      <c r="C38" s="151"/>
    </row>
    <row r="39" spans="1:3" ht="11.25" customHeight="1">
      <c r="A39" s="135" t="s">
        <v>689</v>
      </c>
      <c r="B39" s="151"/>
      <c r="C39" s="151"/>
    </row>
    <row r="40" spans="1:3" ht="11.25" customHeight="1">
      <c r="A40" s="135" t="str">
        <f>IF(B36=B40,IF(C36=C40,"Check Total OK","Check Total Error"),"Check Total Error")</f>
        <v>Check Total OK</v>
      </c>
      <c r="B40" s="152">
        <f t="shared" ref="B40:C40" si="3">SUM(B37:B39)</f>
        <v>0</v>
      </c>
      <c r="C40" s="152">
        <f t="shared" si="3"/>
        <v>0</v>
      </c>
    </row>
    <row r="41" spans="1:3" ht="11.25" customHeight="1">
      <c r="B41" s="153"/>
      <c r="C41" s="153"/>
    </row>
    <row r="42" spans="1:3" ht="11.25" customHeight="1">
      <c r="A42" s="49" t="s">
        <v>696</v>
      </c>
      <c r="B42" s="153"/>
      <c r="C42" s="153"/>
    </row>
    <row r="43" spans="1:3" ht="11.25" customHeight="1">
      <c r="A43" s="135" t="s">
        <v>697</v>
      </c>
      <c r="B43" s="153"/>
      <c r="C43" s="153"/>
    </row>
    <row r="44" spans="1:3" ht="11.25" customHeight="1">
      <c r="A44" s="135" t="s">
        <v>698</v>
      </c>
    </row>
    <row r="45" spans="1:3" ht="11.25" customHeight="1">
      <c r="A45" s="135" t="s">
        <v>699</v>
      </c>
    </row>
    <row r="46" spans="1:3" ht="11.25" customHeight="1"/>
    <row r="47" spans="1:3" ht="11.25" customHeight="1"/>
    <row r="48" spans="1:3" ht="11.25" customHeight="1">
      <c r="A48" s="156" t="s">
        <v>700</v>
      </c>
    </row>
    <row r="49" spans="1:1" ht="11.25" customHeight="1">
      <c r="A49" s="157" t="s">
        <v>701</v>
      </c>
    </row>
    <row r="50" spans="1:1" ht="11.25" customHeight="1">
      <c r="A50" s="157" t="s">
        <v>702</v>
      </c>
    </row>
    <row r="51" spans="1:1" ht="11.25" customHeight="1">
      <c r="A51" s="157" t="s">
        <v>703</v>
      </c>
    </row>
    <row r="52" spans="1:1" ht="11.25" customHeight="1">
      <c r="A52" s="158" t="s">
        <v>704</v>
      </c>
    </row>
    <row r="53" spans="1:1" ht="11.25" customHeight="1"/>
    <row r="54" spans="1:1" ht="11.25" customHeight="1"/>
    <row r="55" spans="1:1" ht="11.25" customHeight="1"/>
    <row r="56" spans="1:1" ht="11.25" customHeight="1"/>
    <row r="57" spans="1:1" ht="11.25" customHeight="1"/>
    <row r="58" spans="1:1" ht="11.25" customHeight="1"/>
    <row r="59" spans="1:1" ht="11.25" customHeight="1"/>
    <row r="60" spans="1:1" ht="11.25" customHeight="1"/>
    <row r="61" spans="1:1" ht="11.25" customHeight="1"/>
    <row r="62" spans="1:1" ht="11.25" customHeight="1"/>
    <row r="63" spans="1:1" ht="11.25" customHeight="1"/>
    <row r="64" spans="1:1"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9">
    <mergeCell ref="B33:C33"/>
    <mergeCell ref="B34:C34"/>
    <mergeCell ref="A3:C3"/>
    <mergeCell ref="B6:C6"/>
    <mergeCell ref="B7:C7"/>
    <mergeCell ref="B15:C15"/>
    <mergeCell ref="B16:C16"/>
    <mergeCell ref="B24:C24"/>
    <mergeCell ref="B25:C25"/>
  </mergeCells>
  <conditionalFormatting sqref="A13 A22 A31 A40:A47">
    <cfRule type="cellIs" dxfId="12" priority="1" stopIfTrue="1" operator="equal">
      <formula>"Check Total Error"</formula>
    </cfRule>
  </conditionalFormatting>
  <printOptions gridLines="1"/>
  <pageMargins left="1.24" right="0.75" top="1" bottom="1" header="0" footer="0"/>
  <pageSetup orientation="portrait"/>
  <headerFooter>
    <oddHeader>&amp;C&amp;A FY2021-2022</oddHeader>
    <oddFooter>&amp;CPage &amp;P of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pageSetUpPr fitToPage="1"/>
  </sheetPr>
  <dimension ref="A1:I1000"/>
  <sheetViews>
    <sheetView workbookViewId="0">
      <pane ySplit="4" topLeftCell="A5" activePane="bottomLeft" state="frozen"/>
      <selection pane="bottomLeft" activeCell="B6" sqref="B6"/>
    </sheetView>
  </sheetViews>
  <sheetFormatPr defaultColWidth="16.83203125" defaultRowHeight="15" customHeight="1"/>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 min="10" max="26" width="8.83203125" customWidth="1"/>
  </cols>
  <sheetData>
    <row r="1" spans="1:9" ht="11.25" customHeight="1">
      <c r="A1" s="267" t="s">
        <v>705</v>
      </c>
      <c r="B1" s="260"/>
      <c r="C1" s="260"/>
      <c r="D1" s="260"/>
      <c r="E1" s="260"/>
      <c r="F1" s="260"/>
      <c r="G1" s="260"/>
      <c r="H1" s="260"/>
      <c r="I1" s="27"/>
    </row>
    <row r="2" spans="1:9" ht="11.25" customHeight="1">
      <c r="A2" s="49" t="s">
        <v>706</v>
      </c>
      <c r="B2" s="159" t="str">
        <f>'DOE25'!A2</f>
        <v>Mason</v>
      </c>
      <c r="C2" s="147"/>
      <c r="D2" s="27" t="s">
        <v>707</v>
      </c>
      <c r="E2" s="27" t="s">
        <v>708</v>
      </c>
      <c r="F2" s="269" t="s">
        <v>709</v>
      </c>
      <c r="G2" s="270"/>
      <c r="H2" s="270"/>
      <c r="I2" s="160"/>
    </row>
    <row r="3" spans="1:9" ht="11.25" customHeight="1">
      <c r="A3" s="27" t="s">
        <v>504</v>
      </c>
      <c r="B3" s="149" t="s">
        <v>379</v>
      </c>
      <c r="C3" s="161" t="s">
        <v>219</v>
      </c>
      <c r="D3" s="27" t="s">
        <v>710</v>
      </c>
      <c r="E3" s="27" t="s">
        <v>711</v>
      </c>
      <c r="F3" s="162" t="s">
        <v>712</v>
      </c>
      <c r="G3" s="27" t="s">
        <v>713</v>
      </c>
      <c r="H3" s="27" t="s">
        <v>218</v>
      </c>
      <c r="I3" s="163" t="s">
        <v>714</v>
      </c>
    </row>
    <row r="4" spans="1:9" ht="11.25" customHeight="1">
      <c r="A4" s="164" t="s">
        <v>715</v>
      </c>
      <c r="B4" s="164" t="s">
        <v>716</v>
      </c>
      <c r="C4" s="165" t="s">
        <v>658</v>
      </c>
      <c r="D4" s="164" t="s">
        <v>717</v>
      </c>
      <c r="E4" s="164" t="s">
        <v>717</v>
      </c>
      <c r="F4" s="166" t="s">
        <v>718</v>
      </c>
      <c r="G4" s="164" t="s">
        <v>719</v>
      </c>
      <c r="H4" s="164" t="s">
        <v>720</v>
      </c>
      <c r="I4" s="167" t="s">
        <v>721</v>
      </c>
    </row>
    <row r="5" spans="1:9" ht="11.25" customHeight="1">
      <c r="A5" s="34">
        <v>1000</v>
      </c>
      <c r="B5" s="135" t="s">
        <v>256</v>
      </c>
      <c r="C5" s="168">
        <f t="shared" ref="C5:C19" si="0">SUM(D5:I5)</f>
        <v>1724146.29</v>
      </c>
      <c r="D5" s="28">
        <f>SUM('DOE25'!L198:L201)+SUM('DOE25'!L216:L219)+SUM('DOE25'!L234:L237)-F5-G5-H5</f>
        <v>1684895.02</v>
      </c>
      <c r="E5" s="169"/>
      <c r="F5" s="170"/>
      <c r="G5" s="28">
        <f>SUM('DOE25'!J198:J201)+SUM('DOE25'!J216:J219)+SUM('DOE25'!J234:J237)</f>
        <v>36195.93</v>
      </c>
      <c r="H5" s="28">
        <f>SUM('DOE25'!K198:K201)+SUM('DOE25'!K216:K219)+SUM('DOE25'!K234:K237)</f>
        <v>3055.34</v>
      </c>
      <c r="I5" s="171"/>
    </row>
    <row r="6" spans="1:9" ht="11.25" customHeight="1">
      <c r="A6" s="34">
        <v>2100</v>
      </c>
      <c r="B6" s="135" t="s">
        <v>722</v>
      </c>
      <c r="C6" s="168">
        <f t="shared" si="0"/>
        <v>188650.21000000002</v>
      </c>
      <c r="D6" s="28">
        <f>'DOE25'!L203+'DOE25'!L221+'DOE25'!L239-F6-G6-H6</f>
        <v>188454.21000000002</v>
      </c>
      <c r="E6" s="169"/>
      <c r="F6" s="170"/>
      <c r="G6" s="28">
        <f>'DOE25'!J203+'DOE25'!J221+'DOE25'!J239</f>
        <v>0</v>
      </c>
      <c r="H6" s="28">
        <f>'DOE25'!K203+'DOE25'!K221+'DOE25'!K239</f>
        <v>196</v>
      </c>
      <c r="I6" s="171"/>
    </row>
    <row r="7" spans="1:9" ht="11.25" customHeight="1">
      <c r="A7" s="34">
        <v>2200</v>
      </c>
      <c r="B7" s="135" t="s">
        <v>723</v>
      </c>
      <c r="C7" s="168">
        <f t="shared" si="0"/>
        <v>144114.03999999998</v>
      </c>
      <c r="D7" s="28">
        <f>'DOE25'!L204+'DOE25'!L222+'DOE25'!L240-F7-G7-H7</f>
        <v>142591.67999999999</v>
      </c>
      <c r="E7" s="169"/>
      <c r="F7" s="170"/>
      <c r="G7" s="28">
        <f>'DOE25'!J204+'DOE25'!J222+'DOE25'!J240</f>
        <v>0</v>
      </c>
      <c r="H7" s="28">
        <f>'DOE25'!K204+'DOE25'!K222+'DOE25'!K240</f>
        <v>1522.36</v>
      </c>
      <c r="I7" s="171"/>
    </row>
    <row r="8" spans="1:9" ht="11.25" customHeight="1">
      <c r="A8" s="34">
        <v>2300</v>
      </c>
      <c r="B8" s="135" t="s">
        <v>724</v>
      </c>
      <c r="C8" s="168">
        <f t="shared" si="0"/>
        <v>15586.81</v>
      </c>
      <c r="D8" s="169"/>
      <c r="E8" s="28">
        <f>'DOE25'!L205+'DOE25'!L223+'DOE25'!L241-F8-G8-H8-D9-D11</f>
        <v>12130.48</v>
      </c>
      <c r="F8" s="170"/>
      <c r="G8" s="28">
        <f>'DOE25'!J205+'DOE25'!J223+'DOE25'!J241</f>
        <v>0</v>
      </c>
      <c r="H8" s="28">
        <f>'DOE25'!K205+'DOE25'!K223+'DOE25'!K241</f>
        <v>3456.3300000000004</v>
      </c>
      <c r="I8" s="171"/>
    </row>
    <row r="9" spans="1:9" ht="11.25" customHeight="1">
      <c r="A9" s="34">
        <v>2310</v>
      </c>
      <c r="B9" s="7" t="s">
        <v>725</v>
      </c>
      <c r="C9" s="168">
        <f t="shared" si="0"/>
        <v>0</v>
      </c>
      <c r="D9" s="170"/>
      <c r="E9" s="169"/>
      <c r="F9" s="169"/>
      <c r="G9" s="169"/>
      <c r="H9" s="169"/>
      <c r="I9" s="171"/>
    </row>
    <row r="10" spans="1:9" ht="11.25" customHeight="1">
      <c r="A10" s="34">
        <v>2317</v>
      </c>
      <c r="B10" s="7" t="s">
        <v>726</v>
      </c>
      <c r="C10" s="168">
        <f t="shared" si="0"/>
        <v>0</v>
      </c>
      <c r="D10" s="169"/>
      <c r="E10" s="170"/>
      <c r="F10" s="169"/>
      <c r="G10" s="169"/>
      <c r="H10" s="169"/>
      <c r="I10" s="171"/>
    </row>
    <row r="11" spans="1:9" ht="11.25" customHeight="1">
      <c r="A11" s="34">
        <v>2321</v>
      </c>
      <c r="B11" s="7" t="s">
        <v>727</v>
      </c>
      <c r="C11" s="168">
        <f t="shared" si="0"/>
        <v>0</v>
      </c>
      <c r="D11" s="170"/>
      <c r="E11" s="169"/>
      <c r="F11" s="169"/>
      <c r="G11" s="169"/>
      <c r="H11" s="169"/>
      <c r="I11" s="171"/>
    </row>
    <row r="12" spans="1:9" ht="11.25" customHeight="1">
      <c r="A12" s="34">
        <v>2400</v>
      </c>
      <c r="B12" s="135" t="s">
        <v>728</v>
      </c>
      <c r="C12" s="168">
        <f t="shared" si="0"/>
        <v>153491.20000000001</v>
      </c>
      <c r="D12" s="28">
        <f>'DOE25'!L206+'DOE25'!L224+'DOE25'!L242-F12-G12-H12</f>
        <v>152576.40000000002</v>
      </c>
      <c r="E12" s="169"/>
      <c r="F12" s="170"/>
      <c r="G12" s="28">
        <f>'DOE25'!J206+'DOE25'!J224+'DOE25'!J242</f>
        <v>0</v>
      </c>
      <c r="H12" s="28">
        <f>'DOE25'!K206+'DOE25'!K224+'DOE25'!K242</f>
        <v>914.8</v>
      </c>
      <c r="I12" s="171"/>
    </row>
    <row r="13" spans="1:9" ht="11.25" customHeight="1">
      <c r="A13" s="34">
        <v>2500</v>
      </c>
      <c r="B13" s="135" t="s">
        <v>729</v>
      </c>
      <c r="C13" s="168">
        <f t="shared" si="0"/>
        <v>33990.1</v>
      </c>
      <c r="D13" s="169"/>
      <c r="E13" s="28">
        <f>'DOE25'!L207+'DOE25'!L225+'DOE25'!L243-F13-G13-H13</f>
        <v>33990.1</v>
      </c>
      <c r="F13" s="170"/>
      <c r="G13" s="28">
        <f>'DOE25'!J207+'DOE25'!J225+'DOE25'!J243</f>
        <v>0</v>
      </c>
      <c r="H13" s="28">
        <f>'DOE25'!K207+'DOE25'!K225+'DOE25'!K243</f>
        <v>0</v>
      </c>
      <c r="I13" s="171"/>
    </row>
    <row r="14" spans="1:9" ht="11.25" customHeight="1">
      <c r="A14" s="34">
        <v>2600</v>
      </c>
      <c r="B14" s="135" t="s">
        <v>730</v>
      </c>
      <c r="C14" s="168">
        <f t="shared" si="0"/>
        <v>198556.13</v>
      </c>
      <c r="D14" s="28">
        <f>'DOE25'!L208+'DOE25'!L226+'DOE25'!L244-F14-G14-H14</f>
        <v>165698.44</v>
      </c>
      <c r="E14" s="169"/>
      <c r="F14" s="170"/>
      <c r="G14" s="28">
        <f>'DOE25'!J208+'DOE25'!J226+'DOE25'!J244</f>
        <v>32857.69</v>
      </c>
      <c r="H14" s="28">
        <f>'DOE25'!K208+'DOE25'!K226+'DOE25'!K244</f>
        <v>0</v>
      </c>
      <c r="I14" s="171"/>
    </row>
    <row r="15" spans="1:9" ht="11.25" customHeight="1">
      <c r="A15" s="34">
        <v>2700</v>
      </c>
      <c r="B15" s="135" t="s">
        <v>731</v>
      </c>
      <c r="C15" s="168">
        <f t="shared" si="0"/>
        <v>132400</v>
      </c>
      <c r="D15" s="28">
        <f>'DOE25'!L209+'DOE25'!L227+'DOE25'!L245-F15-G15-H15</f>
        <v>132400</v>
      </c>
      <c r="E15" s="169"/>
      <c r="F15" s="170"/>
      <c r="G15" s="28">
        <f>'DOE25'!J209+'DOE25'!J227+'DOE25'!J245</f>
        <v>0</v>
      </c>
      <c r="H15" s="28">
        <f>'DOE25'!K209+'DOE25'!K227+'DOE25'!K245</f>
        <v>0</v>
      </c>
      <c r="I15" s="171"/>
    </row>
    <row r="16" spans="1:9" ht="11.25" customHeight="1">
      <c r="A16" s="34">
        <v>2800</v>
      </c>
      <c r="B16" s="135" t="s">
        <v>732</v>
      </c>
      <c r="C16" s="168">
        <f t="shared" si="0"/>
        <v>9096</v>
      </c>
      <c r="D16" s="169"/>
      <c r="E16" s="28">
        <f>'DOE25'!L210+'DOE25'!L228+'DOE25'!L246-F16-G16-H16</f>
        <v>7090</v>
      </c>
      <c r="F16" s="170"/>
      <c r="G16" s="28">
        <f>'DOE25'!J210+'DOE25'!J228+'DOE25'!J246</f>
        <v>0</v>
      </c>
      <c r="H16" s="28">
        <f>'DOE25'!K210+'DOE25'!K228+'DOE25'!K246</f>
        <v>2006</v>
      </c>
      <c r="I16" s="171"/>
    </row>
    <row r="17" spans="1:9" ht="11.25" customHeight="1">
      <c r="A17" s="34">
        <v>1600</v>
      </c>
      <c r="B17" s="135" t="s">
        <v>733</v>
      </c>
      <c r="C17" s="168">
        <f t="shared" si="0"/>
        <v>0</v>
      </c>
      <c r="D17" s="28">
        <f>'DOE25'!L252-F17-G17-H17</f>
        <v>0</v>
      </c>
      <c r="E17" s="169"/>
      <c r="F17" s="170"/>
      <c r="G17" s="28">
        <f>'DOE25'!J252</f>
        <v>0</v>
      </c>
      <c r="H17" s="28">
        <f>'DOE25'!K252</f>
        <v>0</v>
      </c>
      <c r="I17" s="171"/>
    </row>
    <row r="18" spans="1:9" ht="11.25" customHeight="1">
      <c r="A18" s="34">
        <v>1700</v>
      </c>
      <c r="B18" s="135" t="s">
        <v>734</v>
      </c>
      <c r="C18" s="168">
        <f t="shared" si="0"/>
        <v>0</v>
      </c>
      <c r="D18" s="28">
        <f>'DOE25'!L253-F18-G18-H18</f>
        <v>0</v>
      </c>
      <c r="E18" s="169"/>
      <c r="F18" s="170"/>
      <c r="G18" s="28">
        <f>'DOE25'!J253</f>
        <v>0</v>
      </c>
      <c r="H18" s="28">
        <f>'DOE25'!K253</f>
        <v>0</v>
      </c>
      <c r="I18" s="171"/>
    </row>
    <row r="19" spans="1:9" ht="11.25" customHeight="1">
      <c r="A19" s="34">
        <v>1800</v>
      </c>
      <c r="B19" s="135" t="s">
        <v>735</v>
      </c>
      <c r="C19" s="168">
        <f t="shared" si="0"/>
        <v>0</v>
      </c>
      <c r="D19" s="28">
        <f>'DOE25'!L254-F19-G19-H19</f>
        <v>0</v>
      </c>
      <c r="E19" s="169"/>
      <c r="F19" s="170"/>
      <c r="G19" s="28">
        <f>'DOE25'!J254</f>
        <v>0</v>
      </c>
      <c r="H19" s="28">
        <f>'DOE25'!K254</f>
        <v>0</v>
      </c>
      <c r="I19" s="171"/>
    </row>
    <row r="20" spans="1:9" ht="11.25" customHeight="1">
      <c r="C20" s="172"/>
      <c r="F20" s="173"/>
      <c r="G20" s="7"/>
      <c r="H20" s="7"/>
      <c r="I20" s="174"/>
    </row>
    <row r="21" spans="1:9" ht="11.25" customHeight="1">
      <c r="B21" s="49" t="s">
        <v>736</v>
      </c>
      <c r="C21" s="172"/>
      <c r="F21" s="173"/>
      <c r="G21" s="7"/>
      <c r="H21" s="7"/>
      <c r="I21" s="174"/>
    </row>
    <row r="22" spans="1:9" ht="11.25" customHeight="1">
      <c r="A22" s="34">
        <v>4000</v>
      </c>
      <c r="B22" s="135" t="s">
        <v>737</v>
      </c>
      <c r="C22" s="175">
        <f>SUM(D22:I22)</f>
        <v>0</v>
      </c>
      <c r="D22" s="169"/>
      <c r="E22" s="169"/>
      <c r="F22" s="169"/>
      <c r="G22" s="28">
        <f>'DOE25'!L256+'DOE25'!L337</f>
        <v>0</v>
      </c>
      <c r="H22" s="169"/>
      <c r="I22" s="171"/>
    </row>
    <row r="23" spans="1:9" ht="11.25" customHeight="1">
      <c r="A23" s="34"/>
      <c r="C23" s="172"/>
      <c r="F23" s="173"/>
      <c r="G23" s="7"/>
      <c r="H23" s="7"/>
      <c r="I23" s="174"/>
    </row>
    <row r="24" spans="1:9" ht="11.25" customHeight="1">
      <c r="A24" s="34"/>
      <c r="B24" s="49" t="s">
        <v>271</v>
      </c>
      <c r="C24" s="172"/>
      <c r="F24" s="173"/>
      <c r="G24" s="7"/>
      <c r="H24" s="7"/>
      <c r="I24" s="174"/>
    </row>
    <row r="25" spans="1:9" ht="11.25" customHeight="1">
      <c r="A25" s="34" t="s">
        <v>738</v>
      </c>
      <c r="B25" s="135" t="s">
        <v>739</v>
      </c>
      <c r="C25" s="168">
        <f>SUM(D25:I25)</f>
        <v>327048.25</v>
      </c>
      <c r="D25" s="169"/>
      <c r="E25" s="169"/>
      <c r="F25" s="176"/>
      <c r="G25" s="169"/>
      <c r="H25" s="169"/>
      <c r="I25" s="177">
        <f>'DOE25'!L261+'DOE25'!L262+'DOE25'!L342+'DOE25'!L343</f>
        <v>327048.25</v>
      </c>
    </row>
    <row r="26" spans="1:9" ht="11.25" customHeight="1">
      <c r="A26" s="34"/>
      <c r="C26" s="172"/>
      <c r="F26" s="173"/>
      <c r="G26" s="7"/>
      <c r="H26" s="7"/>
      <c r="I26" s="174"/>
    </row>
    <row r="27" spans="1:9" ht="11.25" customHeight="1">
      <c r="A27" s="34"/>
      <c r="B27" s="49" t="s">
        <v>740</v>
      </c>
      <c r="C27" s="172"/>
      <c r="F27" s="173"/>
      <c r="G27" s="7"/>
      <c r="H27" s="7"/>
      <c r="I27" s="174"/>
    </row>
    <row r="28" spans="1:9" ht="11.25" customHeight="1">
      <c r="A28" s="34">
        <v>3100</v>
      </c>
      <c r="B28" s="135" t="s">
        <v>741</v>
      </c>
      <c r="C28" s="172"/>
      <c r="F28" s="173"/>
      <c r="G28" s="7"/>
      <c r="H28" s="7"/>
      <c r="I28" s="174"/>
    </row>
    <row r="29" spans="1:9" ht="11.25" customHeight="1">
      <c r="A29" s="34"/>
      <c r="B29" s="135" t="s">
        <v>742</v>
      </c>
      <c r="C29" s="168">
        <f>SUM(D29:I29)</f>
        <v>50878.42</v>
      </c>
      <c r="D29" s="28">
        <f>'DOE25'!L359+'DOE25'!L360+'DOE25'!L361-'DOE25'!I368-F29-G29-H29</f>
        <v>50878.42</v>
      </c>
      <c r="E29" s="169"/>
      <c r="F29" s="170"/>
      <c r="G29" s="28">
        <f>'DOE25'!J359+'DOE25'!J360+'DOE25'!J361</f>
        <v>0</v>
      </c>
      <c r="H29" s="28">
        <f>'DOE25'!K359+'DOE25'!K360+'DOE25'!K361</f>
        <v>0</v>
      </c>
      <c r="I29" s="171"/>
    </row>
    <row r="30" spans="1:9" ht="11.25" customHeight="1">
      <c r="A30" s="34"/>
      <c r="C30" s="172"/>
      <c r="D30" s="28"/>
      <c r="E30" s="7"/>
      <c r="F30" s="173"/>
      <c r="G30" s="28"/>
      <c r="H30" s="28"/>
      <c r="I30" s="171"/>
    </row>
    <row r="31" spans="1:9" ht="11.25" customHeight="1">
      <c r="A31" s="34" t="s">
        <v>743</v>
      </c>
      <c r="B31" s="135" t="s">
        <v>744</v>
      </c>
      <c r="C31" s="168">
        <f>SUM(D31:I31)</f>
        <v>28967.599999999999</v>
      </c>
      <c r="D31" s="28">
        <f>'DOE25'!L291+'DOE25'!L310+'DOE25'!L329+'DOE25'!L334+'DOE25'!L335+'DOE25'!L336-F31-G31-H31</f>
        <v>28967.599999999999</v>
      </c>
      <c r="E31" s="169"/>
      <c r="F31" s="170"/>
      <c r="G31" s="28">
        <f>'DOE25'!J291+'DOE25'!J310+'DOE25'!J329+'DOE25'!J334+'DOE25'!J335+'DOE25'!J336</f>
        <v>0</v>
      </c>
      <c r="H31" s="28">
        <f>'DOE25'!K291+'DOE25'!K310+'DOE25'!K329+'DOE25'!K334+'DOE25'!K335+'DOE25'!K336</f>
        <v>0</v>
      </c>
      <c r="I31" s="171"/>
    </row>
    <row r="32" spans="1:9" ht="11.25" customHeight="1">
      <c r="C32" s="172"/>
      <c r="G32" s="178"/>
      <c r="H32" s="178"/>
      <c r="I32" s="179"/>
    </row>
    <row r="33" spans="1:9" ht="11.25" customHeight="1">
      <c r="B33" s="135" t="s">
        <v>745</v>
      </c>
      <c r="D33" s="180">
        <f t="shared" ref="D33:I33" si="1">SUM(D5:D31)</f>
        <v>2546461.77</v>
      </c>
      <c r="E33" s="180">
        <f t="shared" si="1"/>
        <v>53210.58</v>
      </c>
      <c r="F33" s="180">
        <f t="shared" si="1"/>
        <v>0</v>
      </c>
      <c r="G33" s="180">
        <f t="shared" si="1"/>
        <v>69053.62</v>
      </c>
      <c r="H33" s="180">
        <f t="shared" si="1"/>
        <v>11150.83</v>
      </c>
      <c r="I33" s="180">
        <f t="shared" si="1"/>
        <v>327048.25</v>
      </c>
    </row>
    <row r="34" spans="1:9" ht="11.25" customHeight="1"/>
    <row r="35" spans="1:9" ht="11.25" customHeight="1">
      <c r="B35" s="178" t="s">
        <v>746</v>
      </c>
      <c r="D35" s="181">
        <f>E33</f>
        <v>53210.58</v>
      </c>
      <c r="E35" s="182"/>
      <c r="F35" s="183" t="s">
        <v>747</v>
      </c>
      <c r="G35" s="144"/>
      <c r="H35" s="144"/>
      <c r="I35" s="144"/>
    </row>
    <row r="36" spans="1:9" ht="11.25" customHeight="1">
      <c r="B36" s="135" t="s">
        <v>748</v>
      </c>
      <c r="D36" s="28">
        <f>D33</f>
        <v>2546461.77</v>
      </c>
      <c r="F36" s="184"/>
      <c r="G36" s="156" t="str">
        <f>IF(F36=0,"&lt;&lt;&lt;&lt;&lt; YOU HAVE NOT CHOSEN IF YOU WANT AN INDIRECT COST RATE!!","")</f>
        <v>&lt;&lt;&lt;&lt;&lt; YOU HAVE NOT CHOSEN IF YOU WANT AN INDIRECT COST RATE!!</v>
      </c>
      <c r="H36" s="156"/>
    </row>
    <row r="37" spans="1:9" ht="11.25" customHeight="1"/>
    <row r="38" spans="1:9" ht="11.25" customHeight="1">
      <c r="B38" s="185" t="s">
        <v>749</v>
      </c>
      <c r="C38" s="186"/>
      <c r="D38" s="187"/>
    </row>
    <row r="39" spans="1:9" ht="11.25" customHeight="1">
      <c r="B39" s="185" t="s">
        <v>750</v>
      </c>
      <c r="D39" s="188" t="str">
        <f>IF(E10&gt;0,"Y","N")</f>
        <v>N</v>
      </c>
    </row>
    <row r="40" spans="1:9" ht="11.25" customHeight="1"/>
    <row r="41" spans="1:9" ht="11.25" customHeight="1">
      <c r="A41" s="189"/>
      <c r="B41" s="190" t="s">
        <v>751</v>
      </c>
      <c r="C41" s="189"/>
      <c r="D41" s="189"/>
      <c r="E41" s="189"/>
      <c r="F41" s="189"/>
      <c r="G41" s="189"/>
      <c r="H41" s="189"/>
      <c r="I41" s="189"/>
    </row>
    <row r="42" spans="1:9" ht="11.25" customHeight="1">
      <c r="A42" s="189"/>
      <c r="B42" s="189" t="s">
        <v>752</v>
      </c>
      <c r="C42" s="189"/>
      <c r="D42" s="189"/>
      <c r="E42" s="189"/>
      <c r="F42" s="189"/>
      <c r="G42" s="189"/>
      <c r="H42" s="189"/>
      <c r="I42" s="189"/>
    </row>
    <row r="43" spans="1:9" ht="11.25" customHeight="1">
      <c r="A43" s="189"/>
      <c r="B43" s="189" t="s">
        <v>753</v>
      </c>
      <c r="C43" s="189"/>
      <c r="D43" s="189"/>
      <c r="E43" s="189"/>
      <c r="F43" s="189"/>
      <c r="G43" s="189"/>
      <c r="H43" s="189"/>
      <c r="I43" s="189"/>
    </row>
    <row r="44" spans="1:9" ht="11.25" customHeight="1">
      <c r="A44" s="189"/>
      <c r="B44" s="189"/>
      <c r="C44" s="189"/>
      <c r="D44" s="189"/>
      <c r="E44" s="189"/>
      <c r="F44" s="189"/>
      <c r="G44" s="189"/>
      <c r="H44" s="189"/>
      <c r="I44" s="189"/>
    </row>
    <row r="45" spans="1:9" ht="11.25" customHeight="1">
      <c r="A45" s="189"/>
      <c r="B45" s="189" t="s">
        <v>754</v>
      </c>
      <c r="C45" s="189"/>
      <c r="D45" s="189"/>
      <c r="E45" s="189"/>
      <c r="F45" s="189"/>
      <c r="G45" s="189"/>
      <c r="H45" s="189"/>
      <c r="I45" s="189"/>
    </row>
    <row r="46" spans="1:9" ht="11.25" customHeight="1">
      <c r="A46" s="189"/>
      <c r="B46" s="189"/>
      <c r="C46" s="189"/>
      <c r="D46" s="189"/>
      <c r="E46" s="189"/>
      <c r="F46" s="189"/>
      <c r="G46" s="189"/>
      <c r="H46" s="189"/>
      <c r="I46" s="189"/>
    </row>
    <row r="47" spans="1:9" ht="11.25" customHeight="1">
      <c r="A47" s="189"/>
      <c r="B47" s="189" t="s">
        <v>755</v>
      </c>
      <c r="C47" s="189"/>
      <c r="D47" s="189"/>
      <c r="E47" s="189"/>
      <c r="F47" s="189"/>
      <c r="G47" s="189"/>
      <c r="H47" s="189"/>
      <c r="I47" s="189"/>
    </row>
    <row r="48" spans="1:9" ht="11.25" customHeight="1">
      <c r="A48" s="189"/>
      <c r="B48" s="189" t="s">
        <v>756</v>
      </c>
      <c r="C48" s="189"/>
      <c r="D48" s="189"/>
      <c r="E48" s="189"/>
      <c r="F48" s="189"/>
      <c r="G48" s="189"/>
      <c r="H48" s="189"/>
      <c r="I48" s="189"/>
    </row>
    <row r="49" spans="1:9" ht="11.25" customHeight="1">
      <c r="A49" s="189"/>
      <c r="B49" s="189" t="s">
        <v>757</v>
      </c>
      <c r="C49" s="189"/>
      <c r="D49" s="189"/>
      <c r="E49" s="189"/>
      <c r="F49" s="189"/>
      <c r="G49" s="189"/>
      <c r="H49" s="189"/>
      <c r="I49" s="189"/>
    </row>
    <row r="50" spans="1:9" ht="11.25" customHeight="1">
      <c r="A50" s="189"/>
      <c r="B50" s="189" t="s">
        <v>758</v>
      </c>
      <c r="C50" s="189"/>
      <c r="D50" s="189"/>
      <c r="E50" s="189"/>
      <c r="F50" s="189"/>
      <c r="G50" s="189"/>
      <c r="H50" s="189"/>
      <c r="I50" s="189"/>
    </row>
    <row r="51" spans="1:9" ht="11.25" customHeight="1">
      <c r="A51" s="189"/>
      <c r="B51" s="189" t="s">
        <v>759</v>
      </c>
      <c r="C51" s="189"/>
      <c r="D51" s="189"/>
      <c r="E51" s="189"/>
      <c r="F51" s="189"/>
      <c r="G51" s="189"/>
      <c r="H51" s="189"/>
      <c r="I51" s="189"/>
    </row>
    <row r="52" spans="1:9" ht="11.25" customHeight="1">
      <c r="A52" s="189"/>
      <c r="B52" s="189"/>
      <c r="C52" s="189"/>
      <c r="D52" s="189"/>
      <c r="E52" s="189"/>
      <c r="F52" s="189"/>
      <c r="G52" s="189"/>
      <c r="H52" s="189"/>
      <c r="I52" s="189"/>
    </row>
    <row r="53" spans="1:9" ht="49.5" customHeight="1">
      <c r="A53" s="189"/>
      <c r="B53" s="271" t="s">
        <v>760</v>
      </c>
      <c r="C53" s="260"/>
      <c r="D53" s="260"/>
      <c r="E53" s="260"/>
      <c r="F53" s="260"/>
      <c r="G53" s="260"/>
      <c r="H53" s="260"/>
      <c r="I53" s="189"/>
    </row>
    <row r="54" spans="1:9" ht="11.25" customHeight="1"/>
    <row r="55" spans="1:9" ht="11.25" customHeight="1"/>
    <row r="56" spans="1:9" ht="11.25" customHeight="1"/>
    <row r="57" spans="1:9" ht="11.25" customHeight="1"/>
    <row r="58" spans="1:9" ht="11.25" customHeight="1"/>
    <row r="59" spans="1:9" ht="11.25" customHeight="1"/>
    <row r="60" spans="1:9" ht="11.25" customHeight="1"/>
    <row r="61" spans="1:9" ht="11.25" customHeight="1"/>
    <row r="62" spans="1:9" ht="11.25" customHeight="1"/>
    <row r="63" spans="1:9" ht="11.25" customHeight="1"/>
    <row r="64" spans="1:9"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3">
    <mergeCell ref="A1:H1"/>
    <mergeCell ref="F2:H2"/>
    <mergeCell ref="B53:H53"/>
  </mergeCells>
  <dataValidations count="1">
    <dataValidation type="list" allowBlank="1" showErrorMessage="1" sqref="F36" xr:uid="{00000000-0002-0000-0400-000000000000}">
      <formula1>"YES,NO"</formula1>
    </dataValidation>
  </dataValidations>
  <pageMargins left="0.5" right="0.5" top="0.5" bottom="0.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36C09"/>
    <pageSetUpPr fitToPage="1"/>
  </sheetPr>
  <dimension ref="A1:R1000"/>
  <sheetViews>
    <sheetView workbookViewId="0">
      <selection activeCell="A37" sqref="A37"/>
    </sheetView>
  </sheetViews>
  <sheetFormatPr defaultColWidth="16.83203125" defaultRowHeight="15" customHeight="1"/>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0" max="12" width="8.83203125" customWidth="1"/>
    <col min="13" max="13" width="11.83203125" customWidth="1"/>
    <col min="14" max="15" width="19.5" customWidth="1"/>
    <col min="16" max="16" width="31.83203125" customWidth="1"/>
    <col min="17" max="17" width="16.6640625" customWidth="1"/>
    <col min="18" max="26" width="8.83203125" customWidth="1"/>
  </cols>
  <sheetData>
    <row r="1" spans="1:18" ht="11.25" customHeight="1">
      <c r="A1" s="7" t="s">
        <v>761</v>
      </c>
      <c r="B1" s="7" t="s">
        <v>762</v>
      </c>
      <c r="C1" s="7"/>
      <c r="D1" s="49" t="s">
        <v>763</v>
      </c>
      <c r="E1" s="7"/>
      <c r="F1" s="7"/>
      <c r="G1" s="7"/>
      <c r="H1" s="7"/>
      <c r="N1" s="34"/>
    </row>
    <row r="2" spans="1:18" ht="11.25" customHeight="1">
      <c r="A2" s="191" t="str">
        <f>'DOE25'!A2</f>
        <v>Mason</v>
      </c>
      <c r="B2" s="7">
        <f>'DOE25'!B2</f>
        <v>345</v>
      </c>
      <c r="C2" s="7"/>
      <c r="D2" s="7"/>
      <c r="E2" s="7"/>
      <c r="F2" s="7"/>
      <c r="G2" s="7"/>
      <c r="H2" s="7"/>
      <c r="N2" s="34"/>
    </row>
    <row r="3" spans="1:18" ht="36.75" customHeight="1">
      <c r="A3" s="192" t="s">
        <v>764</v>
      </c>
      <c r="B3" s="193"/>
      <c r="C3" s="193"/>
      <c r="D3" s="194" t="s">
        <v>765</v>
      </c>
      <c r="E3" s="194" t="s">
        <v>766</v>
      </c>
      <c r="F3" s="195" t="s">
        <v>767</v>
      </c>
      <c r="G3" s="196" t="s">
        <v>768</v>
      </c>
      <c r="H3" s="197" t="s">
        <v>769</v>
      </c>
      <c r="I3" s="7"/>
      <c r="N3" s="198"/>
      <c r="O3" s="198"/>
      <c r="P3" s="198"/>
      <c r="Q3" s="198"/>
      <c r="R3" s="199"/>
    </row>
    <row r="4" spans="1:18" ht="11.25" customHeight="1">
      <c r="A4" s="194" t="s">
        <v>770</v>
      </c>
      <c r="B4" s="194" t="s">
        <v>771</v>
      </c>
      <c r="C4" s="194" t="s">
        <v>761</v>
      </c>
      <c r="D4" s="194" t="s">
        <v>658</v>
      </c>
      <c r="E4" s="194" t="s">
        <v>658</v>
      </c>
      <c r="F4" s="200">
        <f>SUM(F5:F20)</f>
        <v>1684001.24</v>
      </c>
      <c r="G4" s="201">
        <f>'DOE25'!L212+'DOE25'!L291</f>
        <v>1684001.2400000002</v>
      </c>
      <c r="H4" s="202">
        <f>F4-G4</f>
        <v>0</v>
      </c>
      <c r="I4" s="272" t="str">
        <f>IF(H4=0,"","ISSUES!! Please review page 7 and 11 totals in comparison with total on this page")</f>
        <v/>
      </c>
    </row>
    <row r="5" spans="1:18" ht="11.25" customHeight="1">
      <c r="A5" s="7" t="s">
        <v>772</v>
      </c>
      <c r="B5" s="203">
        <f>IFERROR(VLOOKUP(A5,'School Tables'!$C$3:$D$365,2,FALSE),"")</f>
        <v>23040</v>
      </c>
      <c r="C5" s="193" t="str">
        <f t="array" ref="C5">IFERROR(INDEX('School Tables'!$B$3:$B$365,MATCH('School Level Expenditures'!B5,'School Tables'!$D$3:$D$365,0)),"")</f>
        <v>Mason</v>
      </c>
      <c r="D5" s="204">
        <v>1655033.64</v>
      </c>
      <c r="E5" s="204">
        <v>28967.599999999999</v>
      </c>
      <c r="F5" s="205">
        <f t="shared" ref="F5:F20" si="0">D5+E5</f>
        <v>1684001.24</v>
      </c>
      <c r="G5" s="193"/>
      <c r="H5" s="193"/>
      <c r="I5" s="260"/>
    </row>
    <row r="6" spans="1:18" ht="11.25" customHeight="1">
      <c r="A6" s="7"/>
      <c r="B6" s="203" t="str">
        <f>IFERROR(VLOOKUP(A6,'School Tables'!$C$3:$D$365,2,FALSE),"")</f>
        <v/>
      </c>
      <c r="C6" s="193" t="str">
        <f t="array" ref="C6">IFERROR(INDEX('School Tables'!$B$3:$B$365,MATCH('School Level Expenditures'!B6,'School Tables'!$D$3:$D$365,0)),"")</f>
        <v/>
      </c>
      <c r="D6" s="204"/>
      <c r="E6" s="204"/>
      <c r="F6" s="205">
        <f t="shared" si="0"/>
        <v>0</v>
      </c>
      <c r="G6" s="193"/>
      <c r="H6" s="193"/>
      <c r="I6" s="260"/>
    </row>
    <row r="7" spans="1:18" ht="11.25" customHeight="1">
      <c r="A7" s="7"/>
      <c r="B7" s="203" t="str">
        <f>IFERROR(VLOOKUP(A7,'School Tables'!$C$3:$D$365,2,FALSE),"")</f>
        <v/>
      </c>
      <c r="C7" s="193" t="str">
        <f t="array" ref="C7">IFERROR(INDEX('School Tables'!$B$3:$B$365,MATCH('School Level Expenditures'!B7,'School Tables'!$D$3:$D$365,0)),"")</f>
        <v/>
      </c>
      <c r="D7" s="204"/>
      <c r="E7" s="204"/>
      <c r="F7" s="205">
        <f t="shared" si="0"/>
        <v>0</v>
      </c>
      <c r="G7" s="193"/>
      <c r="H7" s="193"/>
      <c r="I7" s="206"/>
    </row>
    <row r="8" spans="1:18" ht="11.25" customHeight="1">
      <c r="A8" s="7"/>
      <c r="B8" s="203" t="str">
        <f>IFERROR(VLOOKUP(A8,'School Tables'!$C$3:$D$365,2,FALSE),"")</f>
        <v/>
      </c>
      <c r="C8" s="193" t="str">
        <f t="array" ref="C8">IFERROR(INDEX('School Tables'!$B$3:$B$365,MATCH('School Level Expenditures'!B8,'School Tables'!$D$3:$D$365,0)),"")</f>
        <v/>
      </c>
      <c r="D8" s="204"/>
      <c r="E8" s="204"/>
      <c r="F8" s="205">
        <f t="shared" si="0"/>
        <v>0</v>
      </c>
      <c r="G8" s="193"/>
      <c r="H8" s="193"/>
      <c r="I8" s="206"/>
    </row>
    <row r="9" spans="1:18" ht="11.25" customHeight="1">
      <c r="A9" s="7"/>
      <c r="B9" s="203" t="str">
        <f>IFERROR(VLOOKUP(A9,'School Tables'!$C$3:$D$365,2,FALSE),"")</f>
        <v/>
      </c>
      <c r="C9" s="193" t="str">
        <f t="array" ref="C9">IFERROR(INDEX('School Tables'!$B$3:$B$365,MATCH('School Level Expenditures'!B9,'School Tables'!$D$3:$D$365,0)),"")</f>
        <v/>
      </c>
      <c r="D9" s="204"/>
      <c r="E9" s="204"/>
      <c r="F9" s="205">
        <f t="shared" si="0"/>
        <v>0</v>
      </c>
      <c r="G9" s="193"/>
      <c r="H9" s="193"/>
      <c r="I9" s="206"/>
    </row>
    <row r="10" spans="1:18" ht="11.25" customHeight="1">
      <c r="A10" s="7"/>
      <c r="B10" s="203" t="str">
        <f>IFERROR(VLOOKUP(A10,'School Tables'!$C$3:$D$365,2,FALSE),"")</f>
        <v/>
      </c>
      <c r="C10" s="193" t="str">
        <f t="array" ref="C10">IFERROR(INDEX('School Tables'!$B$3:$B$365,MATCH('School Level Expenditures'!B10,'School Tables'!$D$3:$D$365,0)),"")</f>
        <v/>
      </c>
      <c r="D10" s="204"/>
      <c r="E10" s="204"/>
      <c r="F10" s="205">
        <f t="shared" si="0"/>
        <v>0</v>
      </c>
      <c r="G10" s="193"/>
      <c r="H10" s="193"/>
      <c r="I10" s="7"/>
    </row>
    <row r="11" spans="1:18" ht="11.25" customHeight="1">
      <c r="A11" s="7"/>
      <c r="B11" s="203" t="str">
        <f>IFERROR(VLOOKUP(A11,'School Tables'!$C$3:$D$365,2,FALSE),"")</f>
        <v/>
      </c>
      <c r="C11" s="193" t="str">
        <f t="array" ref="C11">IFERROR(INDEX('School Tables'!$B$3:$B$365,MATCH('School Level Expenditures'!B11,'School Tables'!$D$3:$D$365,0)),"")</f>
        <v/>
      </c>
      <c r="D11" s="204"/>
      <c r="E11" s="204"/>
      <c r="F11" s="205">
        <f t="shared" si="0"/>
        <v>0</v>
      </c>
      <c r="G11" s="193"/>
      <c r="H11" s="193"/>
      <c r="I11" s="7"/>
    </row>
    <row r="12" spans="1:18" ht="11.25" customHeight="1">
      <c r="A12" s="7"/>
      <c r="B12" s="203" t="str">
        <f>IFERROR(VLOOKUP(A12,'School Tables'!$C$3:$D$365,2,FALSE),"")</f>
        <v/>
      </c>
      <c r="C12" s="193" t="str">
        <f t="array" ref="C12">IFERROR(INDEX('School Tables'!$B$3:$B$365,MATCH('School Level Expenditures'!B12,'School Tables'!$D$3:$D$365,0)),"")</f>
        <v/>
      </c>
      <c r="D12" s="204"/>
      <c r="E12" s="204"/>
      <c r="F12" s="205">
        <f t="shared" si="0"/>
        <v>0</v>
      </c>
      <c r="G12" s="193"/>
      <c r="H12" s="193"/>
      <c r="I12" s="7"/>
    </row>
    <row r="13" spans="1:18" ht="11.25" customHeight="1">
      <c r="A13" s="7"/>
      <c r="B13" s="203" t="str">
        <f>IFERROR(VLOOKUP(A13,'School Tables'!$C$3:$D$365,2,FALSE),"")</f>
        <v/>
      </c>
      <c r="C13" s="193" t="str">
        <f t="array" ref="C13">IFERROR(INDEX('School Tables'!$B$3:$B$365,MATCH('School Level Expenditures'!B13,'School Tables'!$D$3:$D$365,0)),"")</f>
        <v/>
      </c>
      <c r="D13" s="204"/>
      <c r="E13" s="204"/>
      <c r="F13" s="205">
        <f t="shared" si="0"/>
        <v>0</v>
      </c>
      <c r="G13" s="193"/>
      <c r="H13" s="193"/>
      <c r="I13" s="7"/>
    </row>
    <row r="14" spans="1:18" ht="11.25" customHeight="1">
      <c r="A14" s="7"/>
      <c r="B14" s="203" t="str">
        <f>IFERROR(VLOOKUP(A14,'School Tables'!$C$3:$D$365,2,FALSE),"")</f>
        <v/>
      </c>
      <c r="C14" s="193" t="str">
        <f t="array" ref="C14">IFERROR(INDEX('School Tables'!$B$3:$B$365,MATCH('School Level Expenditures'!B14,'School Tables'!$D$3:$D$365,0)),"")</f>
        <v/>
      </c>
      <c r="D14" s="204"/>
      <c r="E14" s="204"/>
      <c r="F14" s="205">
        <f t="shared" si="0"/>
        <v>0</v>
      </c>
      <c r="G14" s="193"/>
      <c r="H14" s="193"/>
      <c r="I14" s="7"/>
    </row>
    <row r="15" spans="1:18" ht="11.25" customHeight="1">
      <c r="A15" s="7"/>
      <c r="B15" s="203" t="str">
        <f>IFERROR(VLOOKUP(A15,'School Tables'!$C$3:$D$365,2,FALSE),"")</f>
        <v/>
      </c>
      <c r="C15" s="193" t="str">
        <f t="array" ref="C15">IFERROR(INDEX('School Tables'!$B$3:$B$365,MATCH('School Level Expenditures'!B15,'School Tables'!$D$3:$D$365,0)),"")</f>
        <v/>
      </c>
      <c r="D15" s="204"/>
      <c r="E15" s="204"/>
      <c r="F15" s="205">
        <f t="shared" si="0"/>
        <v>0</v>
      </c>
      <c r="G15" s="193"/>
      <c r="H15" s="193"/>
      <c r="I15" s="7"/>
    </row>
    <row r="16" spans="1:18" ht="11.25" customHeight="1">
      <c r="A16" s="7"/>
      <c r="B16" s="203" t="str">
        <f>IFERROR(VLOOKUP(A16,'School Tables'!$C$3:$D$365,2,FALSE),"")</f>
        <v/>
      </c>
      <c r="C16" s="193" t="str">
        <f t="array" ref="C16">IFERROR(INDEX('School Tables'!$B$3:$B$365,MATCH('School Level Expenditures'!B16,'School Tables'!$D$3:$D$365,0)),"")</f>
        <v/>
      </c>
      <c r="D16" s="204"/>
      <c r="E16" s="204"/>
      <c r="F16" s="205">
        <f t="shared" si="0"/>
        <v>0</v>
      </c>
      <c r="G16" s="193"/>
      <c r="H16" s="193"/>
      <c r="I16" s="7"/>
    </row>
    <row r="17" spans="1:9" ht="11.25" customHeight="1">
      <c r="A17" s="7"/>
      <c r="B17" s="203" t="str">
        <f>IFERROR(VLOOKUP(A17,'School Tables'!$C$3:$D$365,2,FALSE),"")</f>
        <v/>
      </c>
      <c r="C17" s="193" t="str">
        <f t="array" ref="C17">IFERROR(INDEX('School Tables'!$B$3:$B$365,MATCH('School Level Expenditures'!B17,'School Tables'!$D$3:$D$365,0)),"")</f>
        <v/>
      </c>
      <c r="D17" s="204"/>
      <c r="E17" s="204"/>
      <c r="F17" s="205">
        <f t="shared" si="0"/>
        <v>0</v>
      </c>
      <c r="G17" s="193"/>
      <c r="H17" s="193"/>
      <c r="I17" s="7"/>
    </row>
    <row r="18" spans="1:9" ht="11.25" customHeight="1">
      <c r="A18" s="7"/>
      <c r="B18" s="203" t="str">
        <f>IFERROR(VLOOKUP(A18,'School Tables'!$C$3:$D$365,2,FALSE),"")</f>
        <v/>
      </c>
      <c r="C18" s="193" t="str">
        <f t="array" ref="C18">IFERROR(INDEX('School Tables'!$B$3:$B$365,MATCH('School Level Expenditures'!B18,'School Tables'!$D$3:$D$365,0)),"")</f>
        <v/>
      </c>
      <c r="D18" s="204"/>
      <c r="E18" s="204"/>
      <c r="F18" s="205">
        <f t="shared" si="0"/>
        <v>0</v>
      </c>
      <c r="G18" s="193"/>
      <c r="H18" s="193"/>
      <c r="I18" s="7"/>
    </row>
    <row r="19" spans="1:9" ht="11.25" customHeight="1">
      <c r="A19" s="7"/>
      <c r="B19" s="203" t="str">
        <f>IFERROR(VLOOKUP(A19,'School Tables'!$C$3:$D$365,2,FALSE),"")</f>
        <v/>
      </c>
      <c r="C19" s="193" t="str">
        <f t="array" ref="C19">IFERROR(INDEX('School Tables'!$B$3:$B$365,MATCH('School Level Expenditures'!B19,'School Tables'!$D$3:$D$365,0)),"")</f>
        <v/>
      </c>
      <c r="D19" s="204"/>
      <c r="E19" s="204"/>
      <c r="F19" s="205">
        <f t="shared" si="0"/>
        <v>0</v>
      </c>
      <c r="G19" s="193"/>
      <c r="H19" s="193"/>
      <c r="I19" s="7"/>
    </row>
    <row r="20" spans="1:9" ht="11.25" customHeight="1">
      <c r="A20" s="7"/>
      <c r="B20" s="203" t="str">
        <f>IFERROR(VLOOKUP(A20,'School Tables'!$C$3:$D$365,2,FALSE),"")</f>
        <v/>
      </c>
      <c r="C20" s="193" t="str">
        <f t="array" ref="C20">IFERROR(INDEX('School Tables'!$B$3:$B$365,MATCH('School Level Expenditures'!B20,'School Tables'!$D$3:$D$365,0)),"")</f>
        <v/>
      </c>
      <c r="D20" s="204"/>
      <c r="E20" s="204"/>
      <c r="F20" s="205">
        <f t="shared" si="0"/>
        <v>0</v>
      </c>
      <c r="G20" s="193"/>
      <c r="H20" s="193"/>
      <c r="I20" s="7"/>
    </row>
    <row r="21" spans="1:9" ht="11.25" customHeight="1">
      <c r="A21" s="7"/>
      <c r="B21" s="207"/>
      <c r="C21" s="208"/>
      <c r="D21" s="209">
        <f t="shared" ref="D21:E21" si="1">SUM(D5:D20)</f>
        <v>1655033.64</v>
      </c>
      <c r="E21" s="209">
        <f t="shared" si="1"/>
        <v>28967.599999999999</v>
      </c>
      <c r="F21" s="208"/>
      <c r="G21" s="208"/>
      <c r="H21" s="208"/>
      <c r="I21" s="7"/>
    </row>
    <row r="22" spans="1:9" ht="11.25" customHeight="1">
      <c r="A22" s="7"/>
      <c r="B22" s="207"/>
      <c r="C22" s="208"/>
      <c r="D22" s="204"/>
      <c r="E22" s="204"/>
      <c r="F22" s="208"/>
      <c r="G22" s="208"/>
      <c r="H22" s="208"/>
      <c r="I22" s="7"/>
    </row>
    <row r="23" spans="1:9" ht="11.25" customHeight="1">
      <c r="A23" s="192" t="s">
        <v>773</v>
      </c>
      <c r="B23" s="193"/>
      <c r="C23" s="193"/>
      <c r="D23" s="194" t="s">
        <v>765</v>
      </c>
      <c r="E23" s="194" t="s">
        <v>766</v>
      </c>
      <c r="F23" s="195" t="s">
        <v>767</v>
      </c>
      <c r="G23" s="196" t="s">
        <v>774</v>
      </c>
      <c r="H23" s="197" t="s">
        <v>769</v>
      </c>
      <c r="I23" s="7"/>
    </row>
    <row r="24" spans="1:9" ht="11.25" customHeight="1">
      <c r="A24" s="194" t="s">
        <v>775</v>
      </c>
      <c r="B24" s="194" t="s">
        <v>776</v>
      </c>
      <c r="C24" s="194" t="s">
        <v>761</v>
      </c>
      <c r="D24" s="194"/>
      <c r="E24" s="194" t="s">
        <v>658</v>
      </c>
      <c r="F24" s="210">
        <f>SUM(F25:F32)</f>
        <v>375605.39</v>
      </c>
      <c r="G24" s="201">
        <f>'DOE25'!L230+'DOE25'!L310</f>
        <v>375605.39</v>
      </c>
      <c r="H24" s="202">
        <f>F24-G24</f>
        <v>0</v>
      </c>
      <c r="I24" s="272" t="str">
        <f>IF(H24=0,"","ISSUES!! Please review page 8 and 12 totals in comparison with total on this page")</f>
        <v/>
      </c>
    </row>
    <row r="25" spans="1:9" ht="11.25" customHeight="1">
      <c r="A25" s="7" t="s">
        <v>777</v>
      </c>
      <c r="B25" s="203">
        <v>99999</v>
      </c>
      <c r="C25" s="193" t="s">
        <v>777</v>
      </c>
      <c r="D25" s="204">
        <v>375605.39</v>
      </c>
      <c r="E25" s="204"/>
      <c r="F25" s="205">
        <f t="shared" ref="F25:F32" si="2">D25+E25</f>
        <v>375605.39</v>
      </c>
      <c r="G25" s="193"/>
      <c r="H25" s="193"/>
      <c r="I25" s="260"/>
    </row>
    <row r="26" spans="1:9" ht="11.25" customHeight="1">
      <c r="A26" s="7"/>
      <c r="B26" s="203" t="str">
        <f>IFERROR(VLOOKUP(A26,'School Tables'!$N$4:$O$75,2,FALSE),"")</f>
        <v/>
      </c>
      <c r="C26" s="193" t="str">
        <f t="array" ref="C26">IFERROR(INDEX('School Tables'!$M$4:$M$75,MATCH('School Level Expenditures'!A26,'School Tables'!$N$4:$N$75,0)),"")</f>
        <v/>
      </c>
      <c r="D26" s="204"/>
      <c r="E26" s="204"/>
      <c r="F26" s="205">
        <f t="shared" si="2"/>
        <v>0</v>
      </c>
      <c r="G26" s="193"/>
      <c r="H26" s="193"/>
      <c r="I26" s="260"/>
    </row>
    <row r="27" spans="1:9" ht="11.25" customHeight="1">
      <c r="A27" s="7"/>
      <c r="B27" s="203" t="str">
        <f>IFERROR(VLOOKUP(A27,'School Tables'!$N$4:$O$75,2,FALSE),"")</f>
        <v/>
      </c>
      <c r="C27" s="193" t="str">
        <f t="array" ref="C27">IFERROR(INDEX('School Tables'!$M$4:$M$75,MATCH('School Level Expenditures'!A27,'School Tables'!$N$4:$N$75,0)),"")</f>
        <v/>
      </c>
      <c r="D27" s="204"/>
      <c r="E27" s="204"/>
      <c r="F27" s="205">
        <f t="shared" si="2"/>
        <v>0</v>
      </c>
      <c r="G27" s="193"/>
      <c r="H27" s="193"/>
      <c r="I27" s="7"/>
    </row>
    <row r="28" spans="1:9" ht="11.25" customHeight="1">
      <c r="A28" s="7"/>
      <c r="B28" s="203" t="str">
        <f>IFERROR(VLOOKUP(A28,'School Tables'!$N$4:$O$75,2,FALSE),"")</f>
        <v/>
      </c>
      <c r="C28" s="193" t="str">
        <f t="array" ref="C28">IFERROR(INDEX('School Tables'!$M$4:$M$75,MATCH('School Level Expenditures'!A28,'School Tables'!$N$4:$N$75,0)),"")</f>
        <v/>
      </c>
      <c r="D28" s="204"/>
      <c r="E28" s="204"/>
      <c r="F28" s="205">
        <f t="shared" si="2"/>
        <v>0</v>
      </c>
      <c r="G28" s="193"/>
      <c r="H28" s="193"/>
      <c r="I28" s="7"/>
    </row>
    <row r="29" spans="1:9" ht="11.25" customHeight="1">
      <c r="A29" s="7"/>
      <c r="B29" s="203" t="str">
        <f>IFERROR(VLOOKUP(A29,'School Tables'!$N$4:$O$75,2,FALSE),"")</f>
        <v/>
      </c>
      <c r="C29" s="193" t="str">
        <f t="array" ref="C29">IFERROR(INDEX('School Tables'!$M$4:$M$75,MATCH('School Level Expenditures'!A29,'School Tables'!$N$4:$N$75,0)),"")</f>
        <v/>
      </c>
      <c r="D29" s="204"/>
      <c r="E29" s="204"/>
      <c r="F29" s="205">
        <f t="shared" si="2"/>
        <v>0</v>
      </c>
      <c r="G29" s="193"/>
      <c r="H29" s="193"/>
      <c r="I29" s="7"/>
    </row>
    <row r="30" spans="1:9" ht="11.25" customHeight="1">
      <c r="A30" s="7"/>
      <c r="B30" s="203" t="str">
        <f>IFERROR(VLOOKUP(A30,'School Tables'!$N$4:$O$75,2,FALSE),"")</f>
        <v/>
      </c>
      <c r="C30" s="193" t="str">
        <f t="array" ref="C30">IFERROR(INDEX('School Tables'!$M$4:$M$75,MATCH('School Level Expenditures'!A30,'School Tables'!$N$4:$N$75,0)),"")</f>
        <v/>
      </c>
      <c r="D30" s="204"/>
      <c r="E30" s="204"/>
      <c r="F30" s="205">
        <f t="shared" si="2"/>
        <v>0</v>
      </c>
      <c r="G30" s="193"/>
      <c r="H30" s="193"/>
      <c r="I30" s="7"/>
    </row>
    <row r="31" spans="1:9" ht="11.25" customHeight="1">
      <c r="A31" s="7"/>
      <c r="B31" s="203" t="str">
        <f>IFERROR(VLOOKUP(A31,'School Tables'!$N$4:$O$75,2,FALSE),"")</f>
        <v/>
      </c>
      <c r="C31" s="193" t="str">
        <f t="array" ref="C31">IFERROR(INDEX('School Tables'!$M$4:$M$75,MATCH('School Level Expenditures'!A31,'School Tables'!$N$4:$N$75,0)),"")</f>
        <v/>
      </c>
      <c r="D31" s="204"/>
      <c r="E31" s="204"/>
      <c r="F31" s="205">
        <f t="shared" si="2"/>
        <v>0</v>
      </c>
      <c r="G31" s="193"/>
      <c r="H31" s="193"/>
      <c r="I31" s="7"/>
    </row>
    <row r="32" spans="1:9" ht="11.25" customHeight="1">
      <c r="A32" s="7"/>
      <c r="B32" s="203" t="str">
        <f>IFERROR(VLOOKUP(A32,'School Tables'!$N$4:$O$75,2,FALSE),"")</f>
        <v/>
      </c>
      <c r="C32" s="193" t="str">
        <f t="array" ref="C32">IFERROR(INDEX('School Tables'!$K$3:$K$80,MATCH('School Level Expenditures'!B32,'School Tables'!$M$3:$M$80,0)),"")</f>
        <v/>
      </c>
      <c r="D32" s="204"/>
      <c r="E32" s="204"/>
      <c r="F32" s="205">
        <f t="shared" si="2"/>
        <v>0</v>
      </c>
      <c r="G32" s="193"/>
      <c r="H32" s="193"/>
      <c r="I32" s="7"/>
    </row>
    <row r="33" spans="1:9" ht="11.25" customHeight="1">
      <c r="A33" s="7"/>
      <c r="B33" s="207"/>
      <c r="C33" s="208"/>
      <c r="D33" s="209">
        <f t="shared" ref="D33:E33" si="3">SUM(D25:D32)</f>
        <v>375605.39</v>
      </c>
      <c r="E33" s="209">
        <f t="shared" si="3"/>
        <v>0</v>
      </c>
      <c r="F33" s="208"/>
      <c r="G33" s="208"/>
      <c r="H33" s="208"/>
      <c r="I33" s="7"/>
    </row>
    <row r="34" spans="1:9" ht="11.25" customHeight="1">
      <c r="A34" s="7"/>
      <c r="B34" s="207"/>
      <c r="C34" s="208"/>
      <c r="D34" s="204"/>
      <c r="E34" s="204"/>
      <c r="F34" s="208"/>
      <c r="G34" s="208"/>
      <c r="H34" s="208"/>
      <c r="I34" s="7"/>
    </row>
    <row r="35" spans="1:9" ht="11.25" customHeight="1">
      <c r="A35" s="192" t="s">
        <v>306</v>
      </c>
      <c r="B35" s="193"/>
      <c r="C35" s="193"/>
      <c r="D35" s="194" t="s">
        <v>765</v>
      </c>
      <c r="E35" s="194" t="s">
        <v>766</v>
      </c>
      <c r="F35" s="195" t="s">
        <v>767</v>
      </c>
      <c r="G35" s="196" t="s">
        <v>778</v>
      </c>
      <c r="H35" s="197" t="s">
        <v>769</v>
      </c>
      <c r="I35" s="7"/>
    </row>
    <row r="36" spans="1:9" ht="11.25" customHeight="1">
      <c r="A36" s="194" t="s">
        <v>779</v>
      </c>
      <c r="B36" s="194" t="s">
        <v>780</v>
      </c>
      <c r="C36" s="194" t="s">
        <v>761</v>
      </c>
      <c r="D36" s="194" t="s">
        <v>658</v>
      </c>
      <c r="E36" s="194" t="s">
        <v>658</v>
      </c>
      <c r="F36" s="210">
        <f>SUM(F37:F42)</f>
        <v>569391.75</v>
      </c>
      <c r="G36" s="201">
        <f>'DOE25'!L248+'DOE25'!L329</f>
        <v>569391.75</v>
      </c>
      <c r="H36" s="202">
        <f>F36-G36</f>
        <v>0</v>
      </c>
      <c r="I36" s="272" t="str">
        <f>IF(H36=0,"","ISSUES!! Please review page 9 and 13 totals in comparison with total on this page")</f>
        <v/>
      </c>
    </row>
    <row r="37" spans="1:9" ht="11.25" customHeight="1">
      <c r="A37" s="7" t="s">
        <v>777</v>
      </c>
      <c r="B37" s="203">
        <v>99999</v>
      </c>
      <c r="C37" s="193" t="s">
        <v>777</v>
      </c>
      <c r="D37" s="204">
        <v>569391.75</v>
      </c>
      <c r="E37" s="204"/>
      <c r="F37" s="205">
        <f t="shared" ref="F37:F42" si="4">D37+E37</f>
        <v>569391.75</v>
      </c>
      <c r="G37" s="193"/>
      <c r="H37" s="193"/>
      <c r="I37" s="260"/>
    </row>
    <row r="38" spans="1:9" ht="11.25" customHeight="1">
      <c r="A38" s="7"/>
      <c r="B38" s="203" t="str">
        <f>IFERROR(VLOOKUP(A38,'School Tables'!$Y$4:$Z$100,2,FALSE),"")</f>
        <v/>
      </c>
      <c r="C38" s="193" t="str">
        <f t="array" ref="C38">IFERROR(INDEX('School Tables'!$X$4:$X$100,MATCH('School Level Expenditures'!A38,'School Tables'!$Y$4:$Y$100,0)),"")</f>
        <v/>
      </c>
      <c r="D38" s="204"/>
      <c r="E38" s="204"/>
      <c r="F38" s="205">
        <f t="shared" si="4"/>
        <v>0</v>
      </c>
      <c r="G38" s="193"/>
      <c r="H38" s="193"/>
      <c r="I38" s="260"/>
    </row>
    <row r="39" spans="1:9" ht="11.25" customHeight="1">
      <c r="A39" s="7"/>
      <c r="B39" s="203" t="str">
        <f>IFERROR(VLOOKUP(A39,'School Tables'!$Y$4:$Z$100,2,FALSE),"")</f>
        <v/>
      </c>
      <c r="C39" s="193" t="str">
        <f t="array" ref="C39">IFERROR(INDEX('School Tables'!$X$4:$X$100,MATCH('School Level Expenditures'!A39,'School Tables'!$Y$4:$Y$100,0)),"")</f>
        <v/>
      </c>
      <c r="D39" s="204"/>
      <c r="E39" s="204"/>
      <c r="F39" s="205">
        <f t="shared" si="4"/>
        <v>0</v>
      </c>
      <c r="G39" s="193"/>
      <c r="H39" s="193"/>
      <c r="I39" s="7"/>
    </row>
    <row r="40" spans="1:9" ht="11.25" customHeight="1">
      <c r="A40" s="7"/>
      <c r="B40" s="203" t="str">
        <f>IFERROR(VLOOKUP(A40,'School Tables'!$Y$4:$Z$100,2,FALSE),"")</f>
        <v/>
      </c>
      <c r="C40" s="193" t="str">
        <f t="array" ref="C40">IFERROR(INDEX('School Tables'!$X$4:$X$100,MATCH('School Level Expenditures'!A40,'School Tables'!$Y$4:$Y$100,0)),"")</f>
        <v/>
      </c>
      <c r="D40" s="204"/>
      <c r="E40" s="204"/>
      <c r="F40" s="205">
        <f t="shared" si="4"/>
        <v>0</v>
      </c>
      <c r="G40" s="193"/>
      <c r="H40" s="193"/>
      <c r="I40" s="7"/>
    </row>
    <row r="41" spans="1:9" ht="11.25" customHeight="1">
      <c r="A41" s="7"/>
      <c r="B41" s="203" t="str">
        <f>IFERROR(VLOOKUP(A41,'School Tables'!$Y$4:$Z$100,2,FALSE),"")</f>
        <v/>
      </c>
      <c r="C41" s="193" t="str">
        <f t="array" ref="C41">IFERROR(INDEX('School Tables'!$X$4:$X$100,MATCH('School Level Expenditures'!A41,'School Tables'!$Y$4:$Y$100,0)),"")</f>
        <v/>
      </c>
      <c r="D41" s="7"/>
      <c r="E41" s="7"/>
      <c r="F41" s="205">
        <f t="shared" si="4"/>
        <v>0</v>
      </c>
      <c r="G41" s="193"/>
      <c r="H41" s="193"/>
      <c r="I41" s="7"/>
    </row>
    <row r="42" spans="1:9" ht="11.25" customHeight="1">
      <c r="A42" s="7"/>
      <c r="B42" s="203" t="str">
        <f>IFERROR(VLOOKUP(A42,'School Tables'!$Y$4:$Z$100,2,FALSE),"")</f>
        <v/>
      </c>
      <c r="C42" s="193" t="str">
        <f t="array" ref="C42">IFERROR(INDEX('School Tables'!$X$4:$X$100,MATCH('School Level Expenditures'!A42,'School Tables'!$Y$4:$Y$100,0)),"")</f>
        <v/>
      </c>
      <c r="D42" s="7"/>
      <c r="E42" s="7"/>
      <c r="F42" s="205">
        <f t="shared" si="4"/>
        <v>0</v>
      </c>
      <c r="G42" s="193"/>
      <c r="H42" s="193"/>
    </row>
    <row r="43" spans="1:9" ht="11.25" customHeight="1">
      <c r="D43" s="209">
        <f t="shared" ref="D43:E43" si="5">SUM(D37:D42)</f>
        <v>569391.75</v>
      </c>
      <c r="E43" s="209">
        <f t="shared" si="5"/>
        <v>0</v>
      </c>
    </row>
    <row r="44" spans="1:9" ht="11.25" customHeight="1"/>
    <row r="45" spans="1:9" ht="11.25" customHeight="1"/>
    <row r="46" spans="1:9" ht="11.25" customHeight="1">
      <c r="A46" s="190" t="s">
        <v>751</v>
      </c>
      <c r="B46" s="189"/>
      <c r="C46" s="189"/>
      <c r="D46" s="189"/>
      <c r="E46" s="189"/>
      <c r="F46" s="189"/>
      <c r="G46" s="189"/>
      <c r="H46" s="189"/>
    </row>
    <row r="47" spans="1:9" ht="11.25" customHeight="1">
      <c r="A47" s="189" t="s">
        <v>782</v>
      </c>
      <c r="B47" s="189"/>
      <c r="C47" s="189"/>
      <c r="D47" s="189"/>
      <c r="E47" s="189"/>
      <c r="F47" s="189"/>
      <c r="G47" s="189"/>
      <c r="H47" s="189"/>
    </row>
    <row r="48" spans="1:9" ht="11.25" customHeight="1">
      <c r="A48" s="189" t="s">
        <v>783</v>
      </c>
      <c r="B48" s="189"/>
      <c r="C48" s="189"/>
      <c r="D48" s="189"/>
      <c r="E48" s="189"/>
      <c r="F48" s="189"/>
      <c r="G48" s="189"/>
      <c r="H48" s="189"/>
    </row>
    <row r="49" spans="1:8" ht="11.25" customHeight="1">
      <c r="A49" s="189"/>
      <c r="B49" s="189"/>
      <c r="C49" s="189"/>
      <c r="D49" s="189"/>
      <c r="E49" s="189"/>
      <c r="F49" s="189"/>
      <c r="G49" s="189"/>
      <c r="H49" s="189"/>
    </row>
    <row r="50" spans="1:8" ht="11.25" customHeight="1">
      <c r="A50" s="189" t="s">
        <v>784</v>
      </c>
      <c r="B50" s="189"/>
      <c r="C50" s="189"/>
      <c r="D50" s="189"/>
      <c r="E50" s="189"/>
      <c r="F50" s="189"/>
      <c r="G50" s="189"/>
      <c r="H50" s="189"/>
    </row>
    <row r="51" spans="1:8" ht="11.25" customHeight="1">
      <c r="A51" s="189"/>
      <c r="B51" s="189"/>
      <c r="C51" s="189"/>
      <c r="D51" s="189"/>
      <c r="E51" s="189"/>
      <c r="F51" s="189"/>
      <c r="G51" s="189"/>
      <c r="H51" s="189"/>
    </row>
    <row r="52" spans="1:8" ht="11.25" customHeight="1">
      <c r="A52" s="189" t="s">
        <v>785</v>
      </c>
      <c r="B52" s="189"/>
      <c r="C52" s="189"/>
      <c r="D52" s="189"/>
      <c r="E52" s="189"/>
      <c r="F52" s="189"/>
      <c r="G52" s="189"/>
      <c r="H52" s="189"/>
    </row>
    <row r="53" spans="1:8" ht="11.25" customHeight="1">
      <c r="A53" s="189"/>
      <c r="B53" s="189"/>
      <c r="C53" s="189"/>
      <c r="D53" s="189"/>
      <c r="E53" s="189"/>
      <c r="F53" s="189"/>
      <c r="G53" s="189"/>
      <c r="H53" s="189"/>
    </row>
    <row r="54" spans="1:8" ht="11.25" customHeight="1">
      <c r="A54" s="189"/>
      <c r="B54" s="189"/>
      <c r="C54" s="189"/>
      <c r="D54" s="189"/>
      <c r="E54" s="189"/>
      <c r="F54" s="189"/>
      <c r="G54" s="189"/>
      <c r="H54" s="189"/>
    </row>
    <row r="55" spans="1:8" ht="11.25" customHeight="1">
      <c r="A55" s="189"/>
      <c r="B55" s="189"/>
      <c r="C55" s="189"/>
      <c r="D55" s="189"/>
      <c r="E55" s="189"/>
      <c r="F55" s="189"/>
      <c r="G55" s="189"/>
      <c r="H55" s="189"/>
    </row>
    <row r="56" spans="1:8" ht="11.25" customHeight="1">
      <c r="A56" s="189"/>
      <c r="B56" s="189"/>
      <c r="C56" s="189"/>
      <c r="D56" s="189"/>
      <c r="E56" s="189"/>
      <c r="F56" s="189"/>
      <c r="G56" s="189"/>
      <c r="H56" s="189"/>
    </row>
    <row r="57" spans="1:8" ht="11.25" customHeight="1">
      <c r="A57" s="189"/>
      <c r="B57" s="189"/>
      <c r="C57" s="189"/>
      <c r="D57" s="189"/>
      <c r="E57" s="189"/>
      <c r="F57" s="189"/>
      <c r="G57" s="189"/>
      <c r="H57" s="189"/>
    </row>
    <row r="58" spans="1:8" ht="11.25" customHeight="1">
      <c r="A58" s="271"/>
      <c r="B58" s="260"/>
      <c r="C58" s="260"/>
      <c r="D58" s="260"/>
      <c r="E58" s="260"/>
      <c r="F58" s="260"/>
      <c r="G58" s="260"/>
      <c r="H58" s="189"/>
    </row>
    <row r="59" spans="1:8" ht="11.25" customHeight="1"/>
    <row r="60" spans="1:8" ht="11.25" customHeight="1"/>
    <row r="61" spans="1:8" ht="11.25" customHeight="1"/>
    <row r="62" spans="1:8" ht="11.25" customHeight="1"/>
    <row r="63" spans="1:8" ht="11.25" customHeight="1"/>
    <row r="64" spans="1:8"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spans="14:14" ht="11.25" customHeight="1"/>
    <row r="242" spans="14:14" ht="11.25" customHeight="1"/>
    <row r="243" spans="14:14" ht="11.25" customHeight="1"/>
    <row r="244" spans="14:14" ht="11.25" customHeight="1"/>
    <row r="245" spans="14:14" ht="11.25" customHeight="1"/>
    <row r="246" spans="14:14" ht="11.25" customHeight="1"/>
    <row r="247" spans="14:14" ht="11.25" customHeight="1"/>
    <row r="248" spans="14:14" ht="11.25" customHeight="1"/>
    <row r="249" spans="14:14" ht="11.25" customHeight="1"/>
    <row r="250" spans="14:14" ht="11.25" customHeight="1"/>
    <row r="251" spans="14:14" ht="11.25" customHeight="1"/>
    <row r="252" spans="14:14" ht="11.25" customHeight="1"/>
    <row r="253" spans="14:14" ht="11.25" customHeight="1">
      <c r="N253" s="34"/>
    </row>
    <row r="254" spans="14:14" ht="11.25" customHeight="1">
      <c r="N254" s="34"/>
    </row>
    <row r="255" spans="14:14" ht="11.25" customHeight="1">
      <c r="N255" s="34"/>
    </row>
    <row r="256" spans="14:14" ht="11.25" customHeight="1">
      <c r="N256" s="34"/>
    </row>
    <row r="257" spans="14:14" ht="11.25" customHeight="1">
      <c r="N257" s="34"/>
    </row>
    <row r="258" spans="14:14" ht="11.25" customHeight="1">
      <c r="N258" s="34"/>
    </row>
    <row r="259" spans="14:14" ht="11.25" customHeight="1">
      <c r="N259" s="34"/>
    </row>
    <row r="260" spans="14:14" ht="11.25" customHeight="1">
      <c r="N260" s="34"/>
    </row>
    <row r="261" spans="14:14" ht="11.25" customHeight="1">
      <c r="N261" s="34"/>
    </row>
    <row r="262" spans="14:14" ht="11.25" customHeight="1">
      <c r="N262" s="34"/>
    </row>
    <row r="263" spans="14:14" ht="11.25" customHeight="1">
      <c r="N263" s="34"/>
    </row>
    <row r="264" spans="14:14" ht="11.25" customHeight="1">
      <c r="N264" s="34"/>
    </row>
    <row r="265" spans="14:14" ht="11.25" customHeight="1">
      <c r="N265" s="34"/>
    </row>
    <row r="266" spans="14:14" ht="11.25" customHeight="1">
      <c r="N266" s="34"/>
    </row>
    <row r="267" spans="14:14" ht="11.25" customHeight="1">
      <c r="N267" s="34"/>
    </row>
    <row r="268" spans="14:14" ht="11.25" customHeight="1">
      <c r="N268" s="34"/>
    </row>
    <row r="269" spans="14:14" ht="11.25" customHeight="1">
      <c r="N269" s="34"/>
    </row>
    <row r="270" spans="14:14" ht="11.25" customHeight="1">
      <c r="N270" s="34"/>
    </row>
    <row r="271" spans="14:14" ht="11.25" customHeight="1">
      <c r="N271" s="34"/>
    </row>
    <row r="272" spans="14:14" ht="11.25" customHeight="1">
      <c r="N272" s="34"/>
    </row>
    <row r="273" spans="14:14" ht="11.25" customHeight="1">
      <c r="N273" s="34"/>
    </row>
    <row r="274" spans="14:14" ht="11.25" customHeight="1">
      <c r="N274" s="34"/>
    </row>
    <row r="275" spans="14:14" ht="11.25" customHeight="1">
      <c r="N275" s="34"/>
    </row>
    <row r="276" spans="14:14" ht="11.25" customHeight="1">
      <c r="N276" s="34"/>
    </row>
    <row r="277" spans="14:14" ht="11.25" customHeight="1">
      <c r="N277" s="34"/>
    </row>
    <row r="278" spans="14:14" ht="11.25" customHeight="1">
      <c r="N278" s="34"/>
    </row>
    <row r="279" spans="14:14" ht="11.25" customHeight="1">
      <c r="N279" s="34"/>
    </row>
    <row r="280" spans="14:14" ht="11.25" customHeight="1">
      <c r="N280" s="34"/>
    </row>
    <row r="281" spans="14:14" ht="11.25" customHeight="1">
      <c r="N281" s="34"/>
    </row>
    <row r="282" spans="14:14" ht="11.25" customHeight="1">
      <c r="N282" s="34"/>
    </row>
    <row r="283" spans="14:14" ht="11.25" customHeight="1">
      <c r="N283" s="34"/>
    </row>
    <row r="284" spans="14:14" ht="11.25" customHeight="1">
      <c r="N284" s="34"/>
    </row>
    <row r="285" spans="14:14" ht="11.25" customHeight="1">
      <c r="N285" s="34"/>
    </row>
    <row r="286" spans="14:14" ht="11.25" customHeight="1">
      <c r="N286" s="34"/>
    </row>
    <row r="287" spans="14:14" ht="11.25" customHeight="1">
      <c r="N287" s="34"/>
    </row>
    <row r="288" spans="14:14" ht="11.25" customHeight="1">
      <c r="N288" s="34"/>
    </row>
    <row r="289" spans="14:14" ht="11.25" customHeight="1">
      <c r="N289" s="34"/>
    </row>
    <row r="290" spans="14:14" ht="11.25" customHeight="1">
      <c r="N290" s="34"/>
    </row>
    <row r="291" spans="14:14" ht="11.25" customHeight="1">
      <c r="N291" s="34"/>
    </row>
    <row r="292" spans="14:14" ht="11.25" customHeight="1">
      <c r="N292" s="34"/>
    </row>
    <row r="293" spans="14:14" ht="11.25" customHeight="1">
      <c r="N293" s="34"/>
    </row>
    <row r="294" spans="14:14" ht="11.25" customHeight="1">
      <c r="N294" s="34"/>
    </row>
    <row r="295" spans="14:14" ht="11.25" customHeight="1">
      <c r="N295" s="34"/>
    </row>
    <row r="296" spans="14:14" ht="11.25" customHeight="1">
      <c r="N296" s="34"/>
    </row>
    <row r="297" spans="14:14" ht="11.25" customHeight="1">
      <c r="N297" s="34"/>
    </row>
    <row r="298" spans="14:14" ht="11.25" customHeight="1">
      <c r="N298" s="34"/>
    </row>
    <row r="299" spans="14:14" ht="11.25" customHeight="1">
      <c r="N299" s="34"/>
    </row>
    <row r="300" spans="14:14" ht="11.25" customHeight="1">
      <c r="N300" s="34"/>
    </row>
    <row r="301" spans="14:14" ht="11.25" customHeight="1">
      <c r="N301" s="34"/>
    </row>
    <row r="302" spans="14:14" ht="11.25" customHeight="1">
      <c r="N302" s="34"/>
    </row>
    <row r="303" spans="14:14" ht="11.25" customHeight="1">
      <c r="N303" s="34"/>
    </row>
    <row r="304" spans="14:14" ht="11.25" customHeight="1">
      <c r="N304" s="34"/>
    </row>
    <row r="305" spans="14:14" ht="11.25" customHeight="1">
      <c r="N305" s="34"/>
    </row>
    <row r="306" spans="14:14" ht="11.25" customHeight="1">
      <c r="N306" s="34"/>
    </row>
    <row r="307" spans="14:14" ht="11.25" customHeight="1">
      <c r="N307" s="34"/>
    </row>
    <row r="308" spans="14:14" ht="11.25" customHeight="1">
      <c r="N308" s="34"/>
    </row>
    <row r="309" spans="14:14" ht="11.25" customHeight="1">
      <c r="N309" s="34"/>
    </row>
    <row r="310" spans="14:14" ht="11.25" customHeight="1">
      <c r="N310" s="34"/>
    </row>
    <row r="311" spans="14:14" ht="11.25" customHeight="1">
      <c r="N311" s="34"/>
    </row>
    <row r="312" spans="14:14" ht="11.25" customHeight="1">
      <c r="N312" s="34"/>
    </row>
    <row r="313" spans="14:14" ht="11.25" customHeight="1">
      <c r="N313" s="34"/>
    </row>
    <row r="314" spans="14:14" ht="11.25" customHeight="1">
      <c r="N314" s="34"/>
    </row>
    <row r="315" spans="14:14" ht="11.25" customHeight="1">
      <c r="N315" s="34"/>
    </row>
    <row r="316" spans="14:14" ht="11.25" customHeight="1">
      <c r="N316" s="34"/>
    </row>
    <row r="317" spans="14:14" ht="11.25" customHeight="1">
      <c r="N317" s="34"/>
    </row>
    <row r="318" spans="14:14" ht="11.25" customHeight="1">
      <c r="N318" s="34"/>
    </row>
    <row r="319" spans="14:14" ht="11.25" customHeight="1">
      <c r="N319" s="34"/>
    </row>
    <row r="320" spans="14:14" ht="11.25" customHeight="1">
      <c r="N320" s="34"/>
    </row>
    <row r="321" spans="14:14" ht="11.25" customHeight="1">
      <c r="N321" s="34"/>
    </row>
    <row r="322" spans="14:14" ht="11.25" customHeight="1">
      <c r="N322" s="34"/>
    </row>
    <row r="323" spans="14:14" ht="11.25" customHeight="1">
      <c r="N323" s="34"/>
    </row>
    <row r="324" spans="14:14" ht="11.25" customHeight="1">
      <c r="N324" s="34"/>
    </row>
    <row r="325" spans="14:14" ht="11.25" customHeight="1">
      <c r="N325" s="34"/>
    </row>
    <row r="326" spans="14:14" ht="11.25" customHeight="1">
      <c r="N326" s="34"/>
    </row>
    <row r="327" spans="14:14" ht="11.25" customHeight="1">
      <c r="N327" s="34"/>
    </row>
    <row r="328" spans="14:14" ht="11.25" customHeight="1">
      <c r="N328" s="34"/>
    </row>
    <row r="329" spans="14:14" ht="11.25" customHeight="1">
      <c r="N329" s="34"/>
    </row>
    <row r="330" spans="14:14" ht="11.25" customHeight="1">
      <c r="N330" s="34"/>
    </row>
    <row r="331" spans="14:14" ht="11.25" customHeight="1">
      <c r="N331" s="34"/>
    </row>
    <row r="332" spans="14:14" ht="11.25" customHeight="1">
      <c r="N332" s="34"/>
    </row>
    <row r="333" spans="14:14" ht="11.25" customHeight="1">
      <c r="N333" s="34"/>
    </row>
    <row r="334" spans="14:14" ht="11.25" customHeight="1">
      <c r="N334" s="34"/>
    </row>
    <row r="335" spans="14:14" ht="11.25" customHeight="1">
      <c r="N335" s="34"/>
    </row>
    <row r="336" spans="14:14" ht="11.25" customHeight="1">
      <c r="N336" s="34"/>
    </row>
    <row r="337" spans="14:14" ht="11.25" customHeight="1">
      <c r="N337" s="34"/>
    </row>
    <row r="338" spans="14:14" ht="11.25" customHeight="1">
      <c r="N338" s="34"/>
    </row>
    <row r="339" spans="14:14" ht="11.25" customHeight="1">
      <c r="N339" s="34"/>
    </row>
    <row r="340" spans="14:14" ht="11.25" customHeight="1">
      <c r="N340" s="34"/>
    </row>
    <row r="341" spans="14:14" ht="11.25" customHeight="1">
      <c r="N341" s="34"/>
    </row>
    <row r="342" spans="14:14" ht="11.25" customHeight="1">
      <c r="N342" s="34"/>
    </row>
    <row r="343" spans="14:14" ht="11.25" customHeight="1">
      <c r="N343" s="34"/>
    </row>
    <row r="344" spans="14:14" ht="11.25" customHeight="1">
      <c r="N344" s="34"/>
    </row>
    <row r="345" spans="14:14" ht="11.25" customHeight="1">
      <c r="N345" s="34"/>
    </row>
    <row r="346" spans="14:14" ht="11.25" customHeight="1">
      <c r="N346" s="34"/>
    </row>
    <row r="347" spans="14:14" ht="11.25" customHeight="1">
      <c r="N347" s="34"/>
    </row>
    <row r="348" spans="14:14" ht="11.25" customHeight="1">
      <c r="N348" s="34"/>
    </row>
    <row r="349" spans="14:14" ht="11.25" customHeight="1">
      <c r="N349" s="34"/>
    </row>
    <row r="350" spans="14:14" ht="11.25" customHeight="1">
      <c r="N350" s="34"/>
    </row>
    <row r="351" spans="14:14" ht="11.25" customHeight="1">
      <c r="N351" s="34"/>
    </row>
    <row r="352" spans="14:14" ht="11.25" customHeight="1">
      <c r="N352" s="34"/>
    </row>
    <row r="353" spans="14:14" ht="11.25" customHeight="1">
      <c r="N353" s="34"/>
    </row>
    <row r="354" spans="14:14" ht="11.25" customHeight="1">
      <c r="N354" s="34"/>
    </row>
    <row r="355" spans="14:14" ht="11.25" customHeight="1">
      <c r="N355" s="34"/>
    </row>
    <row r="356" spans="14:14" ht="11.25" customHeight="1">
      <c r="N356" s="34"/>
    </row>
    <row r="357" spans="14:14" ht="11.25" customHeight="1">
      <c r="N357" s="34"/>
    </row>
    <row r="358" spans="14:14" ht="11.25" customHeight="1">
      <c r="N358" s="34"/>
    </row>
    <row r="359" spans="14:14" ht="11.25" customHeight="1">
      <c r="N359" s="34"/>
    </row>
    <row r="360" spans="14:14" ht="11.25" customHeight="1">
      <c r="N360" s="34"/>
    </row>
    <row r="361" spans="14:14" ht="11.25" customHeight="1">
      <c r="N361" s="34"/>
    </row>
    <row r="362" spans="14:14" ht="11.25" customHeight="1">
      <c r="N362" s="34"/>
    </row>
    <row r="363" spans="14:14" ht="11.25" customHeight="1">
      <c r="N363" s="34"/>
    </row>
    <row r="364" spans="14:14" ht="11.25" customHeight="1">
      <c r="N364" s="34"/>
    </row>
    <row r="365" spans="14:14" ht="11.25" customHeight="1">
      <c r="N365" s="34"/>
    </row>
    <row r="366" spans="14:14" ht="11.25" customHeight="1">
      <c r="N366" s="34"/>
    </row>
    <row r="367" spans="14:14" ht="11.25" customHeight="1">
      <c r="N367" s="34"/>
    </row>
    <row r="368" spans="14:14" ht="11.25" customHeight="1">
      <c r="N368" s="34"/>
    </row>
    <row r="369" spans="14:14" ht="11.25" customHeight="1">
      <c r="N369" s="34"/>
    </row>
    <row r="370" spans="14:14" ht="11.25" customHeight="1">
      <c r="N370" s="34"/>
    </row>
    <row r="371" spans="14:14" ht="11.25" customHeight="1">
      <c r="N371" s="34"/>
    </row>
    <row r="372" spans="14:14" ht="11.25" customHeight="1">
      <c r="N372" s="34"/>
    </row>
    <row r="373" spans="14:14" ht="11.25" customHeight="1">
      <c r="N373" s="34"/>
    </row>
    <row r="374" spans="14:14" ht="11.25" customHeight="1">
      <c r="N374" s="34"/>
    </row>
    <row r="375" spans="14:14" ht="11.25" customHeight="1">
      <c r="N375" s="34"/>
    </row>
    <row r="376" spans="14:14" ht="11.25" customHeight="1">
      <c r="N376" s="34"/>
    </row>
    <row r="377" spans="14:14" ht="11.25" customHeight="1">
      <c r="N377" s="34"/>
    </row>
    <row r="378" spans="14:14" ht="11.25" customHeight="1">
      <c r="N378" s="34"/>
    </row>
    <row r="379" spans="14:14" ht="11.25" customHeight="1">
      <c r="N379" s="34"/>
    </row>
    <row r="380" spans="14:14" ht="11.25" customHeight="1">
      <c r="N380" s="34"/>
    </row>
    <row r="381" spans="14:14" ht="11.25" customHeight="1">
      <c r="N381" s="34"/>
    </row>
    <row r="382" spans="14:14" ht="11.25" customHeight="1">
      <c r="N382" s="34"/>
    </row>
    <row r="383" spans="14:14" ht="11.25" customHeight="1">
      <c r="N383" s="34"/>
    </row>
    <row r="384" spans="14:14" ht="11.25" customHeight="1">
      <c r="N384" s="34"/>
    </row>
    <row r="385" spans="14:14" ht="11.25" customHeight="1">
      <c r="N385" s="34"/>
    </row>
    <row r="386" spans="14:14" ht="11.25" customHeight="1">
      <c r="N386" s="34"/>
    </row>
    <row r="387" spans="14:14" ht="11.25" customHeight="1">
      <c r="N387" s="34"/>
    </row>
    <row r="388" spans="14:14" ht="11.25" customHeight="1">
      <c r="N388" s="34"/>
    </row>
    <row r="389" spans="14:14" ht="11.25" customHeight="1">
      <c r="N389" s="34"/>
    </row>
    <row r="390" spans="14:14" ht="11.25" customHeight="1">
      <c r="N390" s="34"/>
    </row>
    <row r="391" spans="14:14" ht="11.25" customHeight="1">
      <c r="N391" s="34"/>
    </row>
    <row r="392" spans="14:14" ht="11.25" customHeight="1">
      <c r="N392" s="34"/>
    </row>
    <row r="393" spans="14:14" ht="11.25" customHeight="1">
      <c r="N393" s="34"/>
    </row>
    <row r="394" spans="14:14" ht="11.25" customHeight="1">
      <c r="N394" s="34"/>
    </row>
    <row r="395" spans="14:14" ht="11.25" customHeight="1">
      <c r="N395" s="34"/>
    </row>
    <row r="396" spans="14:14" ht="11.25" customHeight="1">
      <c r="N396" s="34"/>
    </row>
    <row r="397" spans="14:14" ht="11.25" customHeight="1">
      <c r="N397" s="34"/>
    </row>
    <row r="398" spans="14:14" ht="11.25" customHeight="1">
      <c r="N398" s="34"/>
    </row>
    <row r="399" spans="14:14" ht="11.25" customHeight="1">
      <c r="N399" s="34"/>
    </row>
    <row r="400" spans="14:14" ht="11.25" customHeight="1">
      <c r="N400" s="34"/>
    </row>
    <row r="401" spans="14:14" ht="11.25" customHeight="1">
      <c r="N401" s="34"/>
    </row>
    <row r="402" spans="14:14" ht="11.25" customHeight="1">
      <c r="N402" s="34"/>
    </row>
    <row r="403" spans="14:14" ht="11.25" customHeight="1">
      <c r="N403" s="34"/>
    </row>
    <row r="404" spans="14:14" ht="11.25" customHeight="1">
      <c r="N404" s="34"/>
    </row>
    <row r="405" spans="14:14" ht="11.25" customHeight="1">
      <c r="N405" s="34"/>
    </row>
    <row r="406" spans="14:14" ht="11.25" customHeight="1">
      <c r="N406" s="34"/>
    </row>
    <row r="407" spans="14:14" ht="11.25" customHeight="1">
      <c r="N407" s="34"/>
    </row>
    <row r="408" spans="14:14" ht="11.25" customHeight="1">
      <c r="N408" s="34"/>
    </row>
    <row r="409" spans="14:14" ht="11.25" customHeight="1">
      <c r="N409" s="34"/>
    </row>
    <row r="410" spans="14:14" ht="11.25" customHeight="1">
      <c r="N410" s="34"/>
    </row>
    <row r="411" spans="14:14" ht="11.25" customHeight="1">
      <c r="N411" s="34"/>
    </row>
    <row r="412" spans="14:14" ht="11.25" customHeight="1">
      <c r="N412" s="34"/>
    </row>
    <row r="413" spans="14:14" ht="11.25" customHeight="1">
      <c r="N413" s="34"/>
    </row>
    <row r="414" spans="14:14" ht="11.25" customHeight="1">
      <c r="N414" s="34"/>
    </row>
    <row r="415" spans="14:14" ht="11.25" customHeight="1">
      <c r="N415" s="34"/>
    </row>
    <row r="416" spans="14:14" ht="11.25" customHeight="1">
      <c r="N416" s="34"/>
    </row>
    <row r="417" spans="14:14" ht="11.25" customHeight="1">
      <c r="N417" s="34"/>
    </row>
    <row r="418" spans="14:14" ht="11.25" customHeight="1">
      <c r="N418" s="34"/>
    </row>
    <row r="419" spans="14:14" ht="11.25" customHeight="1">
      <c r="N419" s="34"/>
    </row>
    <row r="420" spans="14:14" ht="11.25" customHeight="1">
      <c r="N420" s="34"/>
    </row>
    <row r="421" spans="14:14" ht="11.25" customHeight="1">
      <c r="N421" s="34"/>
    </row>
    <row r="422" spans="14:14" ht="11.25" customHeight="1">
      <c r="N422" s="34"/>
    </row>
    <row r="423" spans="14:14" ht="11.25" customHeight="1">
      <c r="N423" s="34"/>
    </row>
    <row r="424" spans="14:14" ht="11.25" customHeight="1">
      <c r="N424" s="34"/>
    </row>
    <row r="425" spans="14:14" ht="11.25" customHeight="1">
      <c r="N425" s="34"/>
    </row>
    <row r="426" spans="14:14" ht="11.25" customHeight="1">
      <c r="N426" s="34"/>
    </row>
    <row r="427" spans="14:14" ht="11.25" customHeight="1">
      <c r="N427" s="34"/>
    </row>
    <row r="428" spans="14:14" ht="11.25" customHeight="1">
      <c r="N428" s="34"/>
    </row>
    <row r="429" spans="14:14" ht="11.25" customHeight="1">
      <c r="N429" s="34"/>
    </row>
    <row r="430" spans="14:14" ht="11.25" customHeight="1">
      <c r="N430" s="34"/>
    </row>
    <row r="431" spans="14:14" ht="11.25" customHeight="1">
      <c r="N431" s="34"/>
    </row>
    <row r="432" spans="14:14" ht="11.25" customHeight="1">
      <c r="N432" s="34"/>
    </row>
    <row r="433" spans="14:14" ht="11.25" customHeight="1">
      <c r="N433" s="34"/>
    </row>
    <row r="434" spans="14:14" ht="11.25" customHeight="1">
      <c r="N434" s="34"/>
    </row>
    <row r="435" spans="14:14" ht="11.25" customHeight="1">
      <c r="N435" s="34"/>
    </row>
    <row r="436" spans="14:14" ht="11.25" customHeight="1">
      <c r="N436" s="34"/>
    </row>
    <row r="437" spans="14:14" ht="11.25" customHeight="1">
      <c r="N437" s="34"/>
    </row>
    <row r="438" spans="14:14" ht="11.25" customHeight="1">
      <c r="N438" s="34"/>
    </row>
    <row r="439" spans="14:14" ht="11.25" customHeight="1">
      <c r="N439" s="34"/>
    </row>
    <row r="440" spans="14:14" ht="11.25" customHeight="1">
      <c r="N440" s="34"/>
    </row>
    <row r="441" spans="14:14" ht="11.25" customHeight="1">
      <c r="N441" s="34"/>
    </row>
    <row r="442" spans="14:14" ht="11.25" customHeight="1">
      <c r="N442" s="34"/>
    </row>
    <row r="443" spans="14:14" ht="11.25" customHeight="1">
      <c r="N443" s="34"/>
    </row>
    <row r="444" spans="14:14" ht="11.25" customHeight="1">
      <c r="N444" s="34"/>
    </row>
    <row r="445" spans="14:14" ht="11.25" customHeight="1">
      <c r="N445" s="34"/>
    </row>
    <row r="446" spans="14:14" ht="11.25" customHeight="1">
      <c r="N446" s="34"/>
    </row>
    <row r="447" spans="14:14" ht="11.25" customHeight="1">
      <c r="N447" s="34"/>
    </row>
    <row r="448" spans="14:14" ht="11.25" customHeight="1">
      <c r="N448" s="34"/>
    </row>
    <row r="449" spans="14:14" ht="11.25" customHeight="1">
      <c r="N449" s="34"/>
    </row>
    <row r="450" spans="14:14" ht="11.25" customHeight="1">
      <c r="N450" s="34"/>
    </row>
    <row r="451" spans="14:14" ht="11.25" customHeight="1">
      <c r="N451" s="34"/>
    </row>
    <row r="452" spans="14:14" ht="11.25" customHeight="1">
      <c r="N452" s="34"/>
    </row>
    <row r="453" spans="14:14" ht="11.25" customHeight="1">
      <c r="N453" s="34"/>
    </row>
    <row r="454" spans="14:14" ht="11.25" customHeight="1">
      <c r="N454" s="34"/>
    </row>
    <row r="455" spans="14:14" ht="11.25" customHeight="1">
      <c r="N455" s="34"/>
    </row>
    <row r="456" spans="14:14" ht="11.25" customHeight="1">
      <c r="N456" s="34"/>
    </row>
    <row r="457" spans="14:14" ht="11.25" customHeight="1">
      <c r="N457" s="34"/>
    </row>
    <row r="458" spans="14:14" ht="11.25" customHeight="1">
      <c r="N458" s="34"/>
    </row>
    <row r="459" spans="14:14" ht="11.25" customHeight="1">
      <c r="N459" s="34"/>
    </row>
    <row r="460" spans="14:14" ht="11.25" customHeight="1">
      <c r="N460" s="34"/>
    </row>
    <row r="461" spans="14:14" ht="11.25" customHeight="1">
      <c r="N461" s="34"/>
    </row>
    <row r="462" spans="14:14" ht="11.25" customHeight="1">
      <c r="N462" s="34"/>
    </row>
    <row r="463" spans="14:14" ht="11.25" customHeight="1">
      <c r="N463" s="34"/>
    </row>
    <row r="464" spans="14:14" ht="11.25" customHeight="1">
      <c r="N464" s="34"/>
    </row>
    <row r="465" spans="14:14" ht="11.25" customHeight="1">
      <c r="N465" s="34"/>
    </row>
    <row r="466" spans="14:14" ht="11.25" customHeight="1">
      <c r="N466" s="34"/>
    </row>
    <row r="467" spans="14:14" ht="11.25" customHeight="1">
      <c r="N467" s="34"/>
    </row>
    <row r="468" spans="14:14" ht="11.25" customHeight="1">
      <c r="N468" s="34"/>
    </row>
    <row r="469" spans="14:14" ht="11.25" customHeight="1">
      <c r="N469" s="34"/>
    </row>
    <row r="470" spans="14:14" ht="11.25" customHeight="1">
      <c r="N470" s="34"/>
    </row>
    <row r="471" spans="14:14" ht="11.25" customHeight="1">
      <c r="N471" s="34"/>
    </row>
    <row r="472" spans="14:14" ht="11.25" customHeight="1">
      <c r="N472" s="34"/>
    </row>
    <row r="473" spans="14:14" ht="11.25" customHeight="1">
      <c r="N473" s="34"/>
    </row>
    <row r="474" spans="14:14" ht="11.25" customHeight="1">
      <c r="N474" s="34"/>
    </row>
    <row r="475" spans="14:14" ht="11.25" customHeight="1">
      <c r="N475" s="34"/>
    </row>
    <row r="476" spans="14:14" ht="11.25" customHeight="1">
      <c r="N476" s="34"/>
    </row>
    <row r="477" spans="14:14" ht="11.25" customHeight="1">
      <c r="N477" s="34"/>
    </row>
    <row r="478" spans="14:14" ht="11.25" customHeight="1">
      <c r="N478" s="34"/>
    </row>
    <row r="479" spans="14:14" ht="11.25" customHeight="1">
      <c r="N479" s="34"/>
    </row>
    <row r="480" spans="14:14" ht="11.25" customHeight="1">
      <c r="N480" s="34"/>
    </row>
    <row r="481" spans="14:14" ht="11.25" customHeight="1">
      <c r="N481" s="34"/>
    </row>
    <row r="482" spans="14:14" ht="11.25" customHeight="1">
      <c r="N482" s="34"/>
    </row>
    <row r="483" spans="14:14" ht="11.25" customHeight="1">
      <c r="N483" s="34"/>
    </row>
    <row r="484" spans="14:14" ht="11.25" customHeight="1">
      <c r="N484" s="34"/>
    </row>
    <row r="485" spans="14:14" ht="11.25" customHeight="1">
      <c r="N485" s="34"/>
    </row>
    <row r="486" spans="14:14" ht="11.25" customHeight="1">
      <c r="N486" s="34"/>
    </row>
    <row r="487" spans="14:14" ht="11.25" customHeight="1">
      <c r="N487" s="34"/>
    </row>
    <row r="488" spans="14:14" ht="11.25" customHeight="1">
      <c r="N488" s="34"/>
    </row>
    <row r="489" spans="14:14" ht="11.25" customHeight="1">
      <c r="N489" s="34"/>
    </row>
    <row r="490" spans="14:14" ht="11.25" customHeight="1">
      <c r="N490" s="34"/>
    </row>
    <row r="491" spans="14:14" ht="11.25" customHeight="1">
      <c r="N491" s="34"/>
    </row>
    <row r="492" spans="14:14" ht="11.25" customHeight="1">
      <c r="N492" s="34"/>
    </row>
    <row r="493" spans="14:14" ht="11.25" customHeight="1">
      <c r="N493" s="34"/>
    </row>
    <row r="494" spans="14:14" ht="11.25" customHeight="1">
      <c r="N494" s="34"/>
    </row>
    <row r="495" spans="14:14" ht="11.25" customHeight="1">
      <c r="N495" s="34"/>
    </row>
    <row r="496" spans="14:14" ht="11.25" customHeight="1">
      <c r="N496" s="34"/>
    </row>
    <row r="497" spans="14:14" ht="11.25" customHeight="1">
      <c r="N497" s="34"/>
    </row>
    <row r="498" spans="14:14" ht="11.25" customHeight="1">
      <c r="N498" s="34"/>
    </row>
    <row r="499" spans="14:14" ht="11.25" customHeight="1">
      <c r="N499" s="34"/>
    </row>
    <row r="500" spans="14:14" ht="11.25" customHeight="1">
      <c r="N500" s="34"/>
    </row>
    <row r="501" spans="14:14" ht="11.25" customHeight="1">
      <c r="N501" s="34"/>
    </row>
    <row r="502" spans="14:14" ht="11.25" customHeight="1">
      <c r="N502" s="34"/>
    </row>
    <row r="503" spans="14:14" ht="11.25" customHeight="1">
      <c r="N503" s="34"/>
    </row>
    <row r="504" spans="14:14" ht="11.25" customHeight="1">
      <c r="N504" s="34"/>
    </row>
    <row r="505" spans="14:14" ht="11.25" customHeight="1">
      <c r="N505" s="34"/>
    </row>
    <row r="506" spans="14:14" ht="11.25" customHeight="1">
      <c r="N506" s="34"/>
    </row>
    <row r="507" spans="14:14" ht="11.25" customHeight="1">
      <c r="N507" s="34"/>
    </row>
    <row r="508" spans="14:14" ht="11.25" customHeight="1">
      <c r="N508" s="34"/>
    </row>
    <row r="509" spans="14:14" ht="11.25" customHeight="1">
      <c r="N509" s="34"/>
    </row>
    <row r="510" spans="14:14" ht="11.25" customHeight="1">
      <c r="N510" s="34"/>
    </row>
    <row r="511" spans="14:14" ht="11.25" customHeight="1">
      <c r="N511" s="34"/>
    </row>
    <row r="512" spans="14:14" ht="11.25" customHeight="1">
      <c r="N512" s="34"/>
    </row>
    <row r="513" spans="14:14" ht="11.25" customHeight="1">
      <c r="N513" s="34"/>
    </row>
    <row r="514" spans="14:14" ht="11.25" customHeight="1">
      <c r="N514" s="34"/>
    </row>
    <row r="515" spans="14:14" ht="11.25" customHeight="1">
      <c r="N515" s="34"/>
    </row>
    <row r="516" spans="14:14" ht="11.25" customHeight="1">
      <c r="N516" s="34"/>
    </row>
    <row r="517" spans="14:14" ht="11.25" customHeight="1">
      <c r="N517" s="34"/>
    </row>
    <row r="518" spans="14:14" ht="11.25" customHeight="1">
      <c r="N518" s="34"/>
    </row>
    <row r="519" spans="14:14" ht="11.25" customHeight="1">
      <c r="N519" s="34"/>
    </row>
    <row r="520" spans="14:14" ht="11.25" customHeight="1">
      <c r="N520" s="34"/>
    </row>
    <row r="521" spans="14:14" ht="11.25" customHeight="1">
      <c r="N521" s="34"/>
    </row>
    <row r="522" spans="14:14" ht="11.25" customHeight="1">
      <c r="N522" s="34"/>
    </row>
    <row r="523" spans="14:14" ht="11.25" customHeight="1">
      <c r="N523" s="34"/>
    </row>
    <row r="524" spans="14:14" ht="11.25" customHeight="1">
      <c r="N524" s="34"/>
    </row>
    <row r="525" spans="14:14" ht="11.25" customHeight="1">
      <c r="N525" s="34"/>
    </row>
    <row r="526" spans="14:14" ht="11.25" customHeight="1">
      <c r="N526" s="34"/>
    </row>
    <row r="527" spans="14:14" ht="11.25" customHeight="1">
      <c r="N527" s="34"/>
    </row>
    <row r="528" spans="14:14" ht="11.25" customHeight="1">
      <c r="N528" s="34"/>
    </row>
    <row r="529" spans="14:14" ht="11.25" customHeight="1">
      <c r="N529" s="34"/>
    </row>
    <row r="530" spans="14:14" ht="11.25" customHeight="1">
      <c r="N530" s="34"/>
    </row>
    <row r="531" spans="14:14" ht="11.25" customHeight="1">
      <c r="N531" s="34"/>
    </row>
    <row r="532" spans="14:14" ht="11.25" customHeight="1">
      <c r="N532" s="34"/>
    </row>
    <row r="533" spans="14:14" ht="11.25" customHeight="1">
      <c r="N533" s="34"/>
    </row>
    <row r="534" spans="14:14" ht="11.25" customHeight="1">
      <c r="N534" s="34"/>
    </row>
    <row r="535" spans="14:14" ht="11.25" customHeight="1">
      <c r="N535" s="34"/>
    </row>
    <row r="536" spans="14:14" ht="11.25" customHeight="1">
      <c r="N536" s="34"/>
    </row>
    <row r="537" spans="14:14" ht="11.25" customHeight="1">
      <c r="N537" s="34"/>
    </row>
    <row r="538" spans="14:14" ht="11.25" customHeight="1">
      <c r="N538" s="34"/>
    </row>
    <row r="539" spans="14:14" ht="11.25" customHeight="1">
      <c r="N539" s="34"/>
    </row>
    <row r="540" spans="14:14" ht="11.25" customHeight="1">
      <c r="N540" s="34"/>
    </row>
    <row r="541" spans="14:14" ht="11.25" customHeight="1">
      <c r="N541" s="34"/>
    </row>
    <row r="542" spans="14:14" ht="11.25" customHeight="1">
      <c r="N542" s="34"/>
    </row>
    <row r="543" spans="14:14" ht="11.25" customHeight="1">
      <c r="N543" s="34"/>
    </row>
    <row r="544" spans="14:14" ht="11.25" customHeight="1">
      <c r="N544" s="34"/>
    </row>
    <row r="545" spans="14:14" ht="11.25" customHeight="1">
      <c r="N545" s="34"/>
    </row>
    <row r="546" spans="14:14" ht="11.25" customHeight="1">
      <c r="N546" s="34"/>
    </row>
    <row r="547" spans="14:14" ht="11.25" customHeight="1">
      <c r="N547" s="34"/>
    </row>
    <row r="548" spans="14:14" ht="11.25" customHeight="1">
      <c r="N548" s="34"/>
    </row>
    <row r="549" spans="14:14" ht="11.25" customHeight="1">
      <c r="N549" s="34"/>
    </row>
    <row r="550" spans="14:14" ht="11.25" customHeight="1">
      <c r="N550" s="34"/>
    </row>
    <row r="551" spans="14:14" ht="11.25" customHeight="1">
      <c r="N551" s="34"/>
    </row>
    <row r="552" spans="14:14" ht="11.25" customHeight="1">
      <c r="N552" s="34"/>
    </row>
    <row r="553" spans="14:14" ht="11.25" customHeight="1">
      <c r="N553" s="34"/>
    </row>
    <row r="554" spans="14:14" ht="11.25" customHeight="1">
      <c r="N554" s="34"/>
    </row>
    <row r="555" spans="14:14" ht="11.25" customHeight="1">
      <c r="N555" s="34"/>
    </row>
    <row r="556" spans="14:14" ht="11.25" customHeight="1">
      <c r="N556" s="34"/>
    </row>
    <row r="557" spans="14:14" ht="11.25" customHeight="1">
      <c r="N557" s="34"/>
    </row>
    <row r="558" spans="14:14" ht="11.25" customHeight="1">
      <c r="N558" s="34"/>
    </row>
    <row r="559" spans="14:14" ht="11.25" customHeight="1">
      <c r="N559" s="34"/>
    </row>
    <row r="560" spans="14:14" ht="11.25" customHeight="1">
      <c r="N560" s="34"/>
    </row>
    <row r="561" spans="14:14" ht="11.25" customHeight="1">
      <c r="N561" s="34"/>
    </row>
    <row r="562" spans="14:14" ht="11.25" customHeight="1">
      <c r="N562" s="34"/>
    </row>
    <row r="563" spans="14:14" ht="11.25" customHeight="1">
      <c r="N563" s="34"/>
    </row>
    <row r="564" spans="14:14" ht="11.25" customHeight="1">
      <c r="N564" s="34"/>
    </row>
    <row r="565" spans="14:14" ht="11.25" customHeight="1">
      <c r="N565" s="34"/>
    </row>
    <row r="566" spans="14:14" ht="11.25" customHeight="1">
      <c r="N566" s="34"/>
    </row>
    <row r="567" spans="14:14" ht="11.25" customHeight="1">
      <c r="N567" s="34"/>
    </row>
    <row r="568" spans="14:14" ht="11.25" customHeight="1">
      <c r="N568" s="34"/>
    </row>
    <row r="569" spans="14:14" ht="11.25" customHeight="1">
      <c r="N569" s="34"/>
    </row>
    <row r="570" spans="14:14" ht="11.25" customHeight="1">
      <c r="N570" s="34"/>
    </row>
    <row r="571" spans="14:14" ht="11.25" customHeight="1">
      <c r="N571" s="34"/>
    </row>
    <row r="572" spans="14:14" ht="11.25" customHeight="1">
      <c r="N572" s="34"/>
    </row>
    <row r="573" spans="14:14" ht="11.25" customHeight="1">
      <c r="N573" s="34"/>
    </row>
    <row r="574" spans="14:14" ht="11.25" customHeight="1">
      <c r="N574" s="34"/>
    </row>
    <row r="575" spans="14:14" ht="11.25" customHeight="1">
      <c r="N575" s="34"/>
    </row>
    <row r="576" spans="14:14" ht="11.25" customHeight="1">
      <c r="N576" s="34"/>
    </row>
    <row r="577" spans="14:14" ht="11.25" customHeight="1">
      <c r="N577" s="34"/>
    </row>
    <row r="578" spans="14:14" ht="11.25" customHeight="1">
      <c r="N578" s="34"/>
    </row>
    <row r="579" spans="14:14" ht="11.25" customHeight="1">
      <c r="N579" s="34"/>
    </row>
    <row r="580" spans="14:14" ht="11.25" customHeight="1">
      <c r="N580" s="34"/>
    </row>
    <row r="581" spans="14:14" ht="11.25" customHeight="1">
      <c r="N581" s="34"/>
    </row>
    <row r="582" spans="14:14" ht="11.25" customHeight="1">
      <c r="N582" s="34"/>
    </row>
    <row r="583" spans="14:14" ht="11.25" customHeight="1">
      <c r="N583" s="34"/>
    </row>
    <row r="584" spans="14:14" ht="11.25" customHeight="1">
      <c r="N584" s="34"/>
    </row>
    <row r="585" spans="14:14" ht="11.25" customHeight="1">
      <c r="N585" s="34"/>
    </row>
    <row r="586" spans="14:14" ht="11.25" customHeight="1">
      <c r="N586" s="34"/>
    </row>
    <row r="587" spans="14:14" ht="11.25" customHeight="1">
      <c r="N587" s="34"/>
    </row>
    <row r="588" spans="14:14" ht="11.25" customHeight="1">
      <c r="N588" s="34"/>
    </row>
    <row r="589" spans="14:14" ht="11.25" customHeight="1">
      <c r="N589" s="34"/>
    </row>
    <row r="590" spans="14:14" ht="11.25" customHeight="1">
      <c r="N590" s="34"/>
    </row>
    <row r="591" spans="14:14" ht="11.25" customHeight="1">
      <c r="N591" s="34"/>
    </row>
    <row r="592" spans="14:14" ht="11.25" customHeight="1">
      <c r="N592" s="34"/>
    </row>
    <row r="593" spans="14:14" ht="11.25" customHeight="1">
      <c r="N593" s="34"/>
    </row>
    <row r="594" spans="14:14" ht="11.25" customHeight="1">
      <c r="N594" s="34"/>
    </row>
    <row r="595" spans="14:14" ht="11.25" customHeight="1">
      <c r="N595" s="34"/>
    </row>
    <row r="596" spans="14:14" ht="11.25" customHeight="1">
      <c r="N596" s="34"/>
    </row>
    <row r="597" spans="14:14" ht="11.25" customHeight="1">
      <c r="N597" s="34"/>
    </row>
    <row r="598" spans="14:14" ht="11.25" customHeight="1">
      <c r="N598" s="34"/>
    </row>
    <row r="599" spans="14:14" ht="11.25" customHeight="1">
      <c r="N599" s="34"/>
    </row>
    <row r="600" spans="14:14" ht="11.25" customHeight="1">
      <c r="N600" s="34"/>
    </row>
    <row r="601" spans="14:14" ht="11.25" customHeight="1">
      <c r="N601" s="34"/>
    </row>
    <row r="602" spans="14:14" ht="11.25" customHeight="1">
      <c r="N602" s="34"/>
    </row>
    <row r="603" spans="14:14" ht="11.25" customHeight="1">
      <c r="N603" s="34"/>
    </row>
    <row r="604" spans="14:14" ht="11.25" customHeight="1">
      <c r="N604" s="34"/>
    </row>
    <row r="605" spans="14:14" ht="11.25" customHeight="1">
      <c r="N605" s="34"/>
    </row>
    <row r="606" spans="14:14" ht="11.25" customHeight="1">
      <c r="N606" s="34"/>
    </row>
    <row r="607" spans="14:14" ht="11.25" customHeight="1">
      <c r="N607" s="34"/>
    </row>
    <row r="608" spans="14:14" ht="11.25" customHeight="1">
      <c r="N608" s="34"/>
    </row>
    <row r="609" spans="14:14" ht="11.25" customHeight="1">
      <c r="N609" s="34"/>
    </row>
    <row r="610" spans="14:14" ht="11.25" customHeight="1">
      <c r="N610" s="34"/>
    </row>
    <row r="611" spans="14:14" ht="11.25" customHeight="1">
      <c r="N611" s="34"/>
    </row>
    <row r="612" spans="14:14" ht="11.25" customHeight="1">
      <c r="N612" s="34"/>
    </row>
    <row r="613" spans="14:14" ht="11.25" customHeight="1">
      <c r="N613" s="34"/>
    </row>
    <row r="614" spans="14:14" ht="11.25" customHeight="1">
      <c r="N614" s="34"/>
    </row>
    <row r="615" spans="14:14" ht="11.25" customHeight="1">
      <c r="N615" s="34"/>
    </row>
    <row r="616" spans="14:14" ht="11.25" customHeight="1">
      <c r="N616" s="34"/>
    </row>
    <row r="617" spans="14:14" ht="11.25" customHeight="1">
      <c r="N617" s="34"/>
    </row>
    <row r="618" spans="14:14" ht="11.25" customHeight="1">
      <c r="N618" s="34"/>
    </row>
    <row r="619" spans="14:14" ht="11.25" customHeight="1">
      <c r="N619" s="34"/>
    </row>
    <row r="620" spans="14:14" ht="11.25" customHeight="1">
      <c r="N620" s="34"/>
    </row>
    <row r="621" spans="14:14" ht="11.25" customHeight="1">
      <c r="N621" s="34"/>
    </row>
    <row r="622" spans="14:14" ht="11.25" customHeight="1">
      <c r="N622" s="34"/>
    </row>
    <row r="623" spans="14:14" ht="11.25" customHeight="1">
      <c r="N623" s="34"/>
    </row>
    <row r="624" spans="14:14" ht="11.25" customHeight="1">
      <c r="N624" s="34"/>
    </row>
    <row r="625" spans="14:14" ht="11.25" customHeight="1">
      <c r="N625" s="34"/>
    </row>
    <row r="626" spans="14:14" ht="11.25" customHeight="1">
      <c r="N626" s="34"/>
    </row>
    <row r="627" spans="14:14" ht="11.25" customHeight="1">
      <c r="N627" s="34"/>
    </row>
    <row r="628" spans="14:14" ht="11.25" customHeight="1">
      <c r="N628" s="34"/>
    </row>
    <row r="629" spans="14:14" ht="11.25" customHeight="1">
      <c r="N629" s="34"/>
    </row>
    <row r="630" spans="14:14" ht="11.25" customHeight="1">
      <c r="N630" s="34"/>
    </row>
    <row r="631" spans="14:14" ht="11.25" customHeight="1">
      <c r="N631" s="34"/>
    </row>
    <row r="632" spans="14:14" ht="11.25" customHeight="1">
      <c r="N632" s="34"/>
    </row>
    <row r="633" spans="14:14" ht="11.25" customHeight="1">
      <c r="N633" s="34"/>
    </row>
    <row r="634" spans="14:14" ht="11.25" customHeight="1">
      <c r="N634" s="34"/>
    </row>
    <row r="635" spans="14:14" ht="11.25" customHeight="1">
      <c r="N635" s="34"/>
    </row>
    <row r="636" spans="14:14" ht="11.25" customHeight="1">
      <c r="N636" s="34"/>
    </row>
    <row r="637" spans="14:14" ht="11.25" customHeight="1">
      <c r="N637" s="34"/>
    </row>
    <row r="638" spans="14:14" ht="11.25" customHeight="1">
      <c r="N638" s="34"/>
    </row>
    <row r="639" spans="14:14" ht="11.25" customHeight="1">
      <c r="N639" s="34"/>
    </row>
    <row r="640" spans="14:14" ht="11.25" customHeight="1">
      <c r="N640" s="34"/>
    </row>
    <row r="641" spans="14:14" ht="11.25" customHeight="1">
      <c r="N641" s="34"/>
    </row>
    <row r="642" spans="14:14" ht="11.25" customHeight="1">
      <c r="N642" s="34"/>
    </row>
    <row r="643" spans="14:14" ht="11.25" customHeight="1">
      <c r="N643" s="34"/>
    </row>
    <row r="644" spans="14:14" ht="11.25" customHeight="1">
      <c r="N644" s="34"/>
    </row>
    <row r="645" spans="14:14" ht="11.25" customHeight="1">
      <c r="N645" s="34"/>
    </row>
    <row r="646" spans="14:14" ht="11.25" customHeight="1">
      <c r="N646" s="34"/>
    </row>
    <row r="647" spans="14:14" ht="11.25" customHeight="1">
      <c r="N647" s="34"/>
    </row>
    <row r="648" spans="14:14" ht="11.25" customHeight="1">
      <c r="N648" s="34"/>
    </row>
    <row r="649" spans="14:14" ht="11.25" customHeight="1">
      <c r="N649" s="34"/>
    </row>
    <row r="650" spans="14:14" ht="11.25" customHeight="1">
      <c r="N650" s="34"/>
    </row>
    <row r="651" spans="14:14" ht="11.25" customHeight="1">
      <c r="N651" s="34"/>
    </row>
    <row r="652" spans="14:14" ht="11.25" customHeight="1">
      <c r="N652" s="34"/>
    </row>
    <row r="653" spans="14:14" ht="11.25" customHeight="1">
      <c r="N653" s="34"/>
    </row>
    <row r="654" spans="14:14" ht="11.25" customHeight="1">
      <c r="N654" s="34"/>
    </row>
    <row r="655" spans="14:14" ht="11.25" customHeight="1">
      <c r="N655" s="34"/>
    </row>
    <row r="656" spans="14:14" ht="11.25" customHeight="1">
      <c r="N656" s="34"/>
    </row>
    <row r="657" spans="14:14" ht="11.25" customHeight="1">
      <c r="N657" s="34"/>
    </row>
    <row r="658" spans="14:14" ht="11.25" customHeight="1">
      <c r="N658" s="34"/>
    </row>
    <row r="659" spans="14:14" ht="11.25" customHeight="1">
      <c r="N659" s="34"/>
    </row>
    <row r="660" spans="14:14" ht="11.25" customHeight="1">
      <c r="N660" s="34"/>
    </row>
    <row r="661" spans="14:14" ht="11.25" customHeight="1">
      <c r="N661" s="34"/>
    </row>
    <row r="662" spans="14:14" ht="11.25" customHeight="1">
      <c r="N662" s="34"/>
    </row>
    <row r="663" spans="14:14" ht="11.25" customHeight="1">
      <c r="N663" s="34"/>
    </row>
    <row r="664" spans="14:14" ht="11.25" customHeight="1">
      <c r="N664" s="34"/>
    </row>
    <row r="665" spans="14:14" ht="11.25" customHeight="1">
      <c r="N665" s="34"/>
    </row>
    <row r="666" spans="14:14" ht="11.25" customHeight="1">
      <c r="N666" s="34"/>
    </row>
    <row r="667" spans="14:14" ht="11.25" customHeight="1">
      <c r="N667" s="34"/>
    </row>
    <row r="668" spans="14:14" ht="11.25" customHeight="1">
      <c r="N668" s="34"/>
    </row>
    <row r="669" spans="14:14" ht="11.25" customHeight="1">
      <c r="N669" s="34"/>
    </row>
    <row r="670" spans="14:14" ht="11.25" customHeight="1">
      <c r="N670" s="34"/>
    </row>
    <row r="671" spans="14:14" ht="11.25" customHeight="1">
      <c r="N671" s="34"/>
    </row>
    <row r="672" spans="14:14" ht="11.25" customHeight="1">
      <c r="N672" s="34"/>
    </row>
    <row r="673" spans="14:14" ht="11.25" customHeight="1">
      <c r="N673" s="34"/>
    </row>
    <row r="674" spans="14:14" ht="11.25" customHeight="1">
      <c r="N674" s="34"/>
    </row>
    <row r="675" spans="14:14" ht="11.25" customHeight="1">
      <c r="N675" s="34"/>
    </row>
    <row r="676" spans="14:14" ht="11.25" customHeight="1">
      <c r="N676" s="34"/>
    </row>
    <row r="677" spans="14:14" ht="11.25" customHeight="1">
      <c r="N677" s="34"/>
    </row>
    <row r="678" spans="14:14" ht="11.25" customHeight="1">
      <c r="N678" s="34"/>
    </row>
    <row r="679" spans="14:14" ht="11.25" customHeight="1">
      <c r="N679" s="34"/>
    </row>
    <row r="680" spans="14:14" ht="11.25" customHeight="1">
      <c r="N680" s="34"/>
    </row>
    <row r="681" spans="14:14" ht="11.25" customHeight="1">
      <c r="N681" s="34"/>
    </row>
    <row r="682" spans="14:14" ht="11.25" customHeight="1">
      <c r="N682" s="34"/>
    </row>
    <row r="683" spans="14:14" ht="11.25" customHeight="1">
      <c r="N683" s="34"/>
    </row>
    <row r="684" spans="14:14" ht="11.25" customHeight="1">
      <c r="N684" s="34"/>
    </row>
    <row r="685" spans="14:14" ht="11.25" customHeight="1">
      <c r="N685" s="34"/>
    </row>
    <row r="686" spans="14:14" ht="11.25" customHeight="1">
      <c r="N686" s="34"/>
    </row>
    <row r="687" spans="14:14" ht="11.25" customHeight="1">
      <c r="N687" s="34"/>
    </row>
    <row r="688" spans="14:14" ht="11.25" customHeight="1">
      <c r="N688" s="34"/>
    </row>
    <row r="689" spans="14:14" ht="11.25" customHeight="1">
      <c r="N689" s="34"/>
    </row>
    <row r="690" spans="14:14" ht="11.25" customHeight="1">
      <c r="N690" s="34"/>
    </row>
    <row r="691" spans="14:14" ht="11.25" customHeight="1">
      <c r="N691" s="34"/>
    </row>
    <row r="692" spans="14:14" ht="11.25" customHeight="1">
      <c r="N692" s="34"/>
    </row>
    <row r="693" spans="14:14" ht="11.25" customHeight="1">
      <c r="N693" s="34"/>
    </row>
    <row r="694" spans="14:14" ht="11.25" customHeight="1">
      <c r="N694" s="34"/>
    </row>
    <row r="695" spans="14:14" ht="11.25" customHeight="1">
      <c r="N695" s="34"/>
    </row>
    <row r="696" spans="14:14" ht="11.25" customHeight="1">
      <c r="N696" s="34"/>
    </row>
    <row r="697" spans="14:14" ht="11.25" customHeight="1">
      <c r="N697" s="34"/>
    </row>
    <row r="698" spans="14:14" ht="11.25" customHeight="1">
      <c r="N698" s="34"/>
    </row>
    <row r="699" spans="14:14" ht="11.25" customHeight="1">
      <c r="N699" s="34"/>
    </row>
    <row r="700" spans="14:14" ht="11.25" customHeight="1">
      <c r="N700" s="34"/>
    </row>
    <row r="701" spans="14:14" ht="11.25" customHeight="1">
      <c r="N701" s="34"/>
    </row>
    <row r="702" spans="14:14" ht="11.25" customHeight="1">
      <c r="N702" s="34"/>
    </row>
    <row r="703" spans="14:14" ht="11.25" customHeight="1">
      <c r="N703" s="34"/>
    </row>
    <row r="704" spans="14:14" ht="11.25" customHeight="1">
      <c r="N704" s="34"/>
    </row>
    <row r="705" spans="14:14" ht="11.25" customHeight="1">
      <c r="N705" s="34"/>
    </row>
    <row r="706" spans="14:14" ht="11.25" customHeight="1">
      <c r="N706" s="34"/>
    </row>
    <row r="707" spans="14:14" ht="11.25" customHeight="1">
      <c r="N707" s="34"/>
    </row>
    <row r="708" spans="14:14" ht="11.25" customHeight="1">
      <c r="N708" s="34"/>
    </row>
    <row r="709" spans="14:14" ht="11.25" customHeight="1">
      <c r="N709" s="34"/>
    </row>
    <row r="710" spans="14:14" ht="11.25" customHeight="1">
      <c r="N710" s="34"/>
    </row>
    <row r="711" spans="14:14" ht="11.25" customHeight="1">
      <c r="N711" s="34"/>
    </row>
    <row r="712" spans="14:14" ht="11.25" customHeight="1">
      <c r="N712" s="34"/>
    </row>
    <row r="713" spans="14:14" ht="11.25" customHeight="1">
      <c r="N713" s="34"/>
    </row>
    <row r="714" spans="14:14" ht="11.25" customHeight="1">
      <c r="N714" s="34"/>
    </row>
    <row r="715" spans="14:14" ht="11.25" customHeight="1">
      <c r="N715" s="34"/>
    </row>
    <row r="716" spans="14:14" ht="11.25" customHeight="1">
      <c r="N716" s="34"/>
    </row>
    <row r="717" spans="14:14" ht="11.25" customHeight="1">
      <c r="N717" s="34"/>
    </row>
    <row r="718" spans="14:14" ht="11.25" customHeight="1">
      <c r="N718" s="34"/>
    </row>
    <row r="719" spans="14:14" ht="11.25" customHeight="1">
      <c r="N719" s="34"/>
    </row>
    <row r="720" spans="14:14" ht="11.25" customHeight="1">
      <c r="N720" s="34"/>
    </row>
    <row r="721" spans="14:14" ht="11.25" customHeight="1">
      <c r="N721" s="34"/>
    </row>
    <row r="722" spans="14:14" ht="11.25" customHeight="1">
      <c r="N722" s="34"/>
    </row>
    <row r="723" spans="14:14" ht="11.25" customHeight="1">
      <c r="N723" s="34"/>
    </row>
    <row r="724" spans="14:14" ht="11.25" customHeight="1">
      <c r="N724" s="34"/>
    </row>
    <row r="725" spans="14:14" ht="11.25" customHeight="1">
      <c r="N725" s="34"/>
    </row>
    <row r="726" spans="14:14" ht="11.25" customHeight="1">
      <c r="N726" s="34"/>
    </row>
    <row r="727" spans="14:14" ht="11.25" customHeight="1">
      <c r="N727" s="34"/>
    </row>
    <row r="728" spans="14:14" ht="11.25" customHeight="1">
      <c r="N728" s="34"/>
    </row>
    <row r="729" spans="14:14" ht="11.25" customHeight="1">
      <c r="N729" s="34"/>
    </row>
    <row r="730" spans="14:14" ht="11.25" customHeight="1">
      <c r="N730" s="34"/>
    </row>
    <row r="731" spans="14:14" ht="11.25" customHeight="1">
      <c r="N731" s="34"/>
    </row>
    <row r="732" spans="14:14" ht="11.25" customHeight="1">
      <c r="N732" s="34"/>
    </row>
    <row r="733" spans="14:14" ht="11.25" customHeight="1">
      <c r="N733" s="34"/>
    </row>
    <row r="734" spans="14:14" ht="11.25" customHeight="1">
      <c r="N734" s="34"/>
    </row>
    <row r="735" spans="14:14" ht="11.25" customHeight="1">
      <c r="N735" s="34"/>
    </row>
    <row r="736" spans="14:14" ht="11.25" customHeight="1">
      <c r="N736" s="34"/>
    </row>
    <row r="737" spans="14:14" ht="11.25" customHeight="1">
      <c r="N737" s="34"/>
    </row>
    <row r="738" spans="14:14" ht="11.25" customHeight="1">
      <c r="N738" s="34"/>
    </row>
    <row r="739" spans="14:14" ht="11.25" customHeight="1">
      <c r="N739" s="34"/>
    </row>
    <row r="740" spans="14:14" ht="11.25" customHeight="1">
      <c r="N740" s="34"/>
    </row>
    <row r="741" spans="14:14" ht="11.25" customHeight="1">
      <c r="N741" s="34"/>
    </row>
    <row r="742" spans="14:14" ht="11.25" customHeight="1">
      <c r="N742" s="34"/>
    </row>
    <row r="743" spans="14:14" ht="11.25" customHeight="1">
      <c r="N743" s="34"/>
    </row>
    <row r="744" spans="14:14" ht="11.25" customHeight="1">
      <c r="N744" s="34"/>
    </row>
    <row r="745" spans="14:14" ht="11.25" customHeight="1">
      <c r="N745" s="34"/>
    </row>
    <row r="746" spans="14:14" ht="11.25" customHeight="1">
      <c r="N746" s="34"/>
    </row>
    <row r="747" spans="14:14" ht="11.25" customHeight="1">
      <c r="N747" s="34"/>
    </row>
    <row r="748" spans="14:14" ht="11.25" customHeight="1">
      <c r="N748" s="34"/>
    </row>
    <row r="749" spans="14:14" ht="11.25" customHeight="1">
      <c r="N749" s="34"/>
    </row>
    <row r="750" spans="14:14" ht="11.25" customHeight="1">
      <c r="N750" s="34"/>
    </row>
    <row r="751" spans="14:14" ht="11.25" customHeight="1">
      <c r="N751" s="34"/>
    </row>
    <row r="752" spans="14:14" ht="11.25" customHeight="1">
      <c r="N752" s="34"/>
    </row>
    <row r="753" spans="14:14" ht="11.25" customHeight="1">
      <c r="N753" s="34"/>
    </row>
    <row r="754" spans="14:14" ht="11.25" customHeight="1">
      <c r="N754" s="34"/>
    </row>
    <row r="755" spans="14:14" ht="11.25" customHeight="1">
      <c r="N755" s="34"/>
    </row>
    <row r="756" spans="14:14" ht="11.25" customHeight="1">
      <c r="N756" s="34"/>
    </row>
    <row r="757" spans="14:14" ht="11.25" customHeight="1">
      <c r="N757" s="34"/>
    </row>
    <row r="758" spans="14:14" ht="11.25" customHeight="1">
      <c r="N758" s="34"/>
    </row>
    <row r="759" spans="14:14" ht="11.25" customHeight="1">
      <c r="N759" s="34"/>
    </row>
    <row r="760" spans="14:14" ht="11.25" customHeight="1">
      <c r="N760" s="34"/>
    </row>
    <row r="761" spans="14:14" ht="11.25" customHeight="1">
      <c r="N761" s="34"/>
    </row>
    <row r="762" spans="14:14" ht="11.25" customHeight="1">
      <c r="N762" s="34"/>
    </row>
    <row r="763" spans="14:14" ht="11.25" customHeight="1">
      <c r="N763" s="34"/>
    </row>
    <row r="764" spans="14:14" ht="11.25" customHeight="1">
      <c r="N764" s="34"/>
    </row>
    <row r="765" spans="14:14" ht="11.25" customHeight="1">
      <c r="N765" s="34"/>
    </row>
    <row r="766" spans="14:14" ht="11.25" customHeight="1">
      <c r="N766" s="34"/>
    </row>
    <row r="767" spans="14:14" ht="11.25" customHeight="1">
      <c r="N767" s="34"/>
    </row>
    <row r="768" spans="14:14" ht="11.25" customHeight="1">
      <c r="N768" s="34"/>
    </row>
    <row r="769" spans="14:14" ht="11.25" customHeight="1">
      <c r="N769" s="34"/>
    </row>
    <row r="770" spans="14:14" ht="11.25" customHeight="1">
      <c r="N770" s="34"/>
    </row>
    <row r="771" spans="14:14" ht="11.25" customHeight="1">
      <c r="N771" s="34"/>
    </row>
    <row r="772" spans="14:14" ht="11.25" customHeight="1">
      <c r="N772" s="34"/>
    </row>
    <row r="773" spans="14:14" ht="11.25" customHeight="1">
      <c r="N773" s="34"/>
    </row>
    <row r="774" spans="14:14" ht="11.25" customHeight="1">
      <c r="N774" s="34"/>
    </row>
    <row r="775" spans="14:14" ht="11.25" customHeight="1">
      <c r="N775" s="34"/>
    </row>
    <row r="776" spans="14:14" ht="11.25" customHeight="1">
      <c r="N776" s="34"/>
    </row>
    <row r="777" spans="14:14" ht="11.25" customHeight="1">
      <c r="N777" s="34"/>
    </row>
    <row r="778" spans="14:14" ht="11.25" customHeight="1">
      <c r="N778" s="34"/>
    </row>
    <row r="779" spans="14:14" ht="11.25" customHeight="1">
      <c r="N779" s="34"/>
    </row>
    <row r="780" spans="14:14" ht="11.25" customHeight="1">
      <c r="N780" s="34"/>
    </row>
    <row r="781" spans="14:14" ht="11.25" customHeight="1">
      <c r="N781" s="34"/>
    </row>
    <row r="782" spans="14:14" ht="11.25" customHeight="1">
      <c r="N782" s="34"/>
    </row>
    <row r="783" spans="14:14" ht="11.25" customHeight="1">
      <c r="N783" s="34"/>
    </row>
    <row r="784" spans="14:14" ht="11.25" customHeight="1">
      <c r="N784" s="34"/>
    </row>
    <row r="785" spans="14:14" ht="11.25" customHeight="1">
      <c r="N785" s="34"/>
    </row>
    <row r="786" spans="14:14" ht="11.25" customHeight="1">
      <c r="N786" s="34"/>
    </row>
    <row r="787" spans="14:14" ht="11.25" customHeight="1">
      <c r="N787" s="34"/>
    </row>
    <row r="788" spans="14:14" ht="11.25" customHeight="1">
      <c r="N788" s="34"/>
    </row>
    <row r="789" spans="14:14" ht="11.25" customHeight="1">
      <c r="N789" s="34"/>
    </row>
    <row r="790" spans="14:14" ht="11.25" customHeight="1">
      <c r="N790" s="34"/>
    </row>
    <row r="791" spans="14:14" ht="11.25" customHeight="1">
      <c r="N791" s="34"/>
    </row>
    <row r="792" spans="14:14" ht="11.25" customHeight="1">
      <c r="N792" s="34"/>
    </row>
    <row r="793" spans="14:14" ht="11.25" customHeight="1">
      <c r="N793" s="34"/>
    </row>
    <row r="794" spans="14:14" ht="11.25" customHeight="1">
      <c r="N794" s="34"/>
    </row>
    <row r="795" spans="14:14" ht="11.25" customHeight="1">
      <c r="N795" s="34"/>
    </row>
    <row r="796" spans="14:14" ht="11.25" customHeight="1">
      <c r="N796" s="34"/>
    </row>
    <row r="797" spans="14:14" ht="11.25" customHeight="1">
      <c r="N797" s="34"/>
    </row>
    <row r="798" spans="14:14" ht="11.25" customHeight="1">
      <c r="N798" s="34"/>
    </row>
    <row r="799" spans="14:14" ht="11.25" customHeight="1">
      <c r="N799" s="34"/>
    </row>
    <row r="800" spans="14:14" ht="11.25" customHeight="1">
      <c r="N800" s="34"/>
    </row>
    <row r="801" spans="14:14" ht="11.25" customHeight="1">
      <c r="N801" s="34"/>
    </row>
    <row r="802" spans="14:14" ht="11.25" customHeight="1">
      <c r="N802" s="34"/>
    </row>
    <row r="803" spans="14:14" ht="11.25" customHeight="1">
      <c r="N803" s="34"/>
    </row>
    <row r="804" spans="14:14" ht="11.25" customHeight="1">
      <c r="N804" s="34"/>
    </row>
    <row r="805" spans="14:14" ht="11.25" customHeight="1">
      <c r="N805" s="34"/>
    </row>
    <row r="806" spans="14:14" ht="11.25" customHeight="1">
      <c r="N806" s="34"/>
    </row>
    <row r="807" spans="14:14" ht="11.25" customHeight="1">
      <c r="N807" s="34"/>
    </row>
    <row r="808" spans="14:14" ht="11.25" customHeight="1">
      <c r="N808" s="34"/>
    </row>
    <row r="809" spans="14:14" ht="11.25" customHeight="1">
      <c r="N809" s="34"/>
    </row>
    <row r="810" spans="14:14" ht="11.25" customHeight="1">
      <c r="N810" s="34"/>
    </row>
    <row r="811" spans="14:14" ht="11.25" customHeight="1">
      <c r="N811" s="34"/>
    </row>
    <row r="812" spans="14:14" ht="11.25" customHeight="1">
      <c r="N812" s="34"/>
    </row>
    <row r="813" spans="14:14" ht="11.25" customHeight="1">
      <c r="N813" s="34"/>
    </row>
    <row r="814" spans="14:14" ht="11.25" customHeight="1">
      <c r="N814" s="34"/>
    </row>
    <row r="815" spans="14:14" ht="11.25" customHeight="1">
      <c r="N815" s="34"/>
    </row>
    <row r="816" spans="14:14" ht="11.25" customHeight="1">
      <c r="N816" s="34"/>
    </row>
    <row r="817" spans="14:14" ht="11.25" customHeight="1">
      <c r="N817" s="34"/>
    </row>
    <row r="818" spans="14:14" ht="11.25" customHeight="1">
      <c r="N818" s="34"/>
    </row>
    <row r="819" spans="14:14" ht="11.25" customHeight="1">
      <c r="N819" s="34"/>
    </row>
    <row r="820" spans="14:14" ht="11.25" customHeight="1">
      <c r="N820" s="34"/>
    </row>
    <row r="821" spans="14:14" ht="11.25" customHeight="1">
      <c r="N821" s="34"/>
    </row>
    <row r="822" spans="14:14" ht="11.25" customHeight="1">
      <c r="N822" s="34"/>
    </row>
    <row r="823" spans="14:14" ht="11.25" customHeight="1">
      <c r="N823" s="34"/>
    </row>
    <row r="824" spans="14:14" ht="11.25" customHeight="1">
      <c r="N824" s="34"/>
    </row>
    <row r="825" spans="14:14" ht="11.25" customHeight="1">
      <c r="N825" s="34"/>
    </row>
    <row r="826" spans="14:14" ht="11.25" customHeight="1">
      <c r="N826" s="34"/>
    </row>
    <row r="827" spans="14:14" ht="11.25" customHeight="1">
      <c r="N827" s="34"/>
    </row>
    <row r="828" spans="14:14" ht="11.25" customHeight="1">
      <c r="N828" s="34"/>
    </row>
    <row r="829" spans="14:14" ht="11.25" customHeight="1">
      <c r="N829" s="34"/>
    </row>
    <row r="830" spans="14:14" ht="11.25" customHeight="1">
      <c r="N830" s="34"/>
    </row>
    <row r="831" spans="14:14" ht="11.25" customHeight="1">
      <c r="N831" s="34"/>
    </row>
    <row r="832" spans="14:14" ht="11.25" customHeight="1">
      <c r="N832" s="34"/>
    </row>
    <row r="833" spans="14:14" ht="11.25" customHeight="1">
      <c r="N833" s="34"/>
    </row>
    <row r="834" spans="14:14" ht="11.25" customHeight="1">
      <c r="N834" s="34"/>
    </row>
    <row r="835" spans="14:14" ht="11.25" customHeight="1">
      <c r="N835" s="34"/>
    </row>
    <row r="836" spans="14:14" ht="11.25" customHeight="1">
      <c r="N836" s="34"/>
    </row>
    <row r="837" spans="14:14" ht="11.25" customHeight="1">
      <c r="N837" s="34"/>
    </row>
    <row r="838" spans="14:14" ht="11.25" customHeight="1">
      <c r="N838" s="34"/>
    </row>
    <row r="839" spans="14:14" ht="11.25" customHeight="1">
      <c r="N839" s="34"/>
    </row>
    <row r="840" spans="14:14" ht="11.25" customHeight="1">
      <c r="N840" s="34"/>
    </row>
    <row r="841" spans="14:14" ht="11.25" customHeight="1">
      <c r="N841" s="34"/>
    </row>
    <row r="842" spans="14:14" ht="11.25" customHeight="1">
      <c r="N842" s="34"/>
    </row>
    <row r="843" spans="14:14" ht="11.25" customHeight="1">
      <c r="N843" s="34"/>
    </row>
    <row r="844" spans="14:14" ht="11.25" customHeight="1">
      <c r="N844" s="34"/>
    </row>
    <row r="845" spans="14:14" ht="11.25" customHeight="1">
      <c r="N845" s="34"/>
    </row>
    <row r="846" spans="14:14" ht="11.25" customHeight="1">
      <c r="N846" s="34"/>
    </row>
    <row r="847" spans="14:14" ht="11.25" customHeight="1">
      <c r="N847" s="34"/>
    </row>
    <row r="848" spans="14:14" ht="11.25" customHeight="1">
      <c r="N848" s="34"/>
    </row>
    <row r="849" spans="14:14" ht="11.25" customHeight="1">
      <c r="N849" s="34"/>
    </row>
    <row r="850" spans="14:14" ht="11.25" customHeight="1">
      <c r="N850" s="34"/>
    </row>
    <row r="851" spans="14:14" ht="11.25" customHeight="1">
      <c r="N851" s="34"/>
    </row>
    <row r="852" spans="14:14" ht="11.25" customHeight="1">
      <c r="N852" s="34"/>
    </row>
    <row r="853" spans="14:14" ht="11.25" customHeight="1">
      <c r="N853" s="34"/>
    </row>
    <row r="854" spans="14:14" ht="11.25" customHeight="1">
      <c r="N854" s="34"/>
    </row>
    <row r="855" spans="14:14" ht="11.25" customHeight="1">
      <c r="N855" s="34"/>
    </row>
    <row r="856" spans="14:14" ht="11.25" customHeight="1">
      <c r="N856" s="34"/>
    </row>
    <row r="857" spans="14:14" ht="11.25" customHeight="1">
      <c r="N857" s="34"/>
    </row>
    <row r="858" spans="14:14" ht="11.25" customHeight="1">
      <c r="N858" s="34"/>
    </row>
    <row r="859" spans="14:14" ht="11.25" customHeight="1">
      <c r="N859" s="34"/>
    </row>
    <row r="860" spans="14:14" ht="11.25" customHeight="1">
      <c r="N860" s="34"/>
    </row>
    <row r="861" spans="14:14" ht="11.25" customHeight="1">
      <c r="N861" s="34"/>
    </row>
    <row r="862" spans="14:14" ht="11.25" customHeight="1">
      <c r="N862" s="34"/>
    </row>
    <row r="863" spans="14:14" ht="11.25" customHeight="1">
      <c r="N863" s="34"/>
    </row>
    <row r="864" spans="14:14" ht="11.25" customHeight="1">
      <c r="N864" s="34"/>
    </row>
    <row r="865" spans="14:14" ht="11.25" customHeight="1">
      <c r="N865" s="34"/>
    </row>
    <row r="866" spans="14:14" ht="11.25" customHeight="1">
      <c r="N866" s="34"/>
    </row>
    <row r="867" spans="14:14" ht="11.25" customHeight="1">
      <c r="N867" s="34"/>
    </row>
    <row r="868" spans="14:14" ht="11.25" customHeight="1">
      <c r="N868" s="34"/>
    </row>
    <row r="869" spans="14:14" ht="11.25" customHeight="1">
      <c r="N869" s="34"/>
    </row>
    <row r="870" spans="14:14" ht="11.25" customHeight="1">
      <c r="N870" s="34"/>
    </row>
    <row r="871" spans="14:14" ht="11.25" customHeight="1">
      <c r="N871" s="34"/>
    </row>
    <row r="872" spans="14:14" ht="11.25" customHeight="1">
      <c r="N872" s="34"/>
    </row>
    <row r="873" spans="14:14" ht="11.25" customHeight="1">
      <c r="N873" s="34"/>
    </row>
    <row r="874" spans="14:14" ht="11.25" customHeight="1">
      <c r="N874" s="34"/>
    </row>
    <row r="875" spans="14:14" ht="11.25" customHeight="1">
      <c r="N875" s="34"/>
    </row>
    <row r="876" spans="14:14" ht="11.25" customHeight="1">
      <c r="N876" s="34"/>
    </row>
    <row r="877" spans="14:14" ht="11.25" customHeight="1">
      <c r="N877" s="34"/>
    </row>
    <row r="878" spans="14:14" ht="11.25" customHeight="1">
      <c r="N878" s="34"/>
    </row>
    <row r="879" spans="14:14" ht="11.25" customHeight="1">
      <c r="N879" s="34"/>
    </row>
    <row r="880" spans="14:14" ht="11.25" customHeight="1">
      <c r="N880" s="34"/>
    </row>
    <row r="881" spans="14:14" ht="11.25" customHeight="1">
      <c r="N881" s="34"/>
    </row>
    <row r="882" spans="14:14" ht="11.25" customHeight="1">
      <c r="N882" s="34"/>
    </row>
    <row r="883" spans="14:14" ht="11.25" customHeight="1">
      <c r="N883" s="34"/>
    </row>
    <row r="884" spans="14:14" ht="11.25" customHeight="1">
      <c r="N884" s="34"/>
    </row>
    <row r="885" spans="14:14" ht="11.25" customHeight="1">
      <c r="N885" s="34"/>
    </row>
    <row r="886" spans="14:14" ht="11.25" customHeight="1">
      <c r="N886" s="34"/>
    </row>
    <row r="887" spans="14:14" ht="11.25" customHeight="1">
      <c r="N887" s="34"/>
    </row>
    <row r="888" spans="14:14" ht="11.25" customHeight="1">
      <c r="N888" s="34"/>
    </row>
    <row r="889" spans="14:14" ht="11.25" customHeight="1">
      <c r="N889" s="34"/>
    </row>
    <row r="890" spans="14:14" ht="11.25" customHeight="1">
      <c r="N890" s="34"/>
    </row>
    <row r="891" spans="14:14" ht="11.25" customHeight="1">
      <c r="N891" s="34"/>
    </row>
    <row r="892" spans="14:14" ht="11.25" customHeight="1">
      <c r="N892" s="34"/>
    </row>
    <row r="893" spans="14:14" ht="11.25" customHeight="1">
      <c r="N893" s="34"/>
    </row>
    <row r="894" spans="14:14" ht="11.25" customHeight="1">
      <c r="N894" s="34"/>
    </row>
    <row r="895" spans="14:14" ht="11.25" customHeight="1">
      <c r="N895" s="34"/>
    </row>
    <row r="896" spans="14:14" ht="11.25" customHeight="1">
      <c r="N896" s="34"/>
    </row>
    <row r="897" spans="14:14" ht="11.25" customHeight="1">
      <c r="N897" s="34"/>
    </row>
    <row r="898" spans="14:14" ht="11.25" customHeight="1">
      <c r="N898" s="34"/>
    </row>
    <row r="899" spans="14:14" ht="11.25" customHeight="1">
      <c r="N899" s="34"/>
    </row>
    <row r="900" spans="14:14" ht="11.25" customHeight="1">
      <c r="N900" s="34"/>
    </row>
    <row r="901" spans="14:14" ht="11.25" customHeight="1">
      <c r="N901" s="34"/>
    </row>
    <row r="902" spans="14:14" ht="11.25" customHeight="1">
      <c r="N902" s="34"/>
    </row>
    <row r="903" spans="14:14" ht="11.25" customHeight="1">
      <c r="N903" s="34"/>
    </row>
    <row r="904" spans="14:14" ht="11.25" customHeight="1">
      <c r="N904" s="34"/>
    </row>
    <row r="905" spans="14:14" ht="11.25" customHeight="1">
      <c r="N905" s="34"/>
    </row>
    <row r="906" spans="14:14" ht="11.25" customHeight="1">
      <c r="N906" s="34"/>
    </row>
    <row r="907" spans="14:14" ht="11.25" customHeight="1">
      <c r="N907" s="34"/>
    </row>
    <row r="908" spans="14:14" ht="11.25" customHeight="1">
      <c r="N908" s="34"/>
    </row>
    <row r="909" spans="14:14" ht="11.25" customHeight="1">
      <c r="N909" s="34"/>
    </row>
    <row r="910" spans="14:14" ht="11.25" customHeight="1">
      <c r="N910" s="34"/>
    </row>
    <row r="911" spans="14:14" ht="11.25" customHeight="1">
      <c r="N911" s="34"/>
    </row>
    <row r="912" spans="14:14" ht="11.25" customHeight="1">
      <c r="N912" s="34"/>
    </row>
    <row r="913" spans="14:14" ht="11.25" customHeight="1">
      <c r="N913" s="34"/>
    </row>
    <row r="914" spans="14:14" ht="11.25" customHeight="1">
      <c r="N914" s="34"/>
    </row>
    <row r="915" spans="14:14" ht="11.25" customHeight="1">
      <c r="N915" s="34"/>
    </row>
    <row r="916" spans="14:14" ht="11.25" customHeight="1">
      <c r="N916" s="34"/>
    </row>
    <row r="917" spans="14:14" ht="11.25" customHeight="1">
      <c r="N917" s="34"/>
    </row>
    <row r="918" spans="14:14" ht="11.25" customHeight="1">
      <c r="N918" s="34"/>
    </row>
    <row r="919" spans="14:14" ht="11.25" customHeight="1">
      <c r="N919" s="34"/>
    </row>
    <row r="920" spans="14:14" ht="11.25" customHeight="1">
      <c r="N920" s="34"/>
    </row>
    <row r="921" spans="14:14" ht="11.25" customHeight="1">
      <c r="N921" s="34"/>
    </row>
    <row r="922" spans="14:14" ht="11.25" customHeight="1">
      <c r="N922" s="34"/>
    </row>
    <row r="923" spans="14:14" ht="11.25" customHeight="1">
      <c r="N923" s="34"/>
    </row>
    <row r="924" spans="14:14" ht="11.25" customHeight="1">
      <c r="N924" s="34"/>
    </row>
    <row r="925" spans="14:14" ht="11.25" customHeight="1">
      <c r="N925" s="34"/>
    </row>
    <row r="926" spans="14:14" ht="11.25" customHeight="1">
      <c r="N926" s="34"/>
    </row>
    <row r="927" spans="14:14" ht="11.25" customHeight="1">
      <c r="N927" s="34"/>
    </row>
    <row r="928" spans="14:14" ht="11.25" customHeight="1">
      <c r="N928" s="34"/>
    </row>
    <row r="929" spans="14:14" ht="11.25" customHeight="1">
      <c r="N929" s="34"/>
    </row>
    <row r="930" spans="14:14" ht="11.25" customHeight="1">
      <c r="N930" s="34"/>
    </row>
    <row r="931" spans="14:14" ht="11.25" customHeight="1">
      <c r="N931" s="34"/>
    </row>
    <row r="932" spans="14:14" ht="11.25" customHeight="1">
      <c r="N932" s="34"/>
    </row>
    <row r="933" spans="14:14" ht="11.25" customHeight="1">
      <c r="N933" s="34"/>
    </row>
    <row r="934" spans="14:14" ht="11.25" customHeight="1">
      <c r="N934" s="34"/>
    </row>
    <row r="935" spans="14:14" ht="11.25" customHeight="1">
      <c r="N935" s="34"/>
    </row>
    <row r="936" spans="14:14" ht="11.25" customHeight="1">
      <c r="N936" s="34"/>
    </row>
    <row r="937" spans="14:14" ht="11.25" customHeight="1">
      <c r="N937" s="34"/>
    </row>
    <row r="938" spans="14:14" ht="11.25" customHeight="1">
      <c r="N938" s="34"/>
    </row>
    <row r="939" spans="14:14" ht="11.25" customHeight="1">
      <c r="N939" s="34"/>
    </row>
    <row r="940" spans="14:14" ht="11.25" customHeight="1">
      <c r="N940" s="34"/>
    </row>
    <row r="941" spans="14:14" ht="11.25" customHeight="1">
      <c r="N941" s="34"/>
    </row>
    <row r="942" spans="14:14" ht="11.25" customHeight="1">
      <c r="N942" s="34"/>
    </row>
    <row r="943" spans="14:14" ht="11.25" customHeight="1">
      <c r="N943" s="34"/>
    </row>
    <row r="944" spans="14:14" ht="11.25" customHeight="1">
      <c r="N944" s="34"/>
    </row>
    <row r="945" spans="14:14" ht="11.25" customHeight="1">
      <c r="N945" s="34"/>
    </row>
    <row r="946" spans="14:14" ht="11.25" customHeight="1">
      <c r="N946" s="34"/>
    </row>
    <row r="947" spans="14:14" ht="11.25" customHeight="1">
      <c r="N947" s="34"/>
    </row>
    <row r="948" spans="14:14" ht="11.25" customHeight="1">
      <c r="N948" s="34"/>
    </row>
    <row r="949" spans="14:14" ht="11.25" customHeight="1">
      <c r="N949" s="34"/>
    </row>
    <row r="950" spans="14:14" ht="11.25" customHeight="1">
      <c r="N950" s="34"/>
    </row>
    <row r="951" spans="14:14" ht="11.25" customHeight="1">
      <c r="N951" s="34"/>
    </row>
    <row r="952" spans="14:14" ht="11.25" customHeight="1">
      <c r="N952" s="34"/>
    </row>
    <row r="953" spans="14:14" ht="11.25" customHeight="1">
      <c r="N953" s="34"/>
    </row>
    <row r="954" spans="14:14" ht="11.25" customHeight="1">
      <c r="N954" s="34"/>
    </row>
    <row r="955" spans="14:14" ht="11.25" customHeight="1">
      <c r="N955" s="34"/>
    </row>
    <row r="956" spans="14:14" ht="11.25" customHeight="1">
      <c r="N956" s="34"/>
    </row>
    <row r="957" spans="14:14" ht="11.25" customHeight="1">
      <c r="N957" s="34"/>
    </row>
    <row r="958" spans="14:14" ht="11.25" customHeight="1">
      <c r="N958" s="34"/>
    </row>
    <row r="959" spans="14:14" ht="11.25" customHeight="1">
      <c r="N959" s="34"/>
    </row>
    <row r="960" spans="14:14" ht="11.25" customHeight="1">
      <c r="N960" s="34"/>
    </row>
    <row r="961" spans="14:14" ht="11.25" customHeight="1">
      <c r="N961" s="34"/>
    </row>
    <row r="962" spans="14:14" ht="11.25" customHeight="1">
      <c r="N962" s="34"/>
    </row>
    <row r="963" spans="14:14" ht="11.25" customHeight="1">
      <c r="N963" s="34"/>
    </row>
    <row r="964" spans="14:14" ht="11.25" customHeight="1">
      <c r="N964" s="34"/>
    </row>
    <row r="965" spans="14:14" ht="11.25" customHeight="1">
      <c r="N965" s="34"/>
    </row>
    <row r="966" spans="14:14" ht="11.25" customHeight="1">
      <c r="N966" s="34"/>
    </row>
    <row r="967" spans="14:14" ht="11.25" customHeight="1">
      <c r="N967" s="34"/>
    </row>
    <row r="968" spans="14:14" ht="11.25" customHeight="1">
      <c r="N968" s="34"/>
    </row>
    <row r="969" spans="14:14" ht="11.25" customHeight="1">
      <c r="N969" s="34"/>
    </row>
    <row r="970" spans="14:14" ht="11.25" customHeight="1">
      <c r="N970" s="34"/>
    </row>
    <row r="971" spans="14:14" ht="11.25" customHeight="1">
      <c r="N971" s="34"/>
    </row>
    <row r="972" spans="14:14" ht="11.25" customHeight="1">
      <c r="N972" s="34"/>
    </row>
    <row r="973" spans="14:14" ht="11.25" customHeight="1">
      <c r="N973" s="34"/>
    </row>
    <row r="974" spans="14:14" ht="11.25" customHeight="1">
      <c r="N974" s="34"/>
    </row>
    <row r="975" spans="14:14" ht="11.25" customHeight="1">
      <c r="N975" s="34"/>
    </row>
    <row r="976" spans="14:14" ht="11.25" customHeight="1">
      <c r="N976" s="34"/>
    </row>
    <row r="977" spans="14:14" ht="11.25" customHeight="1">
      <c r="N977" s="34"/>
    </row>
    <row r="978" spans="14:14" ht="11.25" customHeight="1">
      <c r="N978" s="34"/>
    </row>
    <row r="979" spans="14:14" ht="11.25" customHeight="1">
      <c r="N979" s="34"/>
    </row>
    <row r="980" spans="14:14" ht="11.25" customHeight="1">
      <c r="N980" s="34"/>
    </row>
    <row r="981" spans="14:14" ht="11.25" customHeight="1">
      <c r="N981" s="34"/>
    </row>
    <row r="982" spans="14:14" ht="11.25" customHeight="1">
      <c r="N982" s="34"/>
    </row>
    <row r="983" spans="14:14" ht="11.25" customHeight="1">
      <c r="N983" s="34"/>
    </row>
    <row r="984" spans="14:14" ht="11.25" customHeight="1">
      <c r="N984" s="34"/>
    </row>
    <row r="985" spans="14:14" ht="11.25" customHeight="1">
      <c r="N985" s="34"/>
    </row>
    <row r="986" spans="14:14" ht="11.25" customHeight="1">
      <c r="N986" s="34"/>
    </row>
    <row r="987" spans="14:14" ht="11.25" customHeight="1">
      <c r="N987" s="34"/>
    </row>
    <row r="988" spans="14:14" ht="11.25" customHeight="1">
      <c r="N988" s="34"/>
    </row>
    <row r="989" spans="14:14" ht="11.25" customHeight="1">
      <c r="N989" s="34"/>
    </row>
    <row r="990" spans="14:14" ht="11.25" customHeight="1">
      <c r="N990" s="34"/>
    </row>
    <row r="991" spans="14:14" ht="11.25" customHeight="1">
      <c r="N991" s="34"/>
    </row>
    <row r="992" spans="14:14" ht="11.25" customHeight="1">
      <c r="N992" s="34"/>
    </row>
    <row r="993" spans="14:14" ht="11.25" customHeight="1">
      <c r="N993" s="34"/>
    </row>
    <row r="994" spans="14:14" ht="11.25" customHeight="1">
      <c r="N994" s="34"/>
    </row>
    <row r="995" spans="14:14" ht="11.25" customHeight="1">
      <c r="N995" s="34"/>
    </row>
    <row r="996" spans="14:14" ht="11.25" customHeight="1">
      <c r="N996" s="34"/>
    </row>
    <row r="997" spans="14:14" ht="11.25" customHeight="1">
      <c r="N997" s="34"/>
    </row>
    <row r="998" spans="14:14" ht="11.25" customHeight="1">
      <c r="N998" s="34"/>
    </row>
    <row r="999" spans="14:14" ht="11.25" customHeight="1">
      <c r="N999" s="34"/>
    </row>
    <row r="1000" spans="14:14" ht="11.25" customHeight="1">
      <c r="N1000" s="34"/>
    </row>
  </sheetData>
  <mergeCells count="4">
    <mergeCell ref="I4:I6"/>
    <mergeCell ref="I24:I26"/>
    <mergeCell ref="I36:I38"/>
    <mergeCell ref="A58:G58"/>
  </mergeCells>
  <conditionalFormatting sqref="H4">
    <cfRule type="cellIs" dxfId="11" priority="1" operator="equal">
      <formula>0</formula>
    </cfRule>
  </conditionalFormatting>
  <conditionalFormatting sqref="H4">
    <cfRule type="cellIs" dxfId="10" priority="2" operator="notEqual">
      <formula>0</formula>
    </cfRule>
  </conditionalFormatting>
  <conditionalFormatting sqref="H24">
    <cfRule type="cellIs" dxfId="9" priority="3" operator="equal">
      <formula>0</formula>
    </cfRule>
  </conditionalFormatting>
  <conditionalFormatting sqref="H24">
    <cfRule type="cellIs" dxfId="8" priority="4" operator="notEqual">
      <formula>0</formula>
    </cfRule>
  </conditionalFormatting>
  <conditionalFormatting sqref="H36">
    <cfRule type="cellIs" dxfId="7" priority="5" operator="equal">
      <formula>0</formula>
    </cfRule>
  </conditionalFormatting>
  <conditionalFormatting sqref="H36">
    <cfRule type="cellIs" dxfId="6" priority="6" operator="notEqual">
      <formula>0</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I1000"/>
  <sheetViews>
    <sheetView topLeftCell="A121" workbookViewId="0"/>
  </sheetViews>
  <sheetFormatPr defaultColWidth="16.83203125" defaultRowHeight="15" customHeight="1"/>
  <cols>
    <col min="1" max="1" width="52.83203125" customWidth="1"/>
    <col min="2" max="2" width="16.6640625" customWidth="1"/>
    <col min="3" max="3" width="19" customWidth="1"/>
    <col min="4" max="4" width="19.5" customWidth="1"/>
    <col min="5" max="5" width="20.6640625" customWidth="1"/>
    <col min="6" max="7" width="19" customWidth="1"/>
    <col min="8" max="9" width="16" customWidth="1"/>
    <col min="10" max="26" width="8.83203125" customWidth="1"/>
  </cols>
  <sheetData>
    <row r="1" spans="1:9" ht="11.25" customHeight="1">
      <c r="A1" s="1" t="str">
        <f>'DOE25'!A1</f>
        <v>NAME:</v>
      </c>
      <c r="B1" s="2"/>
      <c r="C1" s="3"/>
      <c r="D1" s="3"/>
      <c r="E1" s="12"/>
      <c r="F1" s="3"/>
      <c r="G1" s="3"/>
      <c r="H1" s="3"/>
      <c r="I1" s="3"/>
    </row>
    <row r="2" spans="1:9" ht="11.25" customHeight="1">
      <c r="A2" s="211" t="str">
        <f>'DOE25'!A2</f>
        <v>Mason</v>
      </c>
      <c r="B2" s="7"/>
      <c r="C2" s="4" t="s">
        <v>5</v>
      </c>
      <c r="D2" s="4" t="s">
        <v>6</v>
      </c>
      <c r="E2" s="4" t="s">
        <v>7</v>
      </c>
      <c r="F2" s="4" t="s">
        <v>8</v>
      </c>
      <c r="G2" s="4" t="s">
        <v>9</v>
      </c>
      <c r="H2" s="12"/>
      <c r="I2" s="12"/>
    </row>
    <row r="3" spans="1:9" ht="11.25" customHeight="1">
      <c r="A3" s="9" t="s">
        <v>12</v>
      </c>
      <c r="B3" s="8" t="s">
        <v>786</v>
      </c>
      <c r="C3" s="10" t="s">
        <v>18</v>
      </c>
      <c r="D3" s="10" t="s">
        <v>19</v>
      </c>
      <c r="E3" s="10" t="s">
        <v>20</v>
      </c>
      <c r="F3" s="10" t="s">
        <v>21</v>
      </c>
      <c r="G3" s="10" t="s">
        <v>22</v>
      </c>
      <c r="H3" s="5"/>
      <c r="I3" s="5"/>
    </row>
    <row r="4" spans="1:9" ht="11.25" customHeight="1">
      <c r="A4" s="1" t="s">
        <v>17</v>
      </c>
      <c r="B4" s="5"/>
      <c r="C4" s="5"/>
      <c r="D4" s="5"/>
      <c r="E4" s="5"/>
      <c r="F4" s="5"/>
      <c r="G4" s="5"/>
      <c r="H4" s="3"/>
      <c r="I4" s="3"/>
    </row>
    <row r="5" spans="1:9" ht="11.25" customHeight="1">
      <c r="A5" s="5"/>
      <c r="B5" s="11"/>
      <c r="C5" s="115" t="s">
        <v>23</v>
      </c>
      <c r="D5" s="62" t="s">
        <v>24</v>
      </c>
      <c r="E5" s="115" t="s">
        <v>25</v>
      </c>
      <c r="F5" s="115" t="s">
        <v>26</v>
      </c>
      <c r="G5" s="115" t="s">
        <v>27</v>
      </c>
      <c r="H5" s="115" t="s">
        <v>527</v>
      </c>
      <c r="I5" s="3"/>
    </row>
    <row r="6" spans="1:9" ht="11.25" customHeight="1">
      <c r="A6" s="1" t="s">
        <v>28</v>
      </c>
      <c r="B6" s="11"/>
      <c r="C6" s="35" t="s">
        <v>61</v>
      </c>
      <c r="D6" s="3"/>
      <c r="E6" s="3"/>
      <c r="F6" s="3"/>
      <c r="G6" s="3"/>
      <c r="H6" s="3"/>
      <c r="I6" s="3"/>
    </row>
    <row r="7" spans="1:9" ht="11.25" customHeight="1">
      <c r="A7" s="14" t="s">
        <v>787</v>
      </c>
      <c r="B7" s="11"/>
      <c r="C7" s="15" t="s">
        <v>31</v>
      </c>
      <c r="D7" s="15" t="s">
        <v>31</v>
      </c>
      <c r="E7" s="15" t="s">
        <v>31</v>
      </c>
      <c r="F7" s="15" t="s">
        <v>31</v>
      </c>
      <c r="G7" s="15" t="s">
        <v>31</v>
      </c>
      <c r="H7" s="15" t="s">
        <v>31</v>
      </c>
      <c r="I7" s="3"/>
    </row>
    <row r="8" spans="1:9" ht="11.25" customHeight="1">
      <c r="A8" s="1" t="s">
        <v>788</v>
      </c>
      <c r="B8" s="8">
        <v>100</v>
      </c>
      <c r="C8" s="16">
        <f>'DOE25'!F9</f>
        <v>297225.24</v>
      </c>
      <c r="D8" s="16">
        <f>'DOE25'!G9</f>
        <v>0</v>
      </c>
      <c r="E8" s="16">
        <f>'DOE25'!H9</f>
        <v>0</v>
      </c>
      <c r="F8" s="16">
        <f>'DOE25'!I9</f>
        <v>0</v>
      </c>
      <c r="G8" s="16">
        <f>'DOE25'!J9</f>
        <v>200532.50999999998</v>
      </c>
      <c r="H8" s="3">
        <f t="shared" ref="H8:H18" si="0">SUM(C8:G8)</f>
        <v>497757.75</v>
      </c>
      <c r="I8" s="3"/>
    </row>
    <row r="9" spans="1:9" ht="11.25" customHeight="1">
      <c r="A9" s="1" t="s">
        <v>789</v>
      </c>
      <c r="B9" s="8">
        <v>110</v>
      </c>
      <c r="C9" s="16">
        <f>'DOE25'!F10</f>
        <v>0</v>
      </c>
      <c r="D9" s="16">
        <f>'DOE25'!G10</f>
        <v>0</v>
      </c>
      <c r="E9" s="16">
        <f>'DOE25'!H10</f>
        <v>0</v>
      </c>
      <c r="F9" s="16">
        <f>'DOE25'!I10</f>
        <v>0</v>
      </c>
      <c r="G9" s="16">
        <f>'DOE25'!J10</f>
        <v>0</v>
      </c>
      <c r="H9" s="3">
        <f t="shared" si="0"/>
        <v>0</v>
      </c>
      <c r="I9" s="3"/>
    </row>
    <row r="10" spans="1:9" ht="11.25" customHeight="1">
      <c r="A10" s="1" t="s">
        <v>790</v>
      </c>
      <c r="B10" s="8">
        <v>120</v>
      </c>
      <c r="C10" s="16">
        <f>'DOE25'!F11</f>
        <v>0</v>
      </c>
      <c r="D10" s="15" t="s">
        <v>31</v>
      </c>
      <c r="E10" s="15" t="s">
        <v>31</v>
      </c>
      <c r="F10" s="15" t="s">
        <v>31</v>
      </c>
      <c r="G10" s="15" t="s">
        <v>31</v>
      </c>
      <c r="H10" s="3">
        <f t="shared" si="0"/>
        <v>0</v>
      </c>
      <c r="I10" s="3"/>
    </row>
    <row r="11" spans="1:9" ht="11.25" customHeight="1">
      <c r="A11" s="1" t="s">
        <v>791</v>
      </c>
      <c r="B11" s="8">
        <v>130</v>
      </c>
      <c r="C11" s="16">
        <f>'DOE25'!F12</f>
        <v>31212.859999999997</v>
      </c>
      <c r="D11" s="16">
        <f>'DOE25'!G12</f>
        <v>11311.42</v>
      </c>
      <c r="E11" s="16">
        <f>'DOE25'!H12</f>
        <v>3086.55</v>
      </c>
      <c r="F11" s="16">
        <f>'DOE25'!I12</f>
        <v>4485.38</v>
      </c>
      <c r="G11" s="16">
        <f>'DOE25'!J12</f>
        <v>50000</v>
      </c>
      <c r="H11" s="3">
        <f t="shared" si="0"/>
        <v>100096.20999999999</v>
      </c>
      <c r="I11" s="3"/>
    </row>
    <row r="12" spans="1:9" ht="11.25" customHeight="1">
      <c r="A12" s="1" t="s">
        <v>792</v>
      </c>
      <c r="B12" s="8">
        <v>140</v>
      </c>
      <c r="C12" s="16">
        <f>'DOE25'!F13</f>
        <v>96442</v>
      </c>
      <c r="D12" s="16">
        <f>'DOE25'!G13</f>
        <v>17921.150000000001</v>
      </c>
      <c r="E12" s="16">
        <v>0</v>
      </c>
      <c r="F12" s="16">
        <f>'DOE25'!I13</f>
        <v>0</v>
      </c>
      <c r="G12" s="16">
        <f>'DOE25'!J13</f>
        <v>0</v>
      </c>
      <c r="H12" s="3">
        <f t="shared" si="0"/>
        <v>114363.15</v>
      </c>
      <c r="I12" s="3"/>
    </row>
    <row r="13" spans="1:9" ht="11.25" customHeight="1">
      <c r="A13" s="1" t="s">
        <v>793</v>
      </c>
      <c r="B13" s="8">
        <v>150</v>
      </c>
      <c r="C13" s="16">
        <f>'DOE25'!F14</f>
        <v>259.95</v>
      </c>
      <c r="D13" s="16">
        <f>'DOE25'!G14</f>
        <v>0</v>
      </c>
      <c r="E13" s="16">
        <f>'DOE25'!H14</f>
        <v>0</v>
      </c>
      <c r="F13" s="16">
        <f>'DOE25'!I14</f>
        <v>0</v>
      </c>
      <c r="G13" s="16">
        <f>'DOE25'!J14</f>
        <v>0</v>
      </c>
      <c r="H13" s="3">
        <f t="shared" si="0"/>
        <v>259.95</v>
      </c>
      <c r="I13" s="3"/>
    </row>
    <row r="14" spans="1:9" ht="11.25" customHeight="1">
      <c r="A14" s="1" t="s">
        <v>794</v>
      </c>
      <c r="B14" s="8">
        <v>160</v>
      </c>
      <c r="C14" s="15" t="s">
        <v>31</v>
      </c>
      <c r="D14" s="15" t="s">
        <v>31</v>
      </c>
      <c r="E14" s="15" t="s">
        <v>31</v>
      </c>
      <c r="F14" s="16">
        <f>'DOE25'!I15</f>
        <v>0</v>
      </c>
      <c r="G14" s="15" t="s">
        <v>31</v>
      </c>
      <c r="H14" s="3">
        <f t="shared" si="0"/>
        <v>0</v>
      </c>
      <c r="I14" s="3"/>
    </row>
    <row r="15" spans="1:9" ht="11.25" customHeight="1">
      <c r="A15" s="1" t="s">
        <v>795</v>
      </c>
      <c r="B15" s="8">
        <v>170</v>
      </c>
      <c r="C15" s="16">
        <f>'DOE25'!F16</f>
        <v>0</v>
      </c>
      <c r="D15" s="16">
        <f>'DOE25'!G16</f>
        <v>0</v>
      </c>
      <c r="E15" s="16">
        <f>'DOE25'!H16</f>
        <v>0</v>
      </c>
      <c r="F15" s="16">
        <f>'DOE25'!I16</f>
        <v>0</v>
      </c>
      <c r="G15" s="15" t="s">
        <v>31</v>
      </c>
      <c r="H15" s="3">
        <f t="shared" si="0"/>
        <v>0</v>
      </c>
      <c r="I15" s="3"/>
    </row>
    <row r="16" spans="1:9" ht="11.25" customHeight="1">
      <c r="A16" s="1" t="s">
        <v>796</v>
      </c>
      <c r="B16" s="8">
        <v>180</v>
      </c>
      <c r="C16" s="16">
        <f>'DOE25'!F17</f>
        <v>0</v>
      </c>
      <c r="D16" s="16">
        <f>'DOE25'!G17</f>
        <v>0</v>
      </c>
      <c r="E16" s="16">
        <f>'DOE25'!H17</f>
        <v>0</v>
      </c>
      <c r="F16" s="16">
        <f>'DOE25'!I17</f>
        <v>0</v>
      </c>
      <c r="G16" s="16">
        <f>'DOE25'!J17</f>
        <v>0</v>
      </c>
      <c r="H16" s="3">
        <f t="shared" si="0"/>
        <v>0</v>
      </c>
      <c r="I16" s="3"/>
    </row>
    <row r="17" spans="1:9" ht="11.25" customHeight="1">
      <c r="A17" s="1" t="s">
        <v>797</v>
      </c>
      <c r="B17" s="8">
        <v>190</v>
      </c>
      <c r="C17" s="16">
        <f>'DOE25'!F18</f>
        <v>0</v>
      </c>
      <c r="D17" s="16">
        <f>'DOE25'!G18</f>
        <v>0</v>
      </c>
      <c r="E17" s="16">
        <f>'DOE25'!H18</f>
        <v>0</v>
      </c>
      <c r="F17" s="16">
        <f>'DOE25'!I18</f>
        <v>0</v>
      </c>
      <c r="G17" s="16">
        <f>'DOE25'!J18</f>
        <v>0</v>
      </c>
      <c r="H17" s="3">
        <f t="shared" si="0"/>
        <v>0</v>
      </c>
      <c r="I17" s="3"/>
    </row>
    <row r="18" spans="1:9" ht="11.25" customHeight="1">
      <c r="A18" s="19" t="s">
        <v>798</v>
      </c>
      <c r="B18" s="20"/>
      <c r="C18" s="22">
        <f t="shared" ref="C18:G18" si="1">SUM(C8:C17)</f>
        <v>425140.05</v>
      </c>
      <c r="D18" s="22">
        <f t="shared" si="1"/>
        <v>29232.57</v>
      </c>
      <c r="E18" s="22">
        <f t="shared" si="1"/>
        <v>3086.55</v>
      </c>
      <c r="F18" s="22">
        <f t="shared" si="1"/>
        <v>4485.38</v>
      </c>
      <c r="G18" s="22">
        <f t="shared" si="1"/>
        <v>250532.50999999998</v>
      </c>
      <c r="H18" s="22">
        <f t="shared" si="0"/>
        <v>712477.05999999994</v>
      </c>
      <c r="I18" s="3"/>
    </row>
    <row r="19" spans="1:9" ht="11.25" customHeight="1">
      <c r="A19" s="1" t="s">
        <v>799</v>
      </c>
      <c r="B19" s="5"/>
      <c r="C19" s="3"/>
      <c r="D19" s="3"/>
      <c r="E19" s="3"/>
      <c r="F19" s="3"/>
      <c r="G19" s="3"/>
      <c r="H19" s="3"/>
      <c r="I19" s="3"/>
    </row>
    <row r="20" spans="1:9" ht="11.25" customHeight="1">
      <c r="A20" s="14" t="s">
        <v>800</v>
      </c>
      <c r="B20" s="11"/>
      <c r="C20" s="15" t="s">
        <v>31</v>
      </c>
      <c r="D20" s="15" t="s">
        <v>31</v>
      </c>
      <c r="E20" s="15" t="s">
        <v>31</v>
      </c>
      <c r="F20" s="15" t="s">
        <v>31</v>
      </c>
      <c r="G20" s="15" t="s">
        <v>31</v>
      </c>
      <c r="H20" s="15" t="s">
        <v>31</v>
      </c>
      <c r="I20" s="3"/>
    </row>
    <row r="21" spans="1:9" ht="11.25" customHeight="1">
      <c r="A21" s="1" t="s">
        <v>801</v>
      </c>
      <c r="B21" s="8">
        <v>400</v>
      </c>
      <c r="C21" s="16">
        <f>'DOE25'!F22</f>
        <v>11311.42</v>
      </c>
      <c r="D21" s="16">
        <f>'DOE25'!G22</f>
        <v>27361.87</v>
      </c>
      <c r="E21" s="16">
        <f>'DOE25'!H22</f>
        <v>3086.55</v>
      </c>
      <c r="F21" s="16">
        <f>'DOE25'!I22</f>
        <v>0</v>
      </c>
      <c r="G21" s="16">
        <f>'DOE25'!J22</f>
        <v>0</v>
      </c>
      <c r="H21" s="3">
        <f t="shared" ref="H21:H31" si="2">SUM(C21:G21)</f>
        <v>41759.840000000004</v>
      </c>
      <c r="I21" s="3"/>
    </row>
    <row r="22" spans="1:9" ht="11.25" customHeight="1">
      <c r="A22" s="1" t="s">
        <v>802</v>
      </c>
      <c r="B22" s="8">
        <v>410</v>
      </c>
      <c r="C22" s="16">
        <f>'DOE25'!F23</f>
        <v>0</v>
      </c>
      <c r="D22" s="16">
        <f>'DOE25'!G23</f>
        <v>0</v>
      </c>
      <c r="E22" s="16">
        <f>'DOE25'!H23</f>
        <v>0</v>
      </c>
      <c r="F22" s="16">
        <f>'DOE25'!I23</f>
        <v>0</v>
      </c>
      <c r="G22" s="16">
        <f>'DOE25'!J23</f>
        <v>0</v>
      </c>
      <c r="H22" s="3">
        <f t="shared" si="2"/>
        <v>0</v>
      </c>
      <c r="I22" s="3"/>
    </row>
    <row r="23" spans="1:9" ht="11.25" customHeight="1">
      <c r="A23" s="1" t="s">
        <v>803</v>
      </c>
      <c r="B23" s="8">
        <v>420</v>
      </c>
      <c r="C23" s="16">
        <f>'DOE25'!F24</f>
        <v>65133.29</v>
      </c>
      <c r="D23" s="16">
        <f>'DOE25'!G24</f>
        <v>0</v>
      </c>
      <c r="E23" s="16">
        <f>'DOE25'!H24</f>
        <v>0</v>
      </c>
      <c r="F23" s="16">
        <f>'DOE25'!I24</f>
        <v>0</v>
      </c>
      <c r="G23" s="16">
        <f>'DOE25'!J24</f>
        <v>0</v>
      </c>
      <c r="H23" s="3">
        <f t="shared" si="2"/>
        <v>65133.29</v>
      </c>
      <c r="I23" s="3"/>
    </row>
    <row r="24" spans="1:9" ht="11.25" customHeight="1">
      <c r="A24" s="1" t="s">
        <v>804</v>
      </c>
      <c r="B24" s="8">
        <v>430</v>
      </c>
      <c r="C24" s="16">
        <f>'DOE25'!F25</f>
        <v>0</v>
      </c>
      <c r="D24" s="16">
        <f>'DOE25'!G25</f>
        <v>0</v>
      </c>
      <c r="E24" s="16">
        <f>'DOE25'!H25</f>
        <v>0</v>
      </c>
      <c r="F24" s="16">
        <f>'DOE25'!I25</f>
        <v>0</v>
      </c>
      <c r="G24" s="15" t="s">
        <v>31</v>
      </c>
      <c r="H24" s="3">
        <f t="shared" si="2"/>
        <v>0</v>
      </c>
      <c r="I24" s="3"/>
    </row>
    <row r="25" spans="1:9" ht="11.25" customHeight="1">
      <c r="A25" s="1" t="s">
        <v>805</v>
      </c>
      <c r="B25" s="8">
        <v>440</v>
      </c>
      <c r="C25" s="16">
        <f>'DOE25'!F26</f>
        <v>0</v>
      </c>
      <c r="D25" s="15" t="s">
        <v>31</v>
      </c>
      <c r="E25" s="15" t="s">
        <v>31</v>
      </c>
      <c r="F25" s="16">
        <f>'DOE25'!I26</f>
        <v>0</v>
      </c>
      <c r="G25" s="15" t="s">
        <v>31</v>
      </c>
      <c r="H25" s="3">
        <f t="shared" si="2"/>
        <v>0</v>
      </c>
      <c r="I25" s="3"/>
    </row>
    <row r="26" spans="1:9" ht="11.25" customHeight="1">
      <c r="A26" s="1" t="s">
        <v>806</v>
      </c>
      <c r="B26" s="8">
        <v>450</v>
      </c>
      <c r="C26" s="16">
        <f>'DOE25'!F27</f>
        <v>0</v>
      </c>
      <c r="D26" s="15" t="s">
        <v>31</v>
      </c>
      <c r="E26" s="15" t="s">
        <v>31</v>
      </c>
      <c r="F26" s="16">
        <f>'DOE25'!I27</f>
        <v>0</v>
      </c>
      <c r="G26" s="15" t="s">
        <v>31</v>
      </c>
      <c r="H26" s="3">
        <f t="shared" si="2"/>
        <v>0</v>
      </c>
      <c r="I26" s="3"/>
    </row>
    <row r="27" spans="1:9" ht="11.25" customHeight="1">
      <c r="A27" s="1" t="s">
        <v>807</v>
      </c>
      <c r="B27" s="8">
        <v>460</v>
      </c>
      <c r="C27" s="16">
        <f>'DOE25'!F28</f>
        <v>0</v>
      </c>
      <c r="D27" s="16">
        <f>'DOE25'!G28</f>
        <v>0</v>
      </c>
      <c r="E27" s="16">
        <f>'DOE25'!H28</f>
        <v>0</v>
      </c>
      <c r="F27" s="16">
        <f>'DOE25'!I28</f>
        <v>0</v>
      </c>
      <c r="G27" s="15" t="s">
        <v>31</v>
      </c>
      <c r="H27" s="3">
        <f t="shared" si="2"/>
        <v>0</v>
      </c>
      <c r="I27" s="3"/>
    </row>
    <row r="28" spans="1:9" ht="11.25" customHeight="1">
      <c r="A28" s="1" t="s">
        <v>808</v>
      </c>
      <c r="B28" s="8">
        <v>470</v>
      </c>
      <c r="C28" s="16">
        <f>'DOE25'!F29</f>
        <v>2666.8</v>
      </c>
      <c r="D28" s="16">
        <f>'DOE25'!G29</f>
        <v>0</v>
      </c>
      <c r="E28" s="16">
        <f>'DOE25'!H29</f>
        <v>0</v>
      </c>
      <c r="F28" s="16">
        <f>'DOE25'!I29</f>
        <v>0</v>
      </c>
      <c r="G28" s="15" t="s">
        <v>31</v>
      </c>
      <c r="H28" s="3">
        <f t="shared" si="2"/>
        <v>2666.8</v>
      </c>
      <c r="I28" s="3"/>
    </row>
    <row r="29" spans="1:9" ht="11.25" customHeight="1">
      <c r="A29" s="1" t="s">
        <v>809</v>
      </c>
      <c r="B29" s="8">
        <v>480</v>
      </c>
      <c r="C29" s="16">
        <f>'DOE25'!F30</f>
        <v>0</v>
      </c>
      <c r="D29" s="16">
        <f>'DOE25'!G30</f>
        <v>1193.7</v>
      </c>
      <c r="E29" s="16">
        <f>'DOE25'!H30</f>
        <v>0</v>
      </c>
      <c r="F29" s="16">
        <f>'DOE25'!I30</f>
        <v>0</v>
      </c>
      <c r="G29" s="15" t="s">
        <v>31</v>
      </c>
      <c r="H29" s="3">
        <f t="shared" si="2"/>
        <v>1193.7</v>
      </c>
      <c r="I29" s="3"/>
    </row>
    <row r="30" spans="1:9" ht="11.25" customHeight="1">
      <c r="A30" s="1" t="s">
        <v>810</v>
      </c>
      <c r="B30" s="25">
        <v>490</v>
      </c>
      <c r="C30" s="16">
        <f>'DOE25'!F31</f>
        <v>0</v>
      </c>
      <c r="D30" s="16">
        <f>'DOE25'!G31</f>
        <v>0</v>
      </c>
      <c r="E30" s="16">
        <f>'DOE25'!H31</f>
        <v>0</v>
      </c>
      <c r="F30" s="16">
        <f>'DOE25'!I31</f>
        <v>0</v>
      </c>
      <c r="G30" s="16">
        <f>'DOE25'!J31</f>
        <v>0</v>
      </c>
      <c r="H30" s="3">
        <f t="shared" si="2"/>
        <v>0</v>
      </c>
      <c r="I30" s="3"/>
    </row>
    <row r="31" spans="1:9" ht="11.25" customHeight="1">
      <c r="A31" s="19" t="s">
        <v>811</v>
      </c>
      <c r="B31" s="2"/>
      <c r="C31" s="22">
        <f t="shared" ref="C31:G31" si="3">SUM(C21:C30)</f>
        <v>79111.510000000009</v>
      </c>
      <c r="D31" s="22">
        <f t="shared" si="3"/>
        <v>28555.57</v>
      </c>
      <c r="E31" s="22">
        <f t="shared" si="3"/>
        <v>3086.55</v>
      </c>
      <c r="F31" s="22">
        <f t="shared" si="3"/>
        <v>0</v>
      </c>
      <c r="G31" s="22">
        <f t="shared" si="3"/>
        <v>0</v>
      </c>
      <c r="H31" s="22">
        <f t="shared" si="2"/>
        <v>110753.63000000002</v>
      </c>
      <c r="I31" s="3"/>
    </row>
    <row r="32" spans="1:9" ht="11.25" customHeight="1">
      <c r="A32" s="14" t="s">
        <v>59</v>
      </c>
      <c r="B32" s="2" t="s">
        <v>61</v>
      </c>
      <c r="C32" s="15" t="s">
        <v>31</v>
      </c>
      <c r="D32" s="15" t="s">
        <v>31</v>
      </c>
      <c r="E32" s="15" t="s">
        <v>31</v>
      </c>
      <c r="F32" s="15" t="s">
        <v>31</v>
      </c>
      <c r="G32" s="15" t="s">
        <v>31</v>
      </c>
      <c r="H32" s="15" t="s">
        <v>31</v>
      </c>
      <c r="I32" s="3"/>
    </row>
    <row r="33" spans="1:9" ht="11.25" customHeight="1">
      <c r="A33" s="14" t="s">
        <v>62</v>
      </c>
      <c r="B33" s="2"/>
      <c r="C33" s="15" t="s">
        <v>31</v>
      </c>
      <c r="D33" s="15" t="s">
        <v>31</v>
      </c>
      <c r="E33" s="15" t="s">
        <v>31</v>
      </c>
      <c r="F33" s="15" t="s">
        <v>31</v>
      </c>
      <c r="G33" s="15" t="s">
        <v>31</v>
      </c>
      <c r="H33" s="15" t="s">
        <v>31</v>
      </c>
      <c r="I33" s="3"/>
    </row>
    <row r="34" spans="1:9" ht="11.25" customHeight="1">
      <c r="A34" s="1" t="s">
        <v>812</v>
      </c>
      <c r="B34" s="8">
        <v>751</v>
      </c>
      <c r="C34" s="16">
        <f>'DOE25'!F35</f>
        <v>0</v>
      </c>
      <c r="D34" s="16">
        <f>'DOE25'!G35</f>
        <v>0</v>
      </c>
      <c r="E34" s="16">
        <f>'DOE25'!H35</f>
        <v>0</v>
      </c>
      <c r="F34" s="16">
        <f>'DOE25'!I35</f>
        <v>0</v>
      </c>
      <c r="G34" s="15" t="s">
        <v>31</v>
      </c>
      <c r="H34" s="3">
        <f t="shared" ref="H34:H36" si="4">SUM(C34:G34)</f>
        <v>0</v>
      </c>
      <c r="I34" s="3"/>
    </row>
    <row r="35" spans="1:9" ht="11.25" customHeight="1">
      <c r="A35" s="1" t="s">
        <v>813</v>
      </c>
      <c r="B35" s="8">
        <v>752</v>
      </c>
      <c r="C35" s="16">
        <f>'DOE25'!F36</f>
        <v>0</v>
      </c>
      <c r="D35" s="16">
        <f>'DOE25'!G36</f>
        <v>0</v>
      </c>
      <c r="E35" s="16">
        <f>'DOE25'!H36</f>
        <v>0</v>
      </c>
      <c r="F35" s="16">
        <f>'DOE25'!I36</f>
        <v>0</v>
      </c>
      <c r="G35" s="15" t="s">
        <v>31</v>
      </c>
      <c r="H35" s="3">
        <f t="shared" si="4"/>
        <v>0</v>
      </c>
      <c r="I35" s="3"/>
    </row>
    <row r="36" spans="1:9" ht="11.25" customHeight="1">
      <c r="A36" s="1" t="s">
        <v>814</v>
      </c>
      <c r="B36" s="8">
        <v>756</v>
      </c>
      <c r="C36" s="16">
        <f>'DOE25'!F37</f>
        <v>0</v>
      </c>
      <c r="D36" s="16">
        <f>'DOE25'!G37</f>
        <v>0</v>
      </c>
      <c r="E36" s="16">
        <f>'DOE25'!H37</f>
        <v>0</v>
      </c>
      <c r="F36" s="16">
        <f>'DOE25'!I37</f>
        <v>0</v>
      </c>
      <c r="G36" s="16">
        <f>'DOE25'!J37</f>
        <v>0</v>
      </c>
      <c r="H36" s="3">
        <f t="shared" si="4"/>
        <v>0</v>
      </c>
      <c r="I36" s="3"/>
    </row>
    <row r="37" spans="1:9" ht="11.25" customHeight="1">
      <c r="A37" s="14" t="s">
        <v>67</v>
      </c>
      <c r="B37" s="8"/>
      <c r="C37" s="15" t="s">
        <v>31</v>
      </c>
      <c r="D37" s="15" t="s">
        <v>31</v>
      </c>
      <c r="E37" s="15" t="s">
        <v>31</v>
      </c>
      <c r="F37" s="15" t="s">
        <v>31</v>
      </c>
      <c r="G37" s="15" t="s">
        <v>31</v>
      </c>
      <c r="H37" s="15" t="s">
        <v>31</v>
      </c>
      <c r="I37" s="3"/>
    </row>
    <row r="38" spans="1:9" ht="11.25" customHeight="1">
      <c r="A38" s="1" t="s">
        <v>815</v>
      </c>
      <c r="B38" s="8">
        <v>756</v>
      </c>
      <c r="C38" s="16">
        <f>'DOE25'!F39</f>
        <v>0</v>
      </c>
      <c r="D38" s="16">
        <f>'DOE25'!G39</f>
        <v>0</v>
      </c>
      <c r="E38" s="16">
        <f>'DOE25'!H39</f>
        <v>0</v>
      </c>
      <c r="F38" s="16">
        <f>'DOE25'!I39</f>
        <v>0</v>
      </c>
      <c r="G38" s="16">
        <f>'DOE25'!J39</f>
        <v>0</v>
      </c>
      <c r="H38" s="3">
        <f t="shared" ref="H38:H40" si="5">SUM(C38:G38)</f>
        <v>0</v>
      </c>
      <c r="I38" s="3"/>
    </row>
    <row r="39" spans="1:9" ht="11.25" customHeight="1">
      <c r="A39" s="1" t="s">
        <v>816</v>
      </c>
      <c r="B39" s="8"/>
      <c r="C39" s="15" t="s">
        <v>31</v>
      </c>
      <c r="D39" s="16">
        <f>'DOE25'!G40</f>
        <v>0</v>
      </c>
      <c r="E39" s="15" t="s">
        <v>31</v>
      </c>
      <c r="F39" s="15" t="s">
        <v>31</v>
      </c>
      <c r="G39" s="15" t="s">
        <v>31</v>
      </c>
      <c r="H39" s="3">
        <f t="shared" si="5"/>
        <v>0</v>
      </c>
      <c r="I39" s="3"/>
    </row>
    <row r="40" spans="1:9" ht="11.25" customHeight="1">
      <c r="A40" s="1" t="s">
        <v>817</v>
      </c>
      <c r="B40" s="8"/>
      <c r="C40" s="15" t="s">
        <v>31</v>
      </c>
      <c r="D40" s="15" t="s">
        <v>31</v>
      </c>
      <c r="E40" s="15" t="s">
        <v>31</v>
      </c>
      <c r="F40" s="16">
        <f>'DOE25'!I41</f>
        <v>0</v>
      </c>
      <c r="G40" s="15" t="s">
        <v>31</v>
      </c>
      <c r="H40" s="3">
        <f t="shared" si="5"/>
        <v>0</v>
      </c>
      <c r="I40" s="3"/>
    </row>
    <row r="41" spans="1:9" ht="11.25" customHeight="1">
      <c r="A41" s="14" t="s">
        <v>71</v>
      </c>
      <c r="B41" s="8"/>
      <c r="C41" s="15" t="s">
        <v>31</v>
      </c>
      <c r="D41" s="15" t="s">
        <v>31</v>
      </c>
      <c r="E41" s="15" t="s">
        <v>31</v>
      </c>
      <c r="F41" s="15" t="s">
        <v>31</v>
      </c>
      <c r="G41" s="15" t="s">
        <v>31</v>
      </c>
      <c r="H41" s="15" t="s">
        <v>31</v>
      </c>
      <c r="I41" s="3"/>
    </row>
    <row r="42" spans="1:9" ht="11.25" customHeight="1">
      <c r="A42" s="1" t="s">
        <v>818</v>
      </c>
      <c r="B42" s="8">
        <v>754</v>
      </c>
      <c r="C42" s="16">
        <f>'DOE25'!F43</f>
        <v>0</v>
      </c>
      <c r="D42" s="16">
        <f>'DOE25'!G43</f>
        <v>0</v>
      </c>
      <c r="E42" s="16">
        <f>'DOE25'!H43</f>
        <v>0</v>
      </c>
      <c r="F42" s="16">
        <f>'DOE25'!I43</f>
        <v>0</v>
      </c>
      <c r="G42" s="16">
        <f>'DOE25'!J43</f>
        <v>0</v>
      </c>
      <c r="H42" s="3">
        <f t="shared" ref="H42:H45" si="6">SUM(C42:G42)</f>
        <v>0</v>
      </c>
      <c r="I42" s="3"/>
    </row>
    <row r="43" spans="1:9" ht="11.25" customHeight="1">
      <c r="A43" s="1" t="s">
        <v>819</v>
      </c>
      <c r="B43" s="8">
        <v>755</v>
      </c>
      <c r="C43" s="16">
        <f>'DOE25'!F44</f>
        <v>85000</v>
      </c>
      <c r="D43" s="16">
        <f>'DOE25'!G44</f>
        <v>0</v>
      </c>
      <c r="E43" s="16">
        <f>'DOE25'!H44</f>
        <v>0</v>
      </c>
      <c r="F43" s="16">
        <f>'DOE25'!I44</f>
        <v>0</v>
      </c>
      <c r="G43" s="15" t="s">
        <v>31</v>
      </c>
      <c r="H43" s="3">
        <f t="shared" si="6"/>
        <v>85000</v>
      </c>
      <c r="I43" s="3"/>
    </row>
    <row r="44" spans="1:9" ht="11.25" customHeight="1">
      <c r="A44" s="1" t="s">
        <v>820</v>
      </c>
      <c r="B44" s="8">
        <v>753</v>
      </c>
      <c r="C44" s="16">
        <f>'DOE25'!F45</f>
        <v>0</v>
      </c>
      <c r="D44" s="16">
        <f>'DOE25'!G45</f>
        <v>0</v>
      </c>
      <c r="E44" s="16">
        <f>'DOE25'!H45</f>
        <v>0</v>
      </c>
      <c r="F44" s="16">
        <f>'DOE25'!I45</f>
        <v>0</v>
      </c>
      <c r="G44" s="16">
        <f>'DOE25'!J45</f>
        <v>0</v>
      </c>
      <c r="H44" s="3">
        <f t="shared" si="6"/>
        <v>0</v>
      </c>
      <c r="I44" s="3"/>
    </row>
    <row r="45" spans="1:9" ht="11.25" customHeight="1">
      <c r="A45" s="1" t="s">
        <v>821</v>
      </c>
      <c r="B45" s="8"/>
      <c r="C45" s="16">
        <f>'DOE25'!F46</f>
        <v>105032</v>
      </c>
      <c r="D45" s="15" t="s">
        <v>31</v>
      </c>
      <c r="E45" s="15" t="s">
        <v>31</v>
      </c>
      <c r="F45" s="15" t="s">
        <v>31</v>
      </c>
      <c r="G45" s="15" t="s">
        <v>31</v>
      </c>
      <c r="H45" s="3">
        <f t="shared" si="6"/>
        <v>105032</v>
      </c>
      <c r="I45" s="3"/>
    </row>
    <row r="46" spans="1:9" ht="11.25" customHeight="1">
      <c r="A46" s="14" t="s">
        <v>76</v>
      </c>
      <c r="B46" s="8"/>
      <c r="C46" s="15" t="s">
        <v>31</v>
      </c>
      <c r="D46" s="15" t="s">
        <v>31</v>
      </c>
      <c r="E46" s="15" t="s">
        <v>31</v>
      </c>
      <c r="F46" s="15" t="s">
        <v>31</v>
      </c>
      <c r="G46" s="15" t="s">
        <v>31</v>
      </c>
      <c r="H46" s="15" t="s">
        <v>31</v>
      </c>
      <c r="I46" s="3"/>
    </row>
    <row r="47" spans="1:9" ht="11.25" customHeight="1">
      <c r="A47" s="1" t="s">
        <v>822</v>
      </c>
      <c r="B47" s="8">
        <v>760</v>
      </c>
      <c r="C47" s="16"/>
      <c r="D47" s="16">
        <f>'DOE25'!G48</f>
        <v>677</v>
      </c>
      <c r="E47" s="16">
        <f>'DOE25'!H48</f>
        <v>0</v>
      </c>
      <c r="F47" s="16">
        <f>'DOE25'!I48</f>
        <v>4485.38</v>
      </c>
      <c r="G47" s="16">
        <f>'DOE25'!J48</f>
        <v>250532.51</v>
      </c>
      <c r="H47" s="3">
        <f t="shared" ref="H47:H51" si="7">SUM(C47:G47)</f>
        <v>255694.89</v>
      </c>
      <c r="I47" s="3"/>
    </row>
    <row r="48" spans="1:9" ht="11.25" customHeight="1">
      <c r="A48" s="1" t="s">
        <v>823</v>
      </c>
      <c r="B48" s="8">
        <v>753</v>
      </c>
      <c r="C48" s="16">
        <v>19065</v>
      </c>
      <c r="D48" s="16">
        <f>'DOE25'!G49</f>
        <v>0</v>
      </c>
      <c r="E48" s="16">
        <f>'DOE25'!H49</f>
        <v>0</v>
      </c>
      <c r="F48" s="16">
        <f>'DOE25'!I49</f>
        <v>0</v>
      </c>
      <c r="G48" s="16">
        <f>'DOE25'!J49</f>
        <v>0</v>
      </c>
      <c r="H48" s="3">
        <f t="shared" si="7"/>
        <v>19065</v>
      </c>
      <c r="I48" s="3"/>
    </row>
    <row r="49" spans="1:9" ht="11.25" customHeight="1">
      <c r="A49" s="14" t="s">
        <v>824</v>
      </c>
      <c r="B49" s="25">
        <v>770</v>
      </c>
      <c r="C49" s="16">
        <f>'DOE25'!F49</f>
        <v>0</v>
      </c>
      <c r="D49" s="15" t="s">
        <v>31</v>
      </c>
      <c r="E49" s="15" t="s">
        <v>31</v>
      </c>
      <c r="F49" s="15" t="s">
        <v>31</v>
      </c>
      <c r="G49" s="15" t="s">
        <v>31</v>
      </c>
      <c r="H49" s="3">
        <f t="shared" si="7"/>
        <v>0</v>
      </c>
      <c r="I49" s="3"/>
    </row>
    <row r="50" spans="1:9" ht="11.25" customHeight="1">
      <c r="A50" s="19" t="s">
        <v>825</v>
      </c>
      <c r="B50" s="52"/>
      <c r="C50" s="22">
        <f t="shared" ref="C50:G50" si="8">SUM(C34:C49)</f>
        <v>209097</v>
      </c>
      <c r="D50" s="22">
        <f t="shared" si="8"/>
        <v>677</v>
      </c>
      <c r="E50" s="22">
        <f t="shared" si="8"/>
        <v>0</v>
      </c>
      <c r="F50" s="22">
        <f t="shared" si="8"/>
        <v>4485.38</v>
      </c>
      <c r="G50" s="22">
        <f t="shared" si="8"/>
        <v>250532.51</v>
      </c>
      <c r="H50" s="22">
        <f t="shared" si="7"/>
        <v>464791.89</v>
      </c>
      <c r="I50" s="3"/>
    </row>
    <row r="51" spans="1:9" ht="11.25" customHeight="1">
      <c r="A51" s="19" t="s">
        <v>826</v>
      </c>
      <c r="B51" s="2"/>
      <c r="C51" s="22">
        <f t="shared" ref="C51:G51" si="9">C50+C31</f>
        <v>288208.51</v>
      </c>
      <c r="D51" s="22">
        <f t="shared" si="9"/>
        <v>29232.57</v>
      </c>
      <c r="E51" s="22">
        <f t="shared" si="9"/>
        <v>3086.55</v>
      </c>
      <c r="F51" s="22">
        <f t="shared" si="9"/>
        <v>4485.38</v>
      </c>
      <c r="G51" s="22">
        <f t="shared" si="9"/>
        <v>250532.51</v>
      </c>
      <c r="H51" s="22">
        <f t="shared" si="7"/>
        <v>575545.52</v>
      </c>
      <c r="I51" s="3"/>
    </row>
    <row r="52" spans="1:9" ht="11.25" customHeight="1">
      <c r="H52" s="3"/>
      <c r="I52" s="3"/>
    </row>
    <row r="53" spans="1:9" ht="11.25" customHeight="1">
      <c r="B53" s="5"/>
      <c r="C53" s="12" t="s">
        <v>23</v>
      </c>
      <c r="D53" s="12" t="s">
        <v>24</v>
      </c>
      <c r="E53" s="12" t="s">
        <v>25</v>
      </c>
      <c r="F53" s="12" t="s">
        <v>26</v>
      </c>
      <c r="G53" s="12" t="s">
        <v>827</v>
      </c>
      <c r="H53" s="7"/>
      <c r="I53" s="7"/>
    </row>
    <row r="54" spans="1:9" ht="11.25" customHeight="1">
      <c r="A54" s="1" t="s">
        <v>128</v>
      </c>
      <c r="B54" s="5"/>
      <c r="C54" s="15" t="s">
        <v>31</v>
      </c>
      <c r="D54" s="15" t="s">
        <v>31</v>
      </c>
      <c r="E54" s="15" t="s">
        <v>31</v>
      </c>
      <c r="F54" s="15" t="s">
        <v>31</v>
      </c>
      <c r="G54" s="15" t="s">
        <v>31</v>
      </c>
      <c r="H54" s="15" t="s">
        <v>31</v>
      </c>
      <c r="I54" s="28"/>
    </row>
    <row r="55" spans="1:9" ht="11.25" customHeight="1">
      <c r="A55" s="44" t="s">
        <v>828</v>
      </c>
      <c r="B55" s="5"/>
      <c r="C55" s="15" t="s">
        <v>31</v>
      </c>
      <c r="D55" s="15" t="s">
        <v>31</v>
      </c>
      <c r="E55" s="15" t="s">
        <v>31</v>
      </c>
      <c r="F55" s="15" t="s">
        <v>31</v>
      </c>
      <c r="G55" s="15" t="s">
        <v>31</v>
      </c>
      <c r="H55" s="15" t="s">
        <v>31</v>
      </c>
    </row>
    <row r="56" spans="1:9" ht="11.25" customHeight="1">
      <c r="A56" s="1" t="s">
        <v>829</v>
      </c>
      <c r="B56" s="8" t="s">
        <v>830</v>
      </c>
      <c r="C56" s="16">
        <f>'DOE25'!F60</f>
        <v>2100643</v>
      </c>
      <c r="D56" s="16">
        <f>'DOE25'!G60</f>
        <v>0</v>
      </c>
      <c r="E56" s="16">
        <f>'DOE25'!H60</f>
        <v>0</v>
      </c>
      <c r="F56" s="16">
        <f>'DOE25'!I60</f>
        <v>0</v>
      </c>
      <c r="G56" s="16">
        <f>'DOE25'!J60</f>
        <v>0</v>
      </c>
      <c r="H56" s="3">
        <f t="shared" ref="H56:H63" si="10">SUM(C56:G56)</f>
        <v>2100643</v>
      </c>
    </row>
    <row r="57" spans="1:9" ht="11.25" customHeight="1">
      <c r="A57" s="1" t="s">
        <v>831</v>
      </c>
      <c r="B57" s="8" t="s">
        <v>832</v>
      </c>
      <c r="C57" s="16">
        <f>'DOE25'!F79</f>
        <v>6585</v>
      </c>
      <c r="D57" s="15" t="s">
        <v>31</v>
      </c>
      <c r="E57" s="16">
        <f>'DOE25'!H79</f>
        <v>0</v>
      </c>
      <c r="F57" s="15" t="s">
        <v>31</v>
      </c>
      <c r="G57" s="15" t="s">
        <v>31</v>
      </c>
      <c r="H57" s="3">
        <f t="shared" si="10"/>
        <v>6585</v>
      </c>
    </row>
    <row r="58" spans="1:9" ht="11.25" customHeight="1">
      <c r="A58" s="1" t="s">
        <v>833</v>
      </c>
      <c r="B58" s="8" t="s">
        <v>834</v>
      </c>
      <c r="C58" s="16">
        <f>'DOE25'!F94</f>
        <v>0</v>
      </c>
      <c r="D58" s="15" t="s">
        <v>31</v>
      </c>
      <c r="E58" s="16">
        <f>'DOE25'!H94</f>
        <v>0</v>
      </c>
      <c r="F58" s="15" t="s">
        <v>31</v>
      </c>
      <c r="G58" s="15" t="s">
        <v>31</v>
      </c>
      <c r="H58" s="3">
        <f t="shared" si="10"/>
        <v>0</v>
      </c>
    </row>
    <row r="59" spans="1:9" ht="11.25" customHeight="1">
      <c r="A59" s="1" t="s">
        <v>835</v>
      </c>
      <c r="B59" s="8" t="s">
        <v>836</v>
      </c>
      <c r="C59" s="16">
        <f>'DOE25'!F96</f>
        <v>6.72</v>
      </c>
      <c r="D59" s="16">
        <f>'DOE25'!G96</f>
        <v>0</v>
      </c>
      <c r="E59" s="16">
        <f>'DOE25'!H96</f>
        <v>0</v>
      </c>
      <c r="F59" s="16">
        <f>'DOE25'!I96</f>
        <v>0</v>
      </c>
      <c r="G59" s="16">
        <f>'DOE25'!J96</f>
        <v>268.27</v>
      </c>
      <c r="H59" s="3">
        <f t="shared" si="10"/>
        <v>274.99</v>
      </c>
    </row>
    <row r="60" spans="1:9" ht="11.25" customHeight="1">
      <c r="A60" s="1" t="s">
        <v>837</v>
      </c>
      <c r="B60" s="10" t="s">
        <v>838</v>
      </c>
      <c r="C60" s="15" t="s">
        <v>31</v>
      </c>
      <c r="D60" s="16">
        <f>'DOE25'!G97</f>
        <v>3231.5</v>
      </c>
      <c r="E60" s="15" t="s">
        <v>31</v>
      </c>
      <c r="F60" s="15" t="s">
        <v>31</v>
      </c>
      <c r="G60" s="15" t="s">
        <v>31</v>
      </c>
      <c r="H60" s="3">
        <f t="shared" si="10"/>
        <v>3231.5</v>
      </c>
    </row>
    <row r="61" spans="1:9" ht="11.25" customHeight="1">
      <c r="A61" s="1" t="s">
        <v>839</v>
      </c>
      <c r="B61" s="10" t="s">
        <v>840</v>
      </c>
      <c r="C61" s="16">
        <f>SUM('DOE25'!F98:F110)</f>
        <v>22.67</v>
      </c>
      <c r="D61" s="16">
        <f>SUM('DOE25'!G98:G110)</f>
        <v>0</v>
      </c>
      <c r="E61" s="16">
        <f>SUM('DOE25'!H98:H110)</f>
        <v>0</v>
      </c>
      <c r="F61" s="16">
        <f>SUM('DOE25'!I98:I110)</f>
        <v>0</v>
      </c>
      <c r="G61" s="16">
        <f>SUM('DOE25'!J98:J110)</f>
        <v>0</v>
      </c>
      <c r="H61" s="3">
        <f t="shared" si="10"/>
        <v>22.67</v>
      </c>
    </row>
    <row r="62" spans="1:9" ht="11.25" customHeight="1">
      <c r="A62" s="14" t="s">
        <v>841</v>
      </c>
      <c r="B62" s="8"/>
      <c r="C62" s="98">
        <f t="shared" ref="C62:G62" si="11">SUM(C57:C61)</f>
        <v>6614.39</v>
      </c>
      <c r="D62" s="98">
        <f t="shared" si="11"/>
        <v>3231.5</v>
      </c>
      <c r="E62" s="98">
        <f t="shared" si="11"/>
        <v>0</v>
      </c>
      <c r="F62" s="98">
        <f t="shared" si="11"/>
        <v>0</v>
      </c>
      <c r="G62" s="98">
        <f t="shared" si="11"/>
        <v>268.27</v>
      </c>
      <c r="H62" s="3">
        <f t="shared" si="10"/>
        <v>10114.16</v>
      </c>
    </row>
    <row r="63" spans="1:9" ht="11.25" customHeight="1">
      <c r="A63" s="14" t="s">
        <v>842</v>
      </c>
      <c r="B63" s="8"/>
      <c r="C63" s="61">
        <f t="shared" ref="C63:G63" si="12">C56+C62</f>
        <v>2107257.39</v>
      </c>
      <c r="D63" s="61">
        <f t="shared" si="12"/>
        <v>3231.5</v>
      </c>
      <c r="E63" s="61">
        <f t="shared" si="12"/>
        <v>0</v>
      </c>
      <c r="F63" s="61">
        <f t="shared" si="12"/>
        <v>0</v>
      </c>
      <c r="G63" s="61">
        <f t="shared" si="12"/>
        <v>268.27</v>
      </c>
      <c r="H63" s="3">
        <f t="shared" si="10"/>
        <v>2110757.16</v>
      </c>
    </row>
    <row r="64" spans="1:9" ht="11.25" customHeight="1">
      <c r="A64" s="14" t="s">
        <v>129</v>
      </c>
      <c r="B64" s="8"/>
      <c r="C64" s="15" t="s">
        <v>31</v>
      </c>
      <c r="D64" s="15" t="s">
        <v>31</v>
      </c>
      <c r="E64" s="15" t="s">
        <v>31</v>
      </c>
      <c r="F64" s="15" t="s">
        <v>31</v>
      </c>
      <c r="G64" s="15" t="s">
        <v>31</v>
      </c>
      <c r="H64" s="15" t="s">
        <v>31</v>
      </c>
    </row>
    <row r="65" spans="1:8" ht="11.25" customHeight="1">
      <c r="A65" s="14" t="s">
        <v>843</v>
      </c>
      <c r="B65" s="8"/>
      <c r="C65" s="15" t="s">
        <v>31</v>
      </c>
      <c r="D65" s="15" t="s">
        <v>31</v>
      </c>
      <c r="E65" s="15" t="s">
        <v>31</v>
      </c>
      <c r="F65" s="15" t="s">
        <v>31</v>
      </c>
      <c r="G65" s="15" t="s">
        <v>31</v>
      </c>
      <c r="H65" s="15" t="s">
        <v>31</v>
      </c>
    </row>
    <row r="66" spans="1:8" ht="11.25" customHeight="1">
      <c r="A66" s="1" t="s">
        <v>844</v>
      </c>
      <c r="B66" s="8">
        <v>3111</v>
      </c>
      <c r="C66" s="16">
        <f>'DOE25'!F117</f>
        <v>357263.92</v>
      </c>
      <c r="D66" s="15" t="s">
        <v>31</v>
      </c>
      <c r="E66" s="15" t="s">
        <v>31</v>
      </c>
      <c r="F66" s="15" t="s">
        <v>31</v>
      </c>
      <c r="G66" s="15" t="s">
        <v>31</v>
      </c>
      <c r="H66" s="3">
        <f t="shared" ref="H66:H67" si="13">SUM(C66:G66)</f>
        <v>357263.92</v>
      </c>
    </row>
    <row r="67" spans="1:8" ht="11.25" customHeight="1">
      <c r="A67" s="1" t="s">
        <v>845</v>
      </c>
      <c r="B67" s="8">
        <v>3112</v>
      </c>
      <c r="C67" s="16">
        <f>'DOE25'!F118</f>
        <v>331018</v>
      </c>
      <c r="D67" s="15"/>
      <c r="E67" s="15"/>
      <c r="F67" s="15"/>
      <c r="G67" s="15"/>
      <c r="H67" s="3">
        <f t="shared" si="13"/>
        <v>331018</v>
      </c>
    </row>
    <row r="68" spans="1:8" ht="11.25" customHeight="1">
      <c r="A68" s="1" t="s">
        <v>846</v>
      </c>
      <c r="B68" s="8">
        <v>3119</v>
      </c>
      <c r="C68" s="15" t="str">
        <f>'DOE25'!F119</f>
        <v>............</v>
      </c>
      <c r="D68" s="15" t="s">
        <v>31</v>
      </c>
      <c r="E68" s="15" t="s">
        <v>31</v>
      </c>
      <c r="F68" s="15" t="s">
        <v>31</v>
      </c>
      <c r="G68" s="15" t="s">
        <v>31</v>
      </c>
      <c r="H68" s="15" t="s">
        <v>31</v>
      </c>
    </row>
    <row r="69" spans="1:8" ht="11.25" customHeight="1">
      <c r="A69" s="1" t="s">
        <v>847</v>
      </c>
      <c r="B69" s="8" t="s">
        <v>848</v>
      </c>
      <c r="C69" s="16">
        <f>'DOE25'!F120</f>
        <v>1995.21</v>
      </c>
      <c r="D69" s="16">
        <f>'DOE25'!G120</f>
        <v>0</v>
      </c>
      <c r="E69" s="16">
        <f>'DOE25'!H120</f>
        <v>0</v>
      </c>
      <c r="F69" s="16">
        <f>'DOE25'!I120</f>
        <v>0</v>
      </c>
      <c r="G69" s="16">
        <f>'DOE25'!J120</f>
        <v>0</v>
      </c>
      <c r="H69" s="3">
        <f t="shared" ref="H69:H70" si="14">SUM(C69:G69)</f>
        <v>1995.21</v>
      </c>
    </row>
    <row r="70" spans="1:8" ht="11.25" customHeight="1">
      <c r="A70" s="14" t="s">
        <v>849</v>
      </c>
      <c r="B70" s="2"/>
      <c r="C70" s="60">
        <f>SUM(C66:C69)</f>
        <v>690277.12999999989</v>
      </c>
      <c r="D70" s="60">
        <f t="shared" ref="D70:G70" si="15">D69</f>
        <v>0</v>
      </c>
      <c r="E70" s="60">
        <f t="shared" si="15"/>
        <v>0</v>
      </c>
      <c r="F70" s="60">
        <f t="shared" si="15"/>
        <v>0</v>
      </c>
      <c r="G70" s="60">
        <f t="shared" si="15"/>
        <v>0</v>
      </c>
      <c r="H70" s="3">
        <f t="shared" si="14"/>
        <v>690277.12999999989</v>
      </c>
    </row>
    <row r="71" spans="1:8" ht="11.25" customHeight="1">
      <c r="A71" s="14" t="s">
        <v>850</v>
      </c>
      <c r="B71" s="2"/>
      <c r="C71" s="15" t="s">
        <v>31</v>
      </c>
      <c r="D71" s="15" t="s">
        <v>31</v>
      </c>
      <c r="E71" s="15" t="s">
        <v>31</v>
      </c>
      <c r="F71" s="15" t="s">
        <v>31</v>
      </c>
      <c r="G71" s="15" t="s">
        <v>31</v>
      </c>
      <c r="H71" s="15" t="s">
        <v>31</v>
      </c>
    </row>
    <row r="72" spans="1:8" ht="11.25" customHeight="1">
      <c r="A72" s="1" t="s">
        <v>851</v>
      </c>
      <c r="B72" s="8">
        <v>3210</v>
      </c>
      <c r="C72" s="16">
        <f>'DOE25'!F123</f>
        <v>83124.149999999994</v>
      </c>
      <c r="D72" s="15" t="s">
        <v>31</v>
      </c>
      <c r="E72" s="15" t="s">
        <v>31</v>
      </c>
      <c r="F72" s="16">
        <f>'DOE25'!I123</f>
        <v>0</v>
      </c>
      <c r="G72" s="15" t="s">
        <v>31</v>
      </c>
      <c r="H72" s="3">
        <f t="shared" ref="H72:H81" si="16">SUM(C72:G72)</f>
        <v>83124.149999999994</v>
      </c>
    </row>
    <row r="73" spans="1:8" ht="11.25" customHeight="1">
      <c r="A73" s="1" t="s">
        <v>852</v>
      </c>
      <c r="B73" s="8">
        <v>3215</v>
      </c>
      <c r="C73" s="16">
        <f>'DOE25'!F124</f>
        <v>0</v>
      </c>
      <c r="D73" s="15" t="s">
        <v>31</v>
      </c>
      <c r="E73" s="15" t="s">
        <v>31</v>
      </c>
      <c r="F73" s="16">
        <f>'DOE25'!I124</f>
        <v>0</v>
      </c>
      <c r="G73" s="15" t="s">
        <v>31</v>
      </c>
      <c r="H73" s="3">
        <f t="shared" si="16"/>
        <v>0</v>
      </c>
    </row>
    <row r="74" spans="1:8" ht="11.25" customHeight="1">
      <c r="A74" s="1" t="s">
        <v>853</v>
      </c>
      <c r="B74" s="8">
        <v>3220</v>
      </c>
      <c r="C74" s="16">
        <f>'DOE25'!F125</f>
        <v>0</v>
      </c>
      <c r="D74" s="15"/>
      <c r="E74" s="15"/>
      <c r="F74" s="15"/>
      <c r="G74" s="15"/>
      <c r="H74" s="3">
        <f t="shared" si="16"/>
        <v>0</v>
      </c>
    </row>
    <row r="75" spans="1:8" ht="11.25" customHeight="1">
      <c r="A75" s="1" t="s">
        <v>854</v>
      </c>
      <c r="B75" s="8">
        <v>3230</v>
      </c>
      <c r="C75" s="16">
        <f>'DOE25'!F126</f>
        <v>0</v>
      </c>
      <c r="D75" s="15" t="s">
        <v>31</v>
      </c>
      <c r="E75" s="15" t="s">
        <v>31</v>
      </c>
      <c r="F75" s="15" t="s">
        <v>31</v>
      </c>
      <c r="G75" s="15" t="s">
        <v>31</v>
      </c>
      <c r="H75" s="3">
        <f t="shared" si="16"/>
        <v>0</v>
      </c>
    </row>
    <row r="76" spans="1:8" ht="11.25" customHeight="1">
      <c r="A76" s="1" t="s">
        <v>855</v>
      </c>
      <c r="B76" s="8" t="s">
        <v>856</v>
      </c>
      <c r="C76" s="16">
        <f>SUM('DOE25'!F127:F130)</f>
        <v>0</v>
      </c>
      <c r="D76" s="15" t="s">
        <v>31</v>
      </c>
      <c r="E76" s="16">
        <f>SUM('DOE25'!H127:H130)</f>
        <v>0</v>
      </c>
      <c r="F76" s="16">
        <f>SUM('DOE25'!I127:I130)</f>
        <v>0</v>
      </c>
      <c r="G76" s="15" t="s">
        <v>31</v>
      </c>
      <c r="H76" s="3">
        <f t="shared" si="16"/>
        <v>0</v>
      </c>
    </row>
    <row r="77" spans="1:8" ht="11.25" customHeight="1">
      <c r="A77" s="1" t="s">
        <v>857</v>
      </c>
      <c r="B77" s="8" t="s">
        <v>858</v>
      </c>
      <c r="C77" s="16">
        <f>SUM('DOE25'!F131:F135)</f>
        <v>0</v>
      </c>
      <c r="D77" s="16">
        <f>SUM('DOE25'!G131:G135)</f>
        <v>8157.72</v>
      </c>
      <c r="E77" s="16">
        <f>SUM('DOE25'!H131:H135)</f>
        <v>0</v>
      </c>
      <c r="F77" s="16">
        <f>SUM('DOE25'!I131:I135)</f>
        <v>0</v>
      </c>
      <c r="G77" s="16">
        <f>SUM('DOE25'!J131:J135)</f>
        <v>0</v>
      </c>
      <c r="H77" s="3">
        <f t="shared" si="16"/>
        <v>8157.72</v>
      </c>
    </row>
    <row r="78" spans="1:8" ht="11.25" customHeight="1">
      <c r="A78" s="14" t="s">
        <v>859</v>
      </c>
      <c r="B78" s="8"/>
      <c r="C78" s="98">
        <f t="shared" ref="C78:G78" si="17">SUM(C72:C77)</f>
        <v>83124.149999999994</v>
      </c>
      <c r="D78" s="98">
        <f t="shared" si="17"/>
        <v>8157.72</v>
      </c>
      <c r="E78" s="98">
        <f t="shared" si="17"/>
        <v>0</v>
      </c>
      <c r="F78" s="98">
        <f t="shared" si="17"/>
        <v>0</v>
      </c>
      <c r="G78" s="98">
        <f t="shared" si="17"/>
        <v>0</v>
      </c>
      <c r="H78" s="3">
        <f t="shared" si="16"/>
        <v>91281.87</v>
      </c>
    </row>
    <row r="79" spans="1:8" ht="11.25" customHeight="1">
      <c r="A79" s="1" t="s">
        <v>860</v>
      </c>
      <c r="B79" s="8">
        <v>3700</v>
      </c>
      <c r="C79" s="16">
        <f>'DOE25'!F137</f>
        <v>0</v>
      </c>
      <c r="D79" s="16">
        <f>'DOE25'!G137</f>
        <v>0</v>
      </c>
      <c r="E79" s="16">
        <f>'DOE25'!H137</f>
        <v>0</v>
      </c>
      <c r="F79" s="15" t="s">
        <v>31</v>
      </c>
      <c r="G79" s="15" t="s">
        <v>31</v>
      </c>
      <c r="H79" s="3">
        <f t="shared" si="16"/>
        <v>0</v>
      </c>
    </row>
    <row r="80" spans="1:8" ht="11.25" customHeight="1">
      <c r="A80" s="1" t="s">
        <v>861</v>
      </c>
      <c r="B80" s="8">
        <v>3800</v>
      </c>
      <c r="C80" s="16">
        <f>'DOE25'!F138</f>
        <v>0</v>
      </c>
      <c r="D80" s="15" t="s">
        <v>31</v>
      </c>
      <c r="E80" s="16">
        <f>'DOE25'!H138</f>
        <v>0</v>
      </c>
      <c r="F80" s="15" t="s">
        <v>31</v>
      </c>
      <c r="G80" s="15" t="s">
        <v>31</v>
      </c>
      <c r="H80" s="3">
        <f t="shared" si="16"/>
        <v>0</v>
      </c>
    </row>
    <row r="81" spans="1:9" ht="11.25" customHeight="1">
      <c r="A81" s="14" t="s">
        <v>862</v>
      </c>
      <c r="B81" s="2"/>
      <c r="C81" s="98">
        <f t="shared" ref="C81:G81" si="18">SUM(C79:C80)+C78+C70</f>
        <v>773401.27999999991</v>
      </c>
      <c r="D81" s="98">
        <f t="shared" si="18"/>
        <v>8157.72</v>
      </c>
      <c r="E81" s="98">
        <f t="shared" si="18"/>
        <v>0</v>
      </c>
      <c r="F81" s="98">
        <f t="shared" si="18"/>
        <v>0</v>
      </c>
      <c r="G81" s="98">
        <f t="shared" si="18"/>
        <v>0</v>
      </c>
      <c r="H81" s="98">
        <f t="shared" si="16"/>
        <v>781558.99999999988</v>
      </c>
    </row>
    <row r="82" spans="1:9" ht="11.25" customHeight="1">
      <c r="B82" s="5"/>
      <c r="C82" s="12" t="s">
        <v>23</v>
      </c>
      <c r="D82" s="12" t="s">
        <v>24</v>
      </c>
      <c r="E82" s="12" t="s">
        <v>25</v>
      </c>
      <c r="F82" s="12" t="s">
        <v>26</v>
      </c>
      <c r="G82" s="12" t="s">
        <v>827</v>
      </c>
      <c r="H82" s="12"/>
    </row>
    <row r="83" spans="1:9" ht="11.25" customHeight="1">
      <c r="A83" s="1" t="s">
        <v>128</v>
      </c>
      <c r="B83" s="5"/>
      <c r="C83" s="15" t="s">
        <v>31</v>
      </c>
      <c r="D83" s="15" t="s">
        <v>31</v>
      </c>
      <c r="E83" s="15" t="s">
        <v>31</v>
      </c>
      <c r="F83" s="15" t="s">
        <v>31</v>
      </c>
      <c r="G83" s="15" t="s">
        <v>31</v>
      </c>
      <c r="H83" s="15" t="s">
        <v>31</v>
      </c>
    </row>
    <row r="84" spans="1:9" ht="11.25" customHeight="1">
      <c r="A84" s="44" t="s">
        <v>863</v>
      </c>
      <c r="B84" s="5"/>
      <c r="C84" s="15" t="s">
        <v>31</v>
      </c>
      <c r="D84" s="15" t="s">
        <v>31</v>
      </c>
      <c r="E84" s="15" t="s">
        <v>31</v>
      </c>
      <c r="F84" s="15" t="s">
        <v>31</v>
      </c>
      <c r="G84" s="15" t="s">
        <v>31</v>
      </c>
      <c r="H84" s="15" t="s">
        <v>31</v>
      </c>
    </row>
    <row r="85" spans="1:9" ht="11.25" customHeight="1">
      <c r="A85" s="135" t="s">
        <v>864</v>
      </c>
      <c r="B85" s="34" t="s">
        <v>865</v>
      </c>
      <c r="C85" s="16">
        <f>'DOE25'!F147</f>
        <v>0</v>
      </c>
      <c r="D85" s="16">
        <f>'DOE25'!G147</f>
        <v>0</v>
      </c>
      <c r="E85" s="16">
        <f>'DOE25'!H147</f>
        <v>0</v>
      </c>
      <c r="F85" s="16">
        <f>'DOE25'!I147</f>
        <v>0</v>
      </c>
      <c r="G85" s="15" t="s">
        <v>31</v>
      </c>
      <c r="H85" s="3">
        <f>SUM(C85:G85)</f>
        <v>0</v>
      </c>
    </row>
    <row r="86" spans="1:9" ht="11.25" customHeight="1">
      <c r="A86" s="49" t="s">
        <v>850</v>
      </c>
      <c r="B86" s="34"/>
      <c r="C86" s="15" t="s">
        <v>31</v>
      </c>
      <c r="D86" s="15" t="s">
        <v>31</v>
      </c>
      <c r="E86" s="15" t="s">
        <v>31</v>
      </c>
      <c r="F86" s="15" t="s">
        <v>31</v>
      </c>
      <c r="G86" s="15" t="s">
        <v>31</v>
      </c>
      <c r="H86" s="15" t="s">
        <v>31</v>
      </c>
      <c r="I86" s="7"/>
    </row>
    <row r="87" spans="1:9" ht="11.25" customHeight="1">
      <c r="A87" s="135" t="s">
        <v>866</v>
      </c>
      <c r="B87" s="34" t="s">
        <v>867</v>
      </c>
      <c r="C87" s="16">
        <f>SUM('DOE25'!F149:F152)</f>
        <v>0</v>
      </c>
      <c r="D87" s="15" t="s">
        <v>31</v>
      </c>
      <c r="E87" s="16">
        <f>SUM('DOE25'!H149:H152)</f>
        <v>0</v>
      </c>
      <c r="F87" s="16">
        <f>SUM('DOE25'!I149:I152)</f>
        <v>0</v>
      </c>
      <c r="G87" s="15" t="s">
        <v>31</v>
      </c>
      <c r="H87" s="3">
        <f t="shared" ref="H87:H91" si="19">SUM(C87:G87)</f>
        <v>0</v>
      </c>
      <c r="I87" s="7"/>
    </row>
    <row r="88" spans="1:9" ht="11.25" customHeight="1">
      <c r="A88" s="208" t="s">
        <v>868</v>
      </c>
      <c r="B88" s="207" t="s">
        <v>869</v>
      </c>
      <c r="C88" s="212">
        <f>SUM('DOE25'!F153:F162)</f>
        <v>0</v>
      </c>
      <c r="D88" s="212">
        <f>SUM('DOE25'!G153:G162)</f>
        <v>53537.98</v>
      </c>
      <c r="E88" s="212">
        <f>SUM('DOE25'!H153:H162)</f>
        <v>29264.6</v>
      </c>
      <c r="F88" s="212">
        <f>SUM('DOE25'!I153:I162)</f>
        <v>0</v>
      </c>
      <c r="G88" s="15" t="s">
        <v>31</v>
      </c>
      <c r="H88" s="3">
        <f t="shared" si="19"/>
        <v>82802.58</v>
      </c>
      <c r="I88" s="7"/>
    </row>
    <row r="89" spans="1:9" ht="11.25" customHeight="1">
      <c r="A89" s="135" t="s">
        <v>870</v>
      </c>
      <c r="B89" s="34" t="s">
        <v>871</v>
      </c>
      <c r="C89" s="16">
        <f>'DOE25'!F164+'DOE25'!F167+'DOE25'!F169</f>
        <v>0</v>
      </c>
      <c r="D89" s="16">
        <f>'DOE25'!G164+'DOE25'!G169</f>
        <v>0</v>
      </c>
      <c r="E89" s="16">
        <f>'DOE25'!H164+'DOE25'!H169</f>
        <v>0</v>
      </c>
      <c r="F89" s="16">
        <f>'DOE25'!I164</f>
        <v>0</v>
      </c>
      <c r="G89" s="15" t="s">
        <v>31</v>
      </c>
      <c r="H89" s="3">
        <f t="shared" si="19"/>
        <v>0</v>
      </c>
      <c r="I89" s="7"/>
    </row>
    <row r="90" spans="1:9" ht="11.25" customHeight="1">
      <c r="A90" s="135" t="s">
        <v>872</v>
      </c>
      <c r="B90" s="34">
        <v>4810</v>
      </c>
      <c r="C90" s="16">
        <f>'DOE25'!F166</f>
        <v>0</v>
      </c>
      <c r="D90" s="15" t="s">
        <v>31</v>
      </c>
      <c r="E90" s="15" t="s">
        <v>31</v>
      </c>
      <c r="F90" s="15" t="s">
        <v>31</v>
      </c>
      <c r="G90" s="15" t="s">
        <v>31</v>
      </c>
      <c r="H90" s="3">
        <f t="shared" si="19"/>
        <v>0</v>
      </c>
      <c r="I90" s="7"/>
    </row>
    <row r="91" spans="1:9" ht="11.25" customHeight="1">
      <c r="A91" s="49" t="s">
        <v>873</v>
      </c>
      <c r="C91" s="213">
        <f t="shared" ref="C91:F91" si="20">SUM(C85:C90)</f>
        <v>0</v>
      </c>
      <c r="D91" s="213">
        <f t="shared" si="20"/>
        <v>53537.98</v>
      </c>
      <c r="E91" s="213">
        <f t="shared" si="20"/>
        <v>29264.6</v>
      </c>
      <c r="F91" s="213">
        <f t="shared" si="20"/>
        <v>0</v>
      </c>
      <c r="G91" s="15" t="s">
        <v>31</v>
      </c>
      <c r="H91" s="3">
        <f t="shared" si="19"/>
        <v>82802.58</v>
      </c>
      <c r="I91" s="7"/>
    </row>
    <row r="92" spans="1:9" ht="11.25" customHeight="1">
      <c r="A92" s="49" t="s">
        <v>668</v>
      </c>
      <c r="C92" s="15" t="s">
        <v>31</v>
      </c>
      <c r="D92" s="15" t="s">
        <v>31</v>
      </c>
      <c r="E92" s="15" t="s">
        <v>31</v>
      </c>
      <c r="F92" s="15" t="s">
        <v>31</v>
      </c>
      <c r="G92" s="15" t="s">
        <v>31</v>
      </c>
      <c r="H92" s="15" t="s">
        <v>31</v>
      </c>
      <c r="I92" s="7"/>
    </row>
    <row r="93" spans="1:9" ht="11.25" customHeight="1">
      <c r="A93" s="135" t="s">
        <v>874</v>
      </c>
      <c r="B93" s="34" t="s">
        <v>875</v>
      </c>
      <c r="C93" s="16">
        <f>SUM('DOE25'!F174:F176)</f>
        <v>0</v>
      </c>
      <c r="D93" s="15" t="s">
        <v>31</v>
      </c>
      <c r="E93" s="15" t="s">
        <v>31</v>
      </c>
      <c r="F93" s="16">
        <f>SUM('DOE25'!I174:I176)</f>
        <v>0</v>
      </c>
      <c r="G93" s="15" t="s">
        <v>31</v>
      </c>
      <c r="H93" s="3">
        <f t="shared" ref="H93:H94" si="21">SUM(C93:G93)</f>
        <v>0</v>
      </c>
      <c r="I93" s="7"/>
    </row>
    <row r="94" spans="1:9" ht="11.25" customHeight="1">
      <c r="A94" s="135" t="s">
        <v>876</v>
      </c>
      <c r="B94" s="34">
        <v>5140</v>
      </c>
      <c r="C94" s="16">
        <f>'DOE25'!F177</f>
        <v>0</v>
      </c>
      <c r="D94" s="15" t="s">
        <v>31</v>
      </c>
      <c r="E94" s="15" t="s">
        <v>31</v>
      </c>
      <c r="F94" s="16">
        <f>'DOE25'!I177</f>
        <v>0</v>
      </c>
      <c r="G94" s="15" t="s">
        <v>31</v>
      </c>
      <c r="H94" s="3">
        <f t="shared" si="21"/>
        <v>0</v>
      </c>
      <c r="I94" s="7"/>
    </row>
    <row r="95" spans="1:9" ht="11.25" customHeight="1">
      <c r="A95" s="49" t="s">
        <v>189</v>
      </c>
      <c r="B95" s="34"/>
      <c r="C95" s="15" t="s">
        <v>31</v>
      </c>
      <c r="D95" s="15" t="s">
        <v>31</v>
      </c>
      <c r="E95" s="15" t="s">
        <v>31</v>
      </c>
      <c r="F95" s="15" t="s">
        <v>31</v>
      </c>
      <c r="G95" s="15" t="s">
        <v>31</v>
      </c>
      <c r="H95" s="15" t="s">
        <v>31</v>
      </c>
      <c r="I95" s="7"/>
    </row>
    <row r="96" spans="1:9" ht="11.25" customHeight="1">
      <c r="A96" s="135" t="s">
        <v>877</v>
      </c>
      <c r="B96" s="34">
        <v>5210</v>
      </c>
      <c r="C96" s="15" t="s">
        <v>31</v>
      </c>
      <c r="D96" s="16">
        <f>'DOE25'!G180</f>
        <v>11311.42</v>
      </c>
      <c r="E96" s="16">
        <f>'DOE25'!H180</f>
        <v>0</v>
      </c>
      <c r="F96" s="16">
        <f>'DOE25'!I180</f>
        <v>0</v>
      </c>
      <c r="G96" s="16">
        <f>'DOE25'!J180</f>
        <v>50000</v>
      </c>
      <c r="H96" s="3">
        <f t="shared" ref="H96:H104" si="22">SUM(C96:G96)</f>
        <v>61311.42</v>
      </c>
      <c r="I96" s="7"/>
    </row>
    <row r="97" spans="1:9" ht="11.25" customHeight="1">
      <c r="A97" s="135" t="s">
        <v>878</v>
      </c>
      <c r="B97" s="34" t="s">
        <v>879</v>
      </c>
      <c r="C97" s="16">
        <f>SUM('DOE25'!F181:F182)</f>
        <v>0</v>
      </c>
      <c r="D97" s="16">
        <f>SUM('DOE25'!G181:G182)</f>
        <v>0</v>
      </c>
      <c r="E97" s="16">
        <f>SUM('DOE25'!H181:H182)</f>
        <v>0</v>
      </c>
      <c r="F97" s="16">
        <f>SUM('DOE25'!I181:I182)</f>
        <v>0</v>
      </c>
      <c r="G97" s="16">
        <f>SUM('DOE25'!J181:J182)</f>
        <v>0</v>
      </c>
      <c r="H97" s="3">
        <f t="shared" si="22"/>
        <v>0</v>
      </c>
      <c r="I97" s="7"/>
    </row>
    <row r="98" spans="1:9" ht="11.25" customHeight="1">
      <c r="A98" s="135" t="s">
        <v>880</v>
      </c>
      <c r="B98" s="34" t="s">
        <v>881</v>
      </c>
      <c r="C98" s="16">
        <f>'DOE25'!F183</f>
        <v>0</v>
      </c>
      <c r="D98" s="16">
        <f>'DOE25'!G183</f>
        <v>0</v>
      </c>
      <c r="E98" s="16">
        <f>'DOE25'!H183</f>
        <v>0</v>
      </c>
      <c r="F98" s="15" t="s">
        <v>31</v>
      </c>
      <c r="G98" s="16">
        <f>'DOE25'!J183</f>
        <v>0</v>
      </c>
      <c r="H98" s="3">
        <f t="shared" si="22"/>
        <v>0</v>
      </c>
      <c r="I98" s="7"/>
    </row>
    <row r="99" spans="1:9" ht="11.25" customHeight="1">
      <c r="A99" s="135" t="s">
        <v>882</v>
      </c>
      <c r="B99" s="34">
        <v>5251</v>
      </c>
      <c r="C99" s="16">
        <f>'DOE25'!F186</f>
        <v>0</v>
      </c>
      <c r="D99" s="16">
        <f>'DOE25'!G186</f>
        <v>0</v>
      </c>
      <c r="E99" s="16">
        <f>'DOE25'!H186</f>
        <v>0</v>
      </c>
      <c r="F99" s="16">
        <f>'DOE25'!I186</f>
        <v>0</v>
      </c>
      <c r="G99" s="15" t="s">
        <v>31</v>
      </c>
      <c r="H99" s="3">
        <f t="shared" si="22"/>
        <v>0</v>
      </c>
      <c r="I99" s="7"/>
    </row>
    <row r="100" spans="1:9" ht="11.25" customHeight="1">
      <c r="A100" s="135" t="s">
        <v>883</v>
      </c>
      <c r="B100" s="34" t="s">
        <v>884</v>
      </c>
      <c r="C100" s="16">
        <f>SUM('DOE25'!F187:F188)</f>
        <v>0</v>
      </c>
      <c r="D100" s="16">
        <f>SUM('DOE25'!G187:G188)</f>
        <v>0</v>
      </c>
      <c r="E100" s="16">
        <f>SUM('DOE25'!H187:H188)</f>
        <v>0</v>
      </c>
      <c r="F100" s="16">
        <f>SUM('DOE25'!I187:I188)</f>
        <v>0</v>
      </c>
      <c r="G100" s="15" t="s">
        <v>31</v>
      </c>
      <c r="H100" s="3">
        <f t="shared" si="22"/>
        <v>0</v>
      </c>
      <c r="I100" s="7"/>
    </row>
    <row r="101" spans="1:9" ht="11.25" customHeight="1">
      <c r="A101" s="135" t="s">
        <v>885</v>
      </c>
      <c r="B101" s="34" t="s">
        <v>886</v>
      </c>
      <c r="C101" s="16">
        <f>'DOE25'!F190</f>
        <v>0</v>
      </c>
      <c r="D101" s="16">
        <f>'DOE25'!G190</f>
        <v>0</v>
      </c>
      <c r="E101" s="16">
        <f>'DOE25'!H190</f>
        <v>0</v>
      </c>
      <c r="F101" s="16">
        <f>'DOE25'!I190</f>
        <v>0</v>
      </c>
      <c r="G101" s="15" t="s">
        <v>31</v>
      </c>
      <c r="H101" s="3">
        <f t="shared" si="22"/>
        <v>0</v>
      </c>
      <c r="I101" s="7"/>
    </row>
    <row r="102" spans="1:9" ht="11.25" customHeight="1">
      <c r="A102" s="135" t="s">
        <v>887</v>
      </c>
      <c r="B102" s="34" t="s">
        <v>888</v>
      </c>
      <c r="C102" s="16">
        <f>SUM('DOE25'!F191:F192)</f>
        <v>0</v>
      </c>
      <c r="D102" s="16">
        <f>SUM('DOE25'!G191:G192)</f>
        <v>0</v>
      </c>
      <c r="E102" s="16">
        <f>SUM('DOE25'!H191:H192)</f>
        <v>0</v>
      </c>
      <c r="F102" s="16">
        <f>SUM('DOE25'!I191:I192)</f>
        <v>0</v>
      </c>
      <c r="G102" s="15" t="s">
        <v>31</v>
      </c>
      <c r="H102" s="3">
        <f t="shared" si="22"/>
        <v>0</v>
      </c>
      <c r="I102" s="7"/>
    </row>
    <row r="103" spans="1:9" ht="11.25" customHeight="1">
      <c r="A103" s="49" t="s">
        <v>889</v>
      </c>
      <c r="C103" s="214">
        <f t="shared" ref="C103:G103" si="23">SUM(C93:C102)</f>
        <v>0</v>
      </c>
      <c r="D103" s="214">
        <f t="shared" si="23"/>
        <v>11311.42</v>
      </c>
      <c r="E103" s="214">
        <f t="shared" si="23"/>
        <v>0</v>
      </c>
      <c r="F103" s="214">
        <f t="shared" si="23"/>
        <v>0</v>
      </c>
      <c r="G103" s="214">
        <f t="shared" si="23"/>
        <v>50000</v>
      </c>
      <c r="H103" s="214">
        <f t="shared" si="22"/>
        <v>61311.42</v>
      </c>
      <c r="I103" s="7"/>
    </row>
    <row r="104" spans="1:9" ht="11.25" customHeight="1">
      <c r="A104" s="49" t="s">
        <v>890</v>
      </c>
      <c r="C104" s="214">
        <f t="shared" ref="C104:F104" si="24">C63+C81+C91+C103</f>
        <v>2880658.67</v>
      </c>
      <c r="D104" s="214">
        <f t="shared" si="24"/>
        <v>76238.62000000001</v>
      </c>
      <c r="E104" s="214">
        <f t="shared" si="24"/>
        <v>29264.6</v>
      </c>
      <c r="F104" s="214">
        <f t="shared" si="24"/>
        <v>0</v>
      </c>
      <c r="G104" s="214">
        <f>G63+G81+G103</f>
        <v>50268.27</v>
      </c>
      <c r="H104" s="214">
        <f t="shared" si="22"/>
        <v>3036430.16</v>
      </c>
      <c r="I104" s="7"/>
    </row>
    <row r="105" spans="1:9" ht="11.25" customHeight="1">
      <c r="H105" s="7"/>
      <c r="I105" s="7"/>
    </row>
    <row r="106" spans="1:9" ht="11.25" customHeight="1">
      <c r="B106" s="5"/>
      <c r="C106" s="12" t="s">
        <v>23</v>
      </c>
      <c r="D106" s="12" t="s">
        <v>24</v>
      </c>
      <c r="E106" s="12" t="s">
        <v>891</v>
      </c>
      <c r="F106" s="12" t="s">
        <v>26</v>
      </c>
      <c r="G106" s="12" t="s">
        <v>27</v>
      </c>
      <c r="H106" s="7"/>
      <c r="I106" s="7"/>
    </row>
    <row r="107" spans="1:9" ht="11.25" customHeight="1">
      <c r="A107" s="14" t="s">
        <v>892</v>
      </c>
      <c r="B107" s="5"/>
      <c r="C107" s="15" t="s">
        <v>31</v>
      </c>
      <c r="D107" s="15" t="s">
        <v>31</v>
      </c>
      <c r="E107" s="15" t="s">
        <v>31</v>
      </c>
      <c r="F107" s="15" t="s">
        <v>31</v>
      </c>
      <c r="G107" s="15" t="s">
        <v>31</v>
      </c>
      <c r="H107" s="15" t="s">
        <v>31</v>
      </c>
      <c r="I107" s="7"/>
    </row>
    <row r="108" spans="1:9" ht="11.25" customHeight="1">
      <c r="A108" s="44" t="s">
        <v>256</v>
      </c>
      <c r="B108" s="5"/>
      <c r="C108" s="15" t="s">
        <v>31</v>
      </c>
      <c r="D108" s="15" t="s">
        <v>31</v>
      </c>
      <c r="E108" s="15" t="s">
        <v>31</v>
      </c>
      <c r="F108" s="15" t="s">
        <v>31</v>
      </c>
      <c r="G108" s="15" t="s">
        <v>31</v>
      </c>
      <c r="H108" s="15" t="s">
        <v>31</v>
      </c>
      <c r="I108" s="7"/>
    </row>
    <row r="109" spans="1:9" ht="11.25" customHeight="1">
      <c r="A109" s="135" t="s">
        <v>893</v>
      </c>
      <c r="B109" s="34" t="s">
        <v>894</v>
      </c>
      <c r="C109" s="16">
        <f>('DOE25'!L198)+('DOE25'!L216)+('DOE25'!L234)</f>
        <v>1533307.53</v>
      </c>
      <c r="D109" s="15" t="s">
        <v>31</v>
      </c>
      <c r="E109" s="16">
        <f>('DOE25'!L277)+('DOE25'!L296)+('DOE25'!L315)</f>
        <v>7405.37</v>
      </c>
      <c r="F109" s="15" t="s">
        <v>31</v>
      </c>
      <c r="G109" s="15" t="s">
        <v>31</v>
      </c>
      <c r="H109" s="3">
        <f t="shared" ref="H109:H115" si="25">SUM(C109:G109)</f>
        <v>1540712.9000000001</v>
      </c>
      <c r="I109" s="7"/>
    </row>
    <row r="110" spans="1:9" ht="11.25" customHeight="1">
      <c r="A110" s="135" t="s">
        <v>895</v>
      </c>
      <c r="B110" s="34" t="s">
        <v>896</v>
      </c>
      <c r="C110" s="16">
        <f>('DOE25'!L199)+('DOE25'!L217)+('DOE25'!L235)</f>
        <v>190838.76</v>
      </c>
      <c r="D110" s="15" t="s">
        <v>31</v>
      </c>
      <c r="E110" s="16">
        <f>('DOE25'!L278)+('DOE25'!L297)+('DOE25'!L316)</f>
        <v>0</v>
      </c>
      <c r="F110" s="15" t="s">
        <v>31</v>
      </c>
      <c r="G110" s="15" t="s">
        <v>31</v>
      </c>
      <c r="H110" s="3">
        <f t="shared" si="25"/>
        <v>190838.76</v>
      </c>
      <c r="I110" s="7"/>
    </row>
    <row r="111" spans="1:9" ht="11.25" customHeight="1">
      <c r="A111" s="135" t="s">
        <v>897</v>
      </c>
      <c r="B111" s="34" t="s">
        <v>832</v>
      </c>
      <c r="C111" s="16">
        <f>('DOE25'!L200)+('DOE25'!L218)+('DOE25'!L236)</f>
        <v>0</v>
      </c>
      <c r="D111" s="15" t="s">
        <v>31</v>
      </c>
      <c r="E111" s="16">
        <f>('DOE25'!L279)+('DOE25'!L298)+('DOE25'!L317)</f>
        <v>0</v>
      </c>
      <c r="F111" s="15" t="s">
        <v>31</v>
      </c>
      <c r="G111" s="15" t="s">
        <v>31</v>
      </c>
      <c r="H111" s="3">
        <f t="shared" si="25"/>
        <v>0</v>
      </c>
      <c r="I111" s="7"/>
    </row>
    <row r="112" spans="1:9" ht="11.25" customHeight="1">
      <c r="A112" s="135" t="s">
        <v>898</v>
      </c>
      <c r="B112" s="34" t="s">
        <v>834</v>
      </c>
      <c r="C112" s="16">
        <f>('DOE25'!L201)+('DOE25'!L219)+('DOE25'!L237)</f>
        <v>0</v>
      </c>
      <c r="D112" s="15" t="s">
        <v>31</v>
      </c>
      <c r="E112" s="16">
        <f>+('DOE25'!L280)+('DOE25'!L299)+('DOE25'!L318)</f>
        <v>0</v>
      </c>
      <c r="F112" s="15" t="s">
        <v>31</v>
      </c>
      <c r="G112" s="15" t="s">
        <v>31</v>
      </c>
      <c r="H112" s="3">
        <f t="shared" si="25"/>
        <v>0</v>
      </c>
      <c r="I112" s="7"/>
    </row>
    <row r="113" spans="1:9" ht="11.25" customHeight="1">
      <c r="A113" s="135" t="s">
        <v>899</v>
      </c>
      <c r="B113" s="34" t="s">
        <v>836</v>
      </c>
      <c r="C113" s="16">
        <f>'DOE25'!L251</f>
        <v>0</v>
      </c>
      <c r="D113" s="15" t="s">
        <v>31</v>
      </c>
      <c r="E113" s="16">
        <f>+'DOE25'!L333</f>
        <v>0</v>
      </c>
      <c r="F113" s="15" t="s">
        <v>31</v>
      </c>
      <c r="G113" s="15" t="s">
        <v>31</v>
      </c>
      <c r="H113" s="3">
        <f t="shared" si="25"/>
        <v>0</v>
      </c>
      <c r="I113" s="7"/>
    </row>
    <row r="114" spans="1:9" ht="11.25" customHeight="1">
      <c r="A114" s="135" t="s">
        <v>900</v>
      </c>
      <c r="B114" s="34" t="s">
        <v>901</v>
      </c>
      <c r="C114" s="16">
        <f>SUM('DOE25'!L252:L254)</f>
        <v>0</v>
      </c>
      <c r="D114" s="15" t="s">
        <v>31</v>
      </c>
      <c r="E114" s="16">
        <f>+ SUM('DOE25'!L334:L336)</f>
        <v>0</v>
      </c>
      <c r="F114" s="15" t="s">
        <v>31</v>
      </c>
      <c r="G114" s="15" t="s">
        <v>31</v>
      </c>
      <c r="H114" s="3">
        <f t="shared" si="25"/>
        <v>0</v>
      </c>
      <c r="I114" s="7"/>
    </row>
    <row r="115" spans="1:9" ht="11.25" customHeight="1">
      <c r="A115" s="49" t="s">
        <v>902</v>
      </c>
      <c r="C115" s="214">
        <f t="shared" ref="C115:G115" si="26">SUM(C109:C114)</f>
        <v>1724146.29</v>
      </c>
      <c r="D115" s="214">
        <f t="shared" si="26"/>
        <v>0</v>
      </c>
      <c r="E115" s="214">
        <f t="shared" si="26"/>
        <v>7405.37</v>
      </c>
      <c r="F115" s="214">
        <f t="shared" si="26"/>
        <v>0</v>
      </c>
      <c r="G115" s="214">
        <f t="shared" si="26"/>
        <v>0</v>
      </c>
      <c r="H115" s="214">
        <f t="shared" si="25"/>
        <v>1731551.6600000001</v>
      </c>
      <c r="I115" s="7"/>
    </row>
    <row r="116" spans="1:9" ht="11.25" customHeight="1">
      <c r="C116" s="15" t="s">
        <v>31</v>
      </c>
      <c r="D116" s="15" t="s">
        <v>31</v>
      </c>
      <c r="E116" s="15" t="s">
        <v>31</v>
      </c>
      <c r="F116" s="15" t="s">
        <v>31</v>
      </c>
      <c r="G116" s="15" t="s">
        <v>31</v>
      </c>
      <c r="H116" s="15" t="s">
        <v>31</v>
      </c>
      <c r="I116" s="7"/>
    </row>
    <row r="117" spans="1:9" ht="11.25" customHeight="1">
      <c r="A117" s="49" t="s">
        <v>231</v>
      </c>
      <c r="C117" s="15" t="s">
        <v>31</v>
      </c>
      <c r="D117" s="15" t="s">
        <v>31</v>
      </c>
      <c r="E117" s="15" t="s">
        <v>31</v>
      </c>
      <c r="F117" s="15" t="s">
        <v>31</v>
      </c>
      <c r="G117" s="15" t="s">
        <v>31</v>
      </c>
      <c r="H117" s="15" t="s">
        <v>31</v>
      </c>
      <c r="I117" s="7"/>
    </row>
    <row r="118" spans="1:9" ht="11.25" customHeight="1">
      <c r="A118" s="135" t="s">
        <v>903</v>
      </c>
      <c r="B118" s="34" t="s">
        <v>904</v>
      </c>
      <c r="C118" s="16">
        <f>('DOE25'!L203)+('DOE25'!L221)+('DOE25'!L239)</f>
        <v>188650.21000000002</v>
      </c>
      <c r="D118" s="15" t="s">
        <v>31</v>
      </c>
      <c r="E118" s="16">
        <f>+('DOE25'!L282)+('DOE25'!L301)+('DOE25'!L320)</f>
        <v>6468.75</v>
      </c>
      <c r="F118" s="15" t="s">
        <v>31</v>
      </c>
      <c r="G118" s="15" t="s">
        <v>31</v>
      </c>
      <c r="H118" s="3">
        <f t="shared" ref="H118:H125" si="27">SUM(C118:G118)</f>
        <v>195118.96000000002</v>
      </c>
      <c r="I118" s="7"/>
    </row>
    <row r="119" spans="1:9" ht="11.25" customHeight="1">
      <c r="A119" s="135" t="s">
        <v>905</v>
      </c>
      <c r="B119" s="34" t="s">
        <v>906</v>
      </c>
      <c r="C119" s="16">
        <f>('DOE25'!L204)+('DOE25'!L222)+('DOE25'!L240)</f>
        <v>144114.03999999998</v>
      </c>
      <c r="D119" s="15" t="s">
        <v>31</v>
      </c>
      <c r="E119" s="16">
        <f>+('DOE25'!L283)+('DOE25'!L302)+('DOE25'!L321)</f>
        <v>10103.200000000001</v>
      </c>
      <c r="F119" s="15" t="s">
        <v>31</v>
      </c>
      <c r="G119" s="15" t="s">
        <v>31</v>
      </c>
      <c r="H119" s="3">
        <f t="shared" si="27"/>
        <v>154217.24</v>
      </c>
      <c r="I119" s="7"/>
    </row>
    <row r="120" spans="1:9" ht="11.25" customHeight="1">
      <c r="A120" s="135" t="s">
        <v>907</v>
      </c>
      <c r="B120" s="34" t="s">
        <v>908</v>
      </c>
      <c r="C120" s="16">
        <f>('DOE25'!L205)+('DOE25'!L223)+('DOE25'!L241)</f>
        <v>15586.81</v>
      </c>
      <c r="D120" s="15" t="s">
        <v>31</v>
      </c>
      <c r="E120" s="16">
        <f>+('DOE25'!L284)+('DOE25'!L303)+('DOE25'!L322)</f>
        <v>0</v>
      </c>
      <c r="F120" s="15" t="s">
        <v>31</v>
      </c>
      <c r="G120" s="15" t="s">
        <v>31</v>
      </c>
      <c r="H120" s="3">
        <f t="shared" si="27"/>
        <v>15586.81</v>
      </c>
      <c r="I120" s="7"/>
    </row>
    <row r="121" spans="1:9" ht="11.25" customHeight="1">
      <c r="A121" s="135" t="s">
        <v>909</v>
      </c>
      <c r="B121" s="34" t="s">
        <v>910</v>
      </c>
      <c r="C121" s="16">
        <f>('DOE25'!L206)+('DOE25'!L224)+('DOE25'!L242)</f>
        <v>153491.20000000001</v>
      </c>
      <c r="D121" s="15" t="s">
        <v>31</v>
      </c>
      <c r="E121" s="16">
        <f>+('DOE25'!L285)+('DOE25'!L304)+('DOE25'!L323)</f>
        <v>0</v>
      </c>
      <c r="F121" s="15" t="s">
        <v>31</v>
      </c>
      <c r="G121" s="15" t="s">
        <v>31</v>
      </c>
      <c r="H121" s="3">
        <f t="shared" si="27"/>
        <v>153491.20000000001</v>
      </c>
      <c r="I121" s="7"/>
    </row>
    <row r="122" spans="1:9" ht="11.25" customHeight="1">
      <c r="A122" s="135" t="s">
        <v>911</v>
      </c>
      <c r="B122" s="34" t="s">
        <v>912</v>
      </c>
      <c r="C122" s="16">
        <f>('DOE25'!L207)+('DOE25'!L225)+('DOE25'!L243)</f>
        <v>33990.1</v>
      </c>
      <c r="D122" s="15" t="s">
        <v>31</v>
      </c>
      <c r="E122" s="16">
        <f>+('DOE25'!L286)+('DOE25'!L305)+('DOE25'!L324)</f>
        <v>0</v>
      </c>
      <c r="F122" s="15" t="s">
        <v>31</v>
      </c>
      <c r="G122" s="15" t="s">
        <v>31</v>
      </c>
      <c r="H122" s="3">
        <f t="shared" si="27"/>
        <v>33990.1</v>
      </c>
      <c r="I122" s="7"/>
    </row>
    <row r="123" spans="1:9" ht="11.25" customHeight="1">
      <c r="A123" s="135" t="s">
        <v>913</v>
      </c>
      <c r="B123" s="34" t="s">
        <v>914</v>
      </c>
      <c r="C123" s="16">
        <f>('DOE25'!L208)+('DOE25'!L226)+('DOE25'!L244)</f>
        <v>198556.13</v>
      </c>
      <c r="D123" s="15" t="s">
        <v>31</v>
      </c>
      <c r="E123" s="16">
        <f>+('DOE25'!L287)+('DOE25'!L306)+('DOE25'!L325)</f>
        <v>1557.5</v>
      </c>
      <c r="F123" s="15" t="s">
        <v>31</v>
      </c>
      <c r="G123" s="15" t="s">
        <v>31</v>
      </c>
      <c r="H123" s="3">
        <f t="shared" si="27"/>
        <v>200113.63</v>
      </c>
      <c r="I123" s="7"/>
    </row>
    <row r="124" spans="1:9" ht="11.25" customHeight="1">
      <c r="A124" s="135" t="s">
        <v>915</v>
      </c>
      <c r="B124" s="34" t="s">
        <v>916</v>
      </c>
      <c r="C124" s="16">
        <f>('DOE25'!L209)+('DOE25'!L227)+('DOE25'!L245+'DOE25'!L255)</f>
        <v>132400</v>
      </c>
      <c r="D124" s="15" t="s">
        <v>31</v>
      </c>
      <c r="E124" s="16">
        <f>+('DOE25'!L288)+('DOE25'!L307)+('DOE25'!L326)</f>
        <v>3432.78</v>
      </c>
      <c r="F124" s="15" t="s">
        <v>31</v>
      </c>
      <c r="G124" s="15" t="s">
        <v>31</v>
      </c>
      <c r="H124" s="3">
        <f t="shared" si="27"/>
        <v>135832.78</v>
      </c>
      <c r="I124" s="7"/>
    </row>
    <row r="125" spans="1:9" ht="11.25" customHeight="1">
      <c r="A125" s="135" t="s">
        <v>917</v>
      </c>
      <c r="B125" s="34" t="s">
        <v>918</v>
      </c>
      <c r="C125" s="16">
        <f>('DOE25'!L210)+('DOE25'!L228)+('DOE25'!L246)</f>
        <v>9096</v>
      </c>
      <c r="D125" s="15" t="s">
        <v>31</v>
      </c>
      <c r="E125" s="16">
        <f>+('DOE25'!L289)+('DOE25'!L308)+('DOE25'!L327)</f>
        <v>0</v>
      </c>
      <c r="F125" s="15" t="s">
        <v>31</v>
      </c>
      <c r="G125" s="15" t="s">
        <v>31</v>
      </c>
      <c r="H125" s="3">
        <f t="shared" si="27"/>
        <v>9096</v>
      </c>
      <c r="I125" s="7"/>
    </row>
    <row r="126" spans="1:9" ht="11.25" customHeight="1">
      <c r="A126" s="135" t="s">
        <v>919</v>
      </c>
      <c r="B126" s="34" t="s">
        <v>920</v>
      </c>
      <c r="C126" s="15" t="s">
        <v>31</v>
      </c>
      <c r="D126" s="15" t="s">
        <v>31</v>
      </c>
      <c r="E126" s="15" t="s">
        <v>31</v>
      </c>
      <c r="F126" s="15" t="s">
        <v>31</v>
      </c>
      <c r="G126" s="15" t="s">
        <v>31</v>
      </c>
      <c r="H126" s="15" t="s">
        <v>31</v>
      </c>
      <c r="I126" s="7"/>
    </row>
    <row r="127" spans="1:9" ht="11.25" customHeight="1">
      <c r="A127" s="135" t="s">
        <v>921</v>
      </c>
      <c r="B127" s="34" t="s">
        <v>922</v>
      </c>
      <c r="C127" s="15" t="s">
        <v>31</v>
      </c>
      <c r="D127" s="16">
        <f>('DOE25'!L359)+('DOE25'!L360)+('DOE25'!L361)</f>
        <v>76238.62</v>
      </c>
      <c r="E127" s="15" t="s">
        <v>31</v>
      </c>
      <c r="F127" s="15" t="s">
        <v>31</v>
      </c>
      <c r="G127" s="15" t="s">
        <v>31</v>
      </c>
      <c r="H127" s="3">
        <f t="shared" ref="H127:H128" si="28">SUM(C127:G127)</f>
        <v>76238.62</v>
      </c>
      <c r="I127" s="7"/>
    </row>
    <row r="128" spans="1:9" ht="11.25" customHeight="1">
      <c r="A128" s="49" t="s">
        <v>923</v>
      </c>
      <c r="C128" s="214">
        <f t="shared" ref="C128:G128" si="29">SUM(C118:C127)</f>
        <v>875884.49</v>
      </c>
      <c r="D128" s="214">
        <f t="shared" si="29"/>
        <v>76238.62</v>
      </c>
      <c r="E128" s="214">
        <f t="shared" si="29"/>
        <v>21562.23</v>
      </c>
      <c r="F128" s="214">
        <f t="shared" si="29"/>
        <v>0</v>
      </c>
      <c r="G128" s="214">
        <f t="shared" si="29"/>
        <v>0</v>
      </c>
      <c r="H128" s="214">
        <f t="shared" si="28"/>
        <v>973685.34</v>
      </c>
      <c r="I128" s="7"/>
    </row>
    <row r="129" spans="1:9" ht="11.25" customHeight="1">
      <c r="A129" s="49" t="s">
        <v>924</v>
      </c>
      <c r="C129" s="15" t="s">
        <v>31</v>
      </c>
      <c r="D129" s="15" t="s">
        <v>31</v>
      </c>
      <c r="E129" s="15" t="s">
        <v>31</v>
      </c>
      <c r="F129" s="15" t="s">
        <v>31</v>
      </c>
      <c r="G129" s="15" t="s">
        <v>31</v>
      </c>
      <c r="H129" s="15" t="s">
        <v>31</v>
      </c>
      <c r="I129" s="7"/>
    </row>
    <row r="130" spans="1:9" ht="11.25" customHeight="1">
      <c r="A130" s="135" t="s">
        <v>925</v>
      </c>
      <c r="B130" s="34" t="s">
        <v>926</v>
      </c>
      <c r="C130" s="16">
        <f>'DOE25'!L256</f>
        <v>0</v>
      </c>
      <c r="D130" s="15" t="s">
        <v>31</v>
      </c>
      <c r="E130" s="215">
        <f>'DOE25'!L337</f>
        <v>0</v>
      </c>
      <c r="F130" s="215">
        <f>SUM('DOE25'!L375:'DOE25'!L381)</f>
        <v>0</v>
      </c>
      <c r="G130" s="15" t="s">
        <v>31</v>
      </c>
      <c r="H130" s="3">
        <f t="shared" ref="H130:H132" si="30">SUM(C130:G130)</f>
        <v>0</v>
      </c>
      <c r="I130" s="7"/>
    </row>
    <row r="131" spans="1:9" ht="11.25" customHeight="1">
      <c r="A131" s="135" t="s">
        <v>927</v>
      </c>
      <c r="B131" s="34">
        <v>5110</v>
      </c>
      <c r="C131" s="16">
        <f>'DOE25'!L261</f>
        <v>245000</v>
      </c>
      <c r="D131" s="15" t="s">
        <v>31</v>
      </c>
      <c r="E131" s="215">
        <f>'DOE25'!L342</f>
        <v>0</v>
      </c>
      <c r="F131" s="15" t="s">
        <v>31</v>
      </c>
      <c r="G131" s="15" t="s">
        <v>31</v>
      </c>
      <c r="H131" s="3">
        <f t="shared" si="30"/>
        <v>245000</v>
      </c>
      <c r="I131" s="7"/>
    </row>
    <row r="132" spans="1:9" ht="11.25" customHeight="1">
      <c r="A132" s="135" t="s">
        <v>928</v>
      </c>
      <c r="B132" s="34">
        <v>5120</v>
      </c>
      <c r="C132" s="16">
        <f>'DOE25'!L262</f>
        <v>82048.25</v>
      </c>
      <c r="D132" s="15" t="s">
        <v>31</v>
      </c>
      <c r="E132" s="215">
        <f>'DOE25'!L343</f>
        <v>0</v>
      </c>
      <c r="F132" s="15" t="s">
        <v>31</v>
      </c>
      <c r="G132" s="15" t="s">
        <v>31</v>
      </c>
      <c r="H132" s="3">
        <f t="shared" si="30"/>
        <v>82048.25</v>
      </c>
      <c r="I132" s="7"/>
    </row>
    <row r="133" spans="1:9" ht="11.25" customHeight="1">
      <c r="A133" s="49" t="s">
        <v>929</v>
      </c>
      <c r="C133" s="15" t="s">
        <v>31</v>
      </c>
      <c r="D133" s="15" t="s">
        <v>31</v>
      </c>
      <c r="E133" s="15" t="s">
        <v>31</v>
      </c>
      <c r="F133" s="15" t="s">
        <v>31</v>
      </c>
      <c r="G133" s="15" t="s">
        <v>31</v>
      </c>
      <c r="H133" s="15" t="s">
        <v>31</v>
      </c>
      <c r="I133" s="7"/>
    </row>
    <row r="134" spans="1:9" ht="11.25" customHeight="1">
      <c r="A134" s="135" t="s">
        <v>930</v>
      </c>
      <c r="B134" s="34">
        <v>5210</v>
      </c>
      <c r="C134" s="15" t="s">
        <v>31</v>
      </c>
      <c r="D134" s="16">
        <f>'DOE25'!K362</f>
        <v>0</v>
      </c>
      <c r="E134" s="16">
        <f>'DOE25'!L345</f>
        <v>0</v>
      </c>
      <c r="F134" s="16">
        <f>'DOE25'!K382</f>
        <v>0</v>
      </c>
      <c r="G134" s="16">
        <f>'DOE25'!K435</f>
        <v>0</v>
      </c>
      <c r="H134" s="3">
        <f t="shared" ref="H134:H145" si="31">SUM(C134:G134)</f>
        <v>0</v>
      </c>
      <c r="I134" s="7"/>
    </row>
    <row r="135" spans="1:9" ht="11.25" customHeight="1">
      <c r="A135" s="135" t="s">
        <v>931</v>
      </c>
      <c r="B135" s="34" t="s">
        <v>932</v>
      </c>
      <c r="C135" s="16">
        <f>'DOE25'!L264</f>
        <v>11311.42</v>
      </c>
      <c r="D135" s="15" t="s">
        <v>31</v>
      </c>
      <c r="E135" s="215">
        <f>'DOE25'!L346</f>
        <v>0</v>
      </c>
      <c r="F135" s="15" t="s">
        <v>31</v>
      </c>
      <c r="G135" s="15" t="s">
        <v>31</v>
      </c>
      <c r="H135" s="3">
        <f t="shared" si="31"/>
        <v>11311.42</v>
      </c>
      <c r="I135" s="7"/>
    </row>
    <row r="136" spans="1:9" ht="11.25" customHeight="1">
      <c r="A136" s="135" t="s">
        <v>933</v>
      </c>
      <c r="B136" s="34" t="s">
        <v>934</v>
      </c>
      <c r="C136" s="16">
        <f>'DOE25'!L265</f>
        <v>0</v>
      </c>
      <c r="D136" s="15" t="s">
        <v>31</v>
      </c>
      <c r="E136" s="15" t="s">
        <v>31</v>
      </c>
      <c r="F136" s="15" t="s">
        <v>31</v>
      </c>
      <c r="G136" s="15" t="s">
        <v>31</v>
      </c>
      <c r="H136" s="3">
        <f t="shared" si="31"/>
        <v>0</v>
      </c>
      <c r="I136" s="7"/>
    </row>
    <row r="137" spans="1:9" ht="11.25" customHeight="1">
      <c r="A137" s="135" t="s">
        <v>935</v>
      </c>
      <c r="B137" s="34" t="s">
        <v>881</v>
      </c>
      <c r="C137" s="16">
        <f>'DOE25'!L266</f>
        <v>0</v>
      </c>
      <c r="D137" s="15" t="s">
        <v>31</v>
      </c>
      <c r="E137" s="215">
        <f>'DOE25'!L347</f>
        <v>0</v>
      </c>
      <c r="F137" s="15" t="s">
        <v>31</v>
      </c>
      <c r="G137" s="15" t="s">
        <v>31</v>
      </c>
      <c r="H137" s="3">
        <f t="shared" si="31"/>
        <v>0</v>
      </c>
      <c r="I137" s="7"/>
    </row>
    <row r="138" spans="1:9" ht="11.25" customHeight="1">
      <c r="A138" s="135" t="s">
        <v>936</v>
      </c>
      <c r="B138" s="34">
        <v>5251</v>
      </c>
      <c r="C138" s="16">
        <f>'DOE25'!L394</f>
        <v>10000</v>
      </c>
      <c r="D138" s="15" t="s">
        <v>31</v>
      </c>
      <c r="E138" s="15" t="s">
        <v>31</v>
      </c>
      <c r="F138" s="15" t="s">
        <v>31</v>
      </c>
      <c r="G138" s="15" t="s">
        <v>31</v>
      </c>
      <c r="H138" s="3">
        <f t="shared" si="31"/>
        <v>10000</v>
      </c>
      <c r="I138" s="7"/>
    </row>
    <row r="139" spans="1:9" ht="11.25" customHeight="1">
      <c r="A139" s="135" t="s">
        <v>937</v>
      </c>
      <c r="B139" s="34">
        <v>5252</v>
      </c>
      <c r="C139" s="16">
        <f>'DOE25'!L402</f>
        <v>40268.269999999997</v>
      </c>
      <c r="D139" s="15" t="s">
        <v>31</v>
      </c>
      <c r="E139" s="15" t="s">
        <v>31</v>
      </c>
      <c r="F139" s="15" t="s">
        <v>31</v>
      </c>
      <c r="G139" s="15" t="s">
        <v>31</v>
      </c>
      <c r="H139" s="3">
        <f t="shared" si="31"/>
        <v>40268.269999999997</v>
      </c>
      <c r="I139" s="7"/>
    </row>
    <row r="140" spans="1:9" ht="11.25" customHeight="1">
      <c r="A140" s="135" t="s">
        <v>938</v>
      </c>
      <c r="B140" s="34">
        <v>5253</v>
      </c>
      <c r="C140" s="16">
        <f>'DOE25'!L408</f>
        <v>0</v>
      </c>
      <c r="D140" s="15" t="s">
        <v>31</v>
      </c>
      <c r="E140" s="15" t="s">
        <v>31</v>
      </c>
      <c r="F140" s="15" t="s">
        <v>31</v>
      </c>
      <c r="G140" s="15" t="s">
        <v>31</v>
      </c>
      <c r="H140" s="3">
        <f t="shared" si="31"/>
        <v>0</v>
      </c>
      <c r="I140" s="7"/>
    </row>
    <row r="141" spans="1:9" ht="11.25" customHeight="1">
      <c r="A141" s="135" t="s">
        <v>939</v>
      </c>
      <c r="B141" s="34">
        <v>5254</v>
      </c>
      <c r="C141" s="16"/>
      <c r="D141" s="15" t="s">
        <v>31</v>
      </c>
      <c r="E141" s="15" t="s">
        <v>31</v>
      </c>
      <c r="F141" s="15" t="s">
        <v>31</v>
      </c>
      <c r="G141" s="15" t="s">
        <v>31</v>
      </c>
      <c r="H141" s="3">
        <f t="shared" si="31"/>
        <v>0</v>
      </c>
      <c r="I141" s="7"/>
    </row>
    <row r="142" spans="1:9" ht="11.25" customHeight="1">
      <c r="A142" s="135" t="s">
        <v>940</v>
      </c>
      <c r="B142" s="34">
        <v>5310</v>
      </c>
      <c r="C142" s="215">
        <f>'DOE25'!L269</f>
        <v>0</v>
      </c>
      <c r="D142" s="15" t="s">
        <v>31</v>
      </c>
      <c r="E142" s="215">
        <f>'DOE25'!L350</f>
        <v>0</v>
      </c>
      <c r="F142" s="15" t="s">
        <v>31</v>
      </c>
      <c r="G142" s="15" t="s">
        <v>31</v>
      </c>
      <c r="H142" s="3">
        <f t="shared" si="31"/>
        <v>0</v>
      </c>
      <c r="I142" s="7"/>
    </row>
    <row r="143" spans="1:9" ht="11.25" customHeight="1">
      <c r="A143" s="135" t="s">
        <v>941</v>
      </c>
      <c r="B143" s="34">
        <v>5390</v>
      </c>
      <c r="C143" s="215">
        <f>'DOE25'!L270</f>
        <v>0</v>
      </c>
      <c r="D143" s="15" t="s">
        <v>31</v>
      </c>
      <c r="E143" s="215">
        <f>'DOE25'!L351</f>
        <v>0</v>
      </c>
      <c r="F143" s="15" t="s">
        <v>31</v>
      </c>
      <c r="G143" s="15" t="s">
        <v>31</v>
      </c>
      <c r="H143" s="3">
        <f t="shared" si="31"/>
        <v>0</v>
      </c>
      <c r="I143" s="7"/>
    </row>
    <row r="144" spans="1:9" ht="11.25" customHeight="1">
      <c r="A144" s="49" t="s">
        <v>942</v>
      </c>
      <c r="C144" s="216">
        <f t="shared" ref="C144:G144" si="32">SUM(C130:C143)</f>
        <v>388627.94</v>
      </c>
      <c r="D144" s="216">
        <f t="shared" si="32"/>
        <v>0</v>
      </c>
      <c r="E144" s="216">
        <f t="shared" si="32"/>
        <v>0</v>
      </c>
      <c r="F144" s="216">
        <f t="shared" si="32"/>
        <v>0</v>
      </c>
      <c r="G144" s="216">
        <f t="shared" si="32"/>
        <v>0</v>
      </c>
      <c r="H144" s="216">
        <f t="shared" si="31"/>
        <v>388627.94</v>
      </c>
      <c r="I144" s="7"/>
    </row>
    <row r="145" spans="1:9" ht="11.25" customHeight="1">
      <c r="A145" s="49" t="s">
        <v>943</v>
      </c>
      <c r="C145" s="214">
        <f t="shared" ref="C145:G145" si="33">(C115+C128+C144)</f>
        <v>2988658.72</v>
      </c>
      <c r="D145" s="214">
        <f t="shared" si="33"/>
        <v>76238.62</v>
      </c>
      <c r="E145" s="214">
        <f t="shared" si="33"/>
        <v>28967.599999999999</v>
      </c>
      <c r="F145" s="214">
        <f t="shared" si="33"/>
        <v>0</v>
      </c>
      <c r="G145" s="214">
        <f t="shared" si="33"/>
        <v>0</v>
      </c>
      <c r="H145" s="214">
        <f t="shared" si="31"/>
        <v>3093864.9400000004</v>
      </c>
      <c r="I145" s="7"/>
    </row>
    <row r="146" spans="1:9" ht="11.25" customHeight="1">
      <c r="A146" s="49"/>
      <c r="H146" s="7"/>
      <c r="I146" s="7"/>
    </row>
    <row r="147" spans="1:9" ht="11.25" customHeight="1">
      <c r="H147" s="7"/>
      <c r="I147" s="7"/>
    </row>
    <row r="148" spans="1:9" ht="11.25" customHeight="1">
      <c r="A148" s="78" t="s">
        <v>944</v>
      </c>
      <c r="B148" s="7"/>
      <c r="C148" s="10"/>
      <c r="D148" s="28"/>
      <c r="E148" s="28"/>
      <c r="F148" s="28"/>
      <c r="G148" s="28"/>
      <c r="H148" s="7"/>
      <c r="I148" s="7"/>
    </row>
    <row r="149" spans="1:9" ht="11.25" customHeight="1">
      <c r="A149" s="61" t="s">
        <v>945</v>
      </c>
      <c r="B149" s="34" t="s">
        <v>5</v>
      </c>
      <c r="C149" s="34" t="s">
        <v>6</v>
      </c>
      <c r="D149" s="34" t="s">
        <v>7</v>
      </c>
      <c r="E149" s="34" t="s">
        <v>8</v>
      </c>
      <c r="F149" s="34" t="s">
        <v>9</v>
      </c>
      <c r="G149" s="34" t="s">
        <v>10</v>
      </c>
      <c r="H149" s="28"/>
      <c r="I149" s="28"/>
    </row>
    <row r="150" spans="1:9" ht="11.25" customHeight="1">
      <c r="A150" s="78" t="s">
        <v>406</v>
      </c>
      <c r="B150" s="34" t="s">
        <v>407</v>
      </c>
      <c r="C150" s="34" t="s">
        <v>408</v>
      </c>
      <c r="D150" s="34" t="s">
        <v>409</v>
      </c>
      <c r="E150" s="34" t="s">
        <v>410</v>
      </c>
      <c r="F150" s="34" t="s">
        <v>411</v>
      </c>
      <c r="G150" s="34" t="s">
        <v>307</v>
      </c>
      <c r="H150" s="7"/>
      <c r="I150" s="7"/>
    </row>
    <row r="151" spans="1:9" ht="11.25" customHeight="1">
      <c r="A151" s="61" t="s">
        <v>946</v>
      </c>
      <c r="B151" s="217">
        <f>'DOE25'!F491</f>
        <v>20</v>
      </c>
      <c r="C151" s="217">
        <f>'DOE25'!G491</f>
        <v>0</v>
      </c>
      <c r="D151" s="217">
        <f>'DOE25'!H491</f>
        <v>0</v>
      </c>
      <c r="E151" s="217">
        <f>'DOE25'!I491</f>
        <v>0</v>
      </c>
      <c r="F151" s="217">
        <f>'DOE25'!J491</f>
        <v>0</v>
      </c>
      <c r="G151" s="15" t="s">
        <v>31</v>
      </c>
      <c r="H151" s="7"/>
      <c r="I151" s="7"/>
    </row>
    <row r="152" spans="1:9" ht="11.25" customHeight="1">
      <c r="A152" s="61" t="s">
        <v>947</v>
      </c>
      <c r="B152" s="218" t="str">
        <f>'DOE25'!F492</f>
        <v>07/09</v>
      </c>
      <c r="C152" s="218">
        <f>'DOE25'!G492</f>
        <v>0</v>
      </c>
      <c r="D152" s="218">
        <f>'DOE25'!H492</f>
        <v>0</v>
      </c>
      <c r="E152" s="218">
        <f>'DOE25'!I492</f>
        <v>0</v>
      </c>
      <c r="F152" s="218">
        <f>'DOE25'!J492</f>
        <v>0</v>
      </c>
      <c r="G152" s="15" t="s">
        <v>31</v>
      </c>
      <c r="H152" s="7"/>
      <c r="I152" s="7"/>
    </row>
    <row r="153" spans="1:9" ht="11.25" customHeight="1">
      <c r="A153" s="61" t="s">
        <v>948</v>
      </c>
      <c r="B153" s="218" t="str">
        <f>'DOE25'!F493</f>
        <v>08/29</v>
      </c>
      <c r="C153" s="218">
        <f>'DOE25'!G493</f>
        <v>0</v>
      </c>
      <c r="D153" s="218">
        <f>'DOE25'!H493</f>
        <v>0</v>
      </c>
      <c r="E153" s="218">
        <f>'DOE25'!I493</f>
        <v>0</v>
      </c>
      <c r="F153" s="218">
        <f>'DOE25'!J493</f>
        <v>0</v>
      </c>
      <c r="G153" s="15" t="s">
        <v>31</v>
      </c>
      <c r="H153" s="7"/>
      <c r="I153" s="7"/>
    </row>
    <row r="154" spans="1:9" ht="11.25" customHeight="1">
      <c r="A154" s="61" t="s">
        <v>949</v>
      </c>
      <c r="B154" s="28">
        <f>'DOE25'!F494</f>
        <v>4975910</v>
      </c>
      <c r="C154" s="28">
        <f>'DOE25'!G494</f>
        <v>0</v>
      </c>
      <c r="D154" s="28">
        <f>'DOE25'!H494</f>
        <v>0</v>
      </c>
      <c r="E154" s="28">
        <f>'DOE25'!I494</f>
        <v>0</v>
      </c>
      <c r="F154" s="28">
        <f>'DOE25'!J494</f>
        <v>0</v>
      </c>
      <c r="G154" s="15" t="s">
        <v>31</v>
      </c>
      <c r="H154" s="7"/>
      <c r="I154" s="7"/>
    </row>
    <row r="155" spans="1:9" ht="11.25" customHeight="1">
      <c r="A155" s="61" t="s">
        <v>950</v>
      </c>
      <c r="B155" s="28" t="str">
        <f>'DOE25'!F495</f>
        <v>3.97</v>
      </c>
      <c r="C155" s="28">
        <f>'DOE25'!G495</f>
        <v>0</v>
      </c>
      <c r="D155" s="28">
        <f>'DOE25'!H495</f>
        <v>0</v>
      </c>
      <c r="E155" s="28">
        <f>'DOE25'!I495</f>
        <v>0</v>
      </c>
      <c r="F155" s="28">
        <f>'DOE25'!J495</f>
        <v>0</v>
      </c>
      <c r="G155" s="15" t="s">
        <v>31</v>
      </c>
      <c r="H155" s="7"/>
      <c r="I155" s="7"/>
    </row>
    <row r="156" spans="1:9" ht="11.25" customHeight="1">
      <c r="A156" s="61" t="s">
        <v>951</v>
      </c>
      <c r="B156" s="28">
        <f>'DOE25'!F496</f>
        <v>2195000</v>
      </c>
      <c r="C156" s="28">
        <f>'DOE25'!G496</f>
        <v>0</v>
      </c>
      <c r="D156" s="28">
        <f>'DOE25'!H496</f>
        <v>0</v>
      </c>
      <c r="E156" s="28">
        <f>'DOE25'!I496</f>
        <v>0</v>
      </c>
      <c r="F156" s="28">
        <f>'DOE25'!J496</f>
        <v>0</v>
      </c>
      <c r="G156" s="219">
        <f t="shared" ref="G156:G164" si="34">SUM(B156:F156)</f>
        <v>2195000</v>
      </c>
      <c r="H156" s="7"/>
      <c r="I156" s="7"/>
    </row>
    <row r="157" spans="1:9" ht="11.25" customHeight="1">
      <c r="A157" s="61" t="s">
        <v>952</v>
      </c>
      <c r="B157" s="28">
        <f>'DOE25'!F497</f>
        <v>0</v>
      </c>
      <c r="C157" s="28">
        <f>'DOE25'!G497</f>
        <v>0</v>
      </c>
      <c r="D157" s="28">
        <f>'DOE25'!H497</f>
        <v>0</v>
      </c>
      <c r="E157" s="28">
        <f>'DOE25'!I497</f>
        <v>0</v>
      </c>
      <c r="F157" s="28">
        <f>'DOE25'!J497</f>
        <v>0</v>
      </c>
      <c r="G157" s="219">
        <f t="shared" si="34"/>
        <v>0</v>
      </c>
      <c r="H157" s="7"/>
      <c r="I157" s="7"/>
    </row>
    <row r="158" spans="1:9" ht="11.25" customHeight="1">
      <c r="A158" s="61" t="s">
        <v>953</v>
      </c>
      <c r="B158" s="28">
        <f>'DOE25'!F498</f>
        <v>245000</v>
      </c>
      <c r="C158" s="28">
        <f>'DOE25'!G498</f>
        <v>0</v>
      </c>
      <c r="D158" s="28">
        <f>'DOE25'!H498</f>
        <v>0</v>
      </c>
      <c r="E158" s="28">
        <f>'DOE25'!I498</f>
        <v>0</v>
      </c>
      <c r="F158" s="28">
        <f>'DOE25'!J498</f>
        <v>0</v>
      </c>
      <c r="G158" s="219">
        <f t="shared" si="34"/>
        <v>245000</v>
      </c>
      <c r="H158" s="7"/>
      <c r="I158" s="7"/>
    </row>
    <row r="159" spans="1:9" ht="11.25" customHeight="1">
      <c r="A159" s="61" t="s">
        <v>954</v>
      </c>
      <c r="B159" s="28">
        <f>'DOE25'!F499</f>
        <v>1950000</v>
      </c>
      <c r="C159" s="28">
        <f>'DOE25'!G499</f>
        <v>0</v>
      </c>
      <c r="D159" s="28">
        <f>'DOE25'!H499</f>
        <v>0</v>
      </c>
      <c r="E159" s="28">
        <f>'DOE25'!I499</f>
        <v>0</v>
      </c>
      <c r="F159" s="28">
        <f>'DOE25'!J499</f>
        <v>0</v>
      </c>
      <c r="G159" s="219">
        <f t="shared" si="34"/>
        <v>1950000</v>
      </c>
      <c r="H159" s="7"/>
      <c r="I159" s="7"/>
    </row>
    <row r="160" spans="1:9" ht="11.25" customHeight="1">
      <c r="A160" s="61" t="s">
        <v>955</v>
      </c>
      <c r="B160" s="28">
        <f>'DOE25'!F500</f>
        <v>518254.75</v>
      </c>
      <c r="C160" s="28">
        <f>'DOE25'!G500</f>
        <v>0</v>
      </c>
      <c r="D160" s="28">
        <f>'DOE25'!H500</f>
        <v>0</v>
      </c>
      <c r="E160" s="28">
        <f>'DOE25'!I500</f>
        <v>0</v>
      </c>
      <c r="F160" s="28">
        <f>'DOE25'!J500</f>
        <v>0</v>
      </c>
      <c r="G160" s="219">
        <f t="shared" si="34"/>
        <v>518254.75</v>
      </c>
      <c r="H160" s="7"/>
      <c r="I160" s="7"/>
    </row>
    <row r="161" spans="1:9" ht="11.25" customHeight="1">
      <c r="A161" s="61" t="s">
        <v>956</v>
      </c>
      <c r="B161" s="28">
        <f>'DOE25'!F501</f>
        <v>2468254.75</v>
      </c>
      <c r="C161" s="28">
        <f>'DOE25'!G501</f>
        <v>0</v>
      </c>
      <c r="D161" s="28">
        <f>'DOE25'!H501</f>
        <v>0</v>
      </c>
      <c r="E161" s="28">
        <f>'DOE25'!I501</f>
        <v>0</v>
      </c>
      <c r="F161" s="28">
        <f>'DOE25'!J501</f>
        <v>0</v>
      </c>
      <c r="G161" s="219">
        <f t="shared" si="34"/>
        <v>2468254.75</v>
      </c>
      <c r="H161" s="7"/>
      <c r="I161" s="7"/>
    </row>
    <row r="162" spans="1:9" ht="11.25" customHeight="1">
      <c r="A162" s="61" t="s">
        <v>957</v>
      </c>
      <c r="B162" s="28">
        <f>'DOE25'!F502</f>
        <v>245000</v>
      </c>
      <c r="C162" s="28">
        <f>'DOE25'!G502</f>
        <v>0</v>
      </c>
      <c r="D162" s="28">
        <f>'DOE25'!H502</f>
        <v>0</v>
      </c>
      <c r="E162" s="28">
        <f>'DOE25'!I502</f>
        <v>0</v>
      </c>
      <c r="F162" s="28">
        <f>'DOE25'!J502</f>
        <v>0</v>
      </c>
      <c r="G162" s="219">
        <f t="shared" si="34"/>
        <v>245000</v>
      </c>
      <c r="H162" s="7"/>
      <c r="I162" s="7"/>
    </row>
    <row r="163" spans="1:9" ht="11.25" customHeight="1">
      <c r="A163" s="61" t="s">
        <v>958</v>
      </c>
      <c r="B163" s="28">
        <f>'DOE25'!F503</f>
        <v>94809.56</v>
      </c>
      <c r="C163" s="28">
        <f>'DOE25'!G503</f>
        <v>0</v>
      </c>
      <c r="D163" s="28">
        <f>'DOE25'!H503</f>
        <v>0</v>
      </c>
      <c r="E163" s="28">
        <f>'DOE25'!I503</f>
        <v>0</v>
      </c>
      <c r="F163" s="28">
        <f>'DOE25'!J503</f>
        <v>0</v>
      </c>
      <c r="G163" s="219">
        <f t="shared" si="34"/>
        <v>94809.56</v>
      </c>
      <c r="H163" s="7"/>
      <c r="I163" s="7"/>
    </row>
    <row r="164" spans="1:9" ht="11.25" customHeight="1">
      <c r="A164" s="61" t="s">
        <v>959</v>
      </c>
      <c r="B164" s="28">
        <f>'DOE25'!F504</f>
        <v>339809.56</v>
      </c>
      <c r="C164" s="28">
        <f>'DOE25'!G504</f>
        <v>0</v>
      </c>
      <c r="D164" s="28">
        <f>'DOE25'!H504</f>
        <v>0</v>
      </c>
      <c r="E164" s="28">
        <f>'DOE25'!I504</f>
        <v>0</v>
      </c>
      <c r="F164" s="28">
        <f>'DOE25'!J504</f>
        <v>0</v>
      </c>
      <c r="G164" s="219">
        <f t="shared" si="34"/>
        <v>339809.56</v>
      </c>
      <c r="H164" s="7"/>
      <c r="I164" s="7"/>
    </row>
    <row r="165" spans="1:9" ht="11.25" customHeight="1">
      <c r="H165" s="7"/>
      <c r="I165" s="7"/>
    </row>
    <row r="166" spans="1:9" ht="11.25" customHeight="1">
      <c r="H166" s="7"/>
      <c r="I166" s="7"/>
    </row>
    <row r="167" spans="1:9" ht="11.25" customHeight="1">
      <c r="H167" s="7"/>
      <c r="I167" s="7"/>
    </row>
    <row r="168" spans="1:9" ht="11.25" customHeight="1">
      <c r="H168" s="7"/>
      <c r="I168" s="7"/>
    </row>
    <row r="169" spans="1:9" ht="11.25" customHeight="1">
      <c r="H169" s="7"/>
      <c r="I169" s="7"/>
    </row>
    <row r="170" spans="1:9" ht="11.25" customHeight="1">
      <c r="H170" s="7"/>
      <c r="I170" s="7"/>
    </row>
    <row r="171" spans="1:9" ht="11.25" customHeight="1">
      <c r="H171" s="7"/>
      <c r="I171" s="7"/>
    </row>
    <row r="172" spans="1:9" ht="11.25" customHeight="1">
      <c r="H172" s="7"/>
      <c r="I172" s="7"/>
    </row>
    <row r="173" spans="1:9" ht="11.25" customHeight="1">
      <c r="H173" s="7"/>
      <c r="I173" s="7"/>
    </row>
    <row r="174" spans="1:9" ht="11.25" customHeight="1">
      <c r="H174" s="7"/>
      <c r="I174" s="7"/>
    </row>
    <row r="175" spans="1:9" ht="11.25" customHeight="1">
      <c r="H175" s="7"/>
      <c r="I175" s="7"/>
    </row>
    <row r="176" spans="1:9" ht="11.25" customHeight="1">
      <c r="H176" s="7"/>
      <c r="I176" s="7"/>
    </row>
    <row r="177" spans="8:9" ht="11.25" customHeight="1">
      <c r="H177" s="7"/>
      <c r="I177" s="7"/>
    </row>
    <row r="178" spans="8:9" ht="11.25" customHeight="1">
      <c r="H178" s="7"/>
      <c r="I178" s="7"/>
    </row>
    <row r="179" spans="8:9" ht="11.25" customHeight="1">
      <c r="H179" s="7"/>
      <c r="I179" s="7"/>
    </row>
    <row r="180" spans="8:9" ht="11.25" customHeight="1">
      <c r="H180" s="7"/>
      <c r="I180" s="7"/>
    </row>
    <row r="181" spans="8:9" ht="11.25" customHeight="1">
      <c r="H181" s="7"/>
      <c r="I181" s="7"/>
    </row>
    <row r="182" spans="8:9" ht="11.25" customHeight="1">
      <c r="H182" s="7"/>
      <c r="I182" s="7"/>
    </row>
    <row r="183" spans="8:9" ht="11.25" customHeight="1">
      <c r="H183" s="7"/>
      <c r="I183" s="7"/>
    </row>
    <row r="184" spans="8:9" ht="11.25" customHeight="1">
      <c r="H184" s="7"/>
      <c r="I184" s="7"/>
    </row>
    <row r="185" spans="8:9" ht="11.25" customHeight="1">
      <c r="H185" s="7"/>
      <c r="I185" s="7"/>
    </row>
    <row r="186" spans="8:9" ht="11.25" customHeight="1">
      <c r="H186" s="7"/>
      <c r="I186" s="7"/>
    </row>
    <row r="187" spans="8:9" ht="11.25" customHeight="1">
      <c r="H187" s="7"/>
      <c r="I187" s="7"/>
    </row>
    <row r="188" spans="8:9" ht="11.25" customHeight="1">
      <c r="H188" s="7"/>
      <c r="I188" s="7"/>
    </row>
    <row r="189" spans="8:9" ht="11.25" customHeight="1">
      <c r="H189" s="7"/>
      <c r="I189" s="7"/>
    </row>
    <row r="190" spans="8:9" ht="11.25" customHeight="1">
      <c r="H190" s="7"/>
      <c r="I190" s="7"/>
    </row>
    <row r="191" spans="8:9" ht="11.25" customHeight="1">
      <c r="H191" s="7"/>
      <c r="I191" s="7"/>
    </row>
    <row r="192" spans="8:9" ht="11.25" customHeight="1">
      <c r="H192" s="7"/>
      <c r="I192" s="7"/>
    </row>
    <row r="193" spans="8:9" ht="11.25" customHeight="1">
      <c r="H193" s="7"/>
      <c r="I193" s="7"/>
    </row>
    <row r="194" spans="8:9" ht="11.25" customHeight="1">
      <c r="H194" s="7"/>
      <c r="I194" s="7"/>
    </row>
    <row r="195" spans="8:9" ht="11.25" customHeight="1">
      <c r="H195" s="7"/>
      <c r="I195" s="7"/>
    </row>
    <row r="196" spans="8:9" ht="11.25" customHeight="1">
      <c r="H196" s="7"/>
      <c r="I196" s="7"/>
    </row>
    <row r="197" spans="8:9" ht="11.25" customHeight="1">
      <c r="H197" s="7"/>
      <c r="I197" s="7"/>
    </row>
    <row r="198" spans="8:9" ht="11.25" customHeight="1">
      <c r="H198" s="7"/>
      <c r="I198" s="7"/>
    </row>
    <row r="199" spans="8:9" ht="11.25" customHeight="1">
      <c r="H199" s="7"/>
      <c r="I199" s="7"/>
    </row>
    <row r="200" spans="8:9" ht="11.25" customHeight="1">
      <c r="H200" s="7"/>
      <c r="I200" s="7"/>
    </row>
    <row r="201" spans="8:9" ht="11.25" customHeight="1">
      <c r="H201" s="7"/>
      <c r="I201" s="7"/>
    </row>
    <row r="202" spans="8:9" ht="11.25" customHeight="1">
      <c r="H202" s="7"/>
      <c r="I202" s="7"/>
    </row>
    <row r="203" spans="8:9" ht="11.25" customHeight="1">
      <c r="H203" s="7"/>
      <c r="I203" s="7"/>
    </row>
    <row r="204" spans="8:9" ht="11.25" customHeight="1">
      <c r="H204" s="7"/>
      <c r="I204" s="7"/>
    </row>
    <row r="205" spans="8:9" ht="11.25" customHeight="1">
      <c r="H205" s="7"/>
      <c r="I205" s="7"/>
    </row>
    <row r="206" spans="8:9" ht="11.25" customHeight="1">
      <c r="H206" s="7"/>
      <c r="I206" s="7"/>
    </row>
    <row r="207" spans="8:9" ht="11.25" customHeight="1">
      <c r="H207" s="7"/>
      <c r="I207" s="7"/>
    </row>
    <row r="208" spans="8:9" ht="11.25" customHeight="1">
      <c r="H208" s="7"/>
      <c r="I208" s="7"/>
    </row>
    <row r="209" spans="8:9" ht="11.25" customHeight="1">
      <c r="H209" s="7"/>
      <c r="I209" s="7"/>
    </row>
    <row r="210" spans="8:9" ht="11.25" customHeight="1">
      <c r="H210" s="7"/>
      <c r="I210" s="7"/>
    </row>
    <row r="211" spans="8:9" ht="11.25" customHeight="1">
      <c r="H211" s="7"/>
      <c r="I211" s="7"/>
    </row>
    <row r="212" spans="8:9" ht="11.25" customHeight="1">
      <c r="H212" s="7"/>
      <c r="I212" s="7"/>
    </row>
    <row r="213" spans="8:9" ht="11.25" customHeight="1">
      <c r="H213" s="7"/>
      <c r="I213" s="7"/>
    </row>
    <row r="214" spans="8:9" ht="11.25" customHeight="1">
      <c r="H214" s="7"/>
      <c r="I214" s="7"/>
    </row>
    <row r="215" spans="8:9" ht="11.25" customHeight="1">
      <c r="H215" s="7"/>
      <c r="I215" s="7"/>
    </row>
    <row r="216" spans="8:9" ht="11.25" customHeight="1">
      <c r="H216" s="7"/>
      <c r="I216" s="7"/>
    </row>
    <row r="217" spans="8:9" ht="11.25" customHeight="1">
      <c r="H217" s="7"/>
      <c r="I217" s="7"/>
    </row>
    <row r="218" spans="8:9" ht="11.25" customHeight="1">
      <c r="H218" s="7"/>
      <c r="I218" s="7"/>
    </row>
    <row r="219" spans="8:9" ht="11.25" customHeight="1">
      <c r="H219" s="7"/>
      <c r="I219" s="7"/>
    </row>
    <row r="220" spans="8:9" ht="11.25" customHeight="1">
      <c r="H220" s="7"/>
      <c r="I220" s="7"/>
    </row>
    <row r="221" spans="8:9" ht="11.25" customHeight="1">
      <c r="H221" s="7"/>
      <c r="I221" s="7"/>
    </row>
    <row r="222" spans="8:9" ht="11.25" customHeight="1">
      <c r="H222" s="7"/>
      <c r="I222" s="7"/>
    </row>
    <row r="223" spans="8:9" ht="11.25" customHeight="1">
      <c r="H223" s="7"/>
      <c r="I223" s="7"/>
    </row>
    <row r="224" spans="8:9" ht="11.25" customHeight="1">
      <c r="H224" s="7"/>
      <c r="I224" s="7"/>
    </row>
    <row r="225" spans="8:9" ht="11.25" customHeight="1">
      <c r="H225" s="7"/>
      <c r="I225" s="7"/>
    </row>
    <row r="226" spans="8:9" ht="11.25" customHeight="1">
      <c r="H226" s="7"/>
      <c r="I226" s="7"/>
    </row>
    <row r="227" spans="8:9" ht="11.25" customHeight="1">
      <c r="H227" s="7"/>
      <c r="I227" s="7"/>
    </row>
    <row r="228" spans="8:9" ht="11.25" customHeight="1">
      <c r="H228" s="7"/>
      <c r="I228" s="7"/>
    </row>
    <row r="229" spans="8:9" ht="11.25" customHeight="1">
      <c r="H229" s="7"/>
      <c r="I229" s="7"/>
    </row>
    <row r="230" spans="8:9" ht="11.25" customHeight="1">
      <c r="H230" s="7"/>
      <c r="I230" s="7"/>
    </row>
    <row r="231" spans="8:9" ht="11.25" customHeight="1">
      <c r="H231" s="7"/>
      <c r="I231" s="7"/>
    </row>
    <row r="232" spans="8:9" ht="11.25" customHeight="1">
      <c r="H232" s="7"/>
      <c r="I232" s="7"/>
    </row>
    <row r="233" spans="8:9" ht="11.25" customHeight="1">
      <c r="H233" s="7"/>
      <c r="I233" s="7"/>
    </row>
    <row r="234" spans="8:9" ht="11.25" customHeight="1">
      <c r="H234" s="7"/>
      <c r="I234" s="7"/>
    </row>
    <row r="235" spans="8:9" ht="11.25" customHeight="1">
      <c r="H235" s="7"/>
      <c r="I235" s="7"/>
    </row>
    <row r="236" spans="8:9" ht="11.25" customHeight="1">
      <c r="H236" s="7"/>
      <c r="I236" s="7"/>
    </row>
    <row r="237" spans="8:9" ht="11.25" customHeight="1">
      <c r="H237" s="7"/>
      <c r="I237" s="7"/>
    </row>
    <row r="238" spans="8:9" ht="11.25" customHeight="1">
      <c r="H238" s="7"/>
      <c r="I238" s="7"/>
    </row>
    <row r="239" spans="8:9" ht="11.25" customHeight="1">
      <c r="H239" s="7"/>
      <c r="I239" s="7"/>
    </row>
    <row r="240" spans="8:9" ht="11.25" customHeight="1">
      <c r="H240" s="7"/>
      <c r="I240" s="7"/>
    </row>
    <row r="241" spans="8:9" ht="11.25" customHeight="1">
      <c r="H241" s="7"/>
      <c r="I241" s="7"/>
    </row>
    <row r="242" spans="8:9" ht="11.25" customHeight="1">
      <c r="H242" s="7"/>
      <c r="I242" s="7"/>
    </row>
    <row r="243" spans="8:9" ht="11.25" customHeight="1">
      <c r="H243" s="7"/>
      <c r="I243" s="7"/>
    </row>
    <row r="244" spans="8:9" ht="11.25" customHeight="1">
      <c r="H244" s="7"/>
      <c r="I244" s="7"/>
    </row>
    <row r="245" spans="8:9" ht="11.25" customHeight="1">
      <c r="H245" s="7"/>
      <c r="I245" s="7"/>
    </row>
    <row r="246" spans="8:9" ht="11.25" customHeight="1">
      <c r="H246" s="7"/>
      <c r="I246" s="7"/>
    </row>
    <row r="247" spans="8:9" ht="11.25" customHeight="1">
      <c r="H247" s="7"/>
      <c r="I247" s="7"/>
    </row>
    <row r="248" spans="8:9" ht="11.25" customHeight="1">
      <c r="H248" s="7"/>
      <c r="I248" s="7"/>
    </row>
    <row r="249" spans="8:9" ht="11.25" customHeight="1">
      <c r="H249" s="7"/>
      <c r="I249" s="7"/>
    </row>
    <row r="250" spans="8:9" ht="11.25" customHeight="1">
      <c r="H250" s="7"/>
      <c r="I250" s="7"/>
    </row>
    <row r="251" spans="8:9" ht="11.25" customHeight="1">
      <c r="H251" s="7"/>
      <c r="I251" s="7"/>
    </row>
    <row r="252" spans="8:9" ht="11.25" customHeight="1">
      <c r="H252" s="7"/>
      <c r="I252" s="7"/>
    </row>
    <row r="253" spans="8:9" ht="11.25" customHeight="1">
      <c r="H253" s="7"/>
      <c r="I253" s="7"/>
    </row>
    <row r="254" spans="8:9" ht="11.25" customHeight="1">
      <c r="H254" s="7"/>
      <c r="I254" s="7"/>
    </row>
    <row r="255" spans="8:9" ht="11.25" customHeight="1">
      <c r="H255" s="7"/>
      <c r="I255" s="7"/>
    </row>
    <row r="256" spans="8:9" ht="11.25" customHeight="1">
      <c r="H256" s="7"/>
      <c r="I256" s="7"/>
    </row>
    <row r="257" spans="8:9" ht="11.25" customHeight="1">
      <c r="H257" s="7"/>
      <c r="I257" s="7"/>
    </row>
    <row r="258" spans="8:9" ht="11.25" customHeight="1">
      <c r="H258" s="7"/>
      <c r="I258" s="7"/>
    </row>
    <row r="259" spans="8:9" ht="11.25" customHeight="1">
      <c r="H259" s="7"/>
      <c r="I259" s="7"/>
    </row>
    <row r="260" spans="8:9" ht="11.25" customHeight="1">
      <c r="H260" s="7"/>
      <c r="I260" s="7"/>
    </row>
    <row r="261" spans="8:9" ht="11.25" customHeight="1">
      <c r="H261" s="7"/>
      <c r="I261" s="7"/>
    </row>
    <row r="262" spans="8:9" ht="11.25" customHeight="1">
      <c r="H262" s="7"/>
      <c r="I262" s="7"/>
    </row>
    <row r="263" spans="8:9" ht="11.25" customHeight="1">
      <c r="H263" s="7"/>
      <c r="I263" s="7"/>
    </row>
    <row r="264" spans="8:9" ht="11.25" customHeight="1">
      <c r="H264" s="7"/>
      <c r="I264" s="7"/>
    </row>
    <row r="265" spans="8:9" ht="11.25" customHeight="1">
      <c r="H265" s="7"/>
      <c r="I265" s="7"/>
    </row>
    <row r="266" spans="8:9" ht="11.25" customHeight="1">
      <c r="H266" s="7"/>
      <c r="I266" s="7"/>
    </row>
    <row r="267" spans="8:9" ht="11.25" customHeight="1">
      <c r="H267" s="7"/>
      <c r="I267" s="7"/>
    </row>
    <row r="268" spans="8:9" ht="11.25" customHeight="1">
      <c r="H268" s="7"/>
      <c r="I268" s="7"/>
    </row>
    <row r="269" spans="8:9" ht="11.25" customHeight="1">
      <c r="H269" s="7"/>
      <c r="I269" s="7"/>
    </row>
    <row r="270" spans="8:9" ht="11.25" customHeight="1">
      <c r="H270" s="7"/>
      <c r="I270" s="7"/>
    </row>
    <row r="271" spans="8:9" ht="11.25" customHeight="1">
      <c r="H271" s="7"/>
      <c r="I271" s="7"/>
    </row>
    <row r="272" spans="8:9" ht="11.25" customHeight="1">
      <c r="H272" s="7"/>
      <c r="I272" s="7"/>
    </row>
    <row r="273" spans="8:9" ht="11.25" customHeight="1">
      <c r="H273" s="7"/>
      <c r="I273" s="7"/>
    </row>
    <row r="274" spans="8:9" ht="11.25" customHeight="1">
      <c r="H274" s="7"/>
      <c r="I274" s="7"/>
    </row>
    <row r="275" spans="8:9" ht="11.25" customHeight="1">
      <c r="H275" s="7"/>
      <c r="I275" s="7"/>
    </row>
    <row r="276" spans="8:9" ht="11.25" customHeight="1">
      <c r="H276" s="7"/>
      <c r="I276" s="7"/>
    </row>
    <row r="277" spans="8:9" ht="11.25" customHeight="1">
      <c r="H277" s="7"/>
      <c r="I277" s="7"/>
    </row>
    <row r="278" spans="8:9" ht="11.25" customHeight="1">
      <c r="H278" s="7"/>
      <c r="I278" s="7"/>
    </row>
    <row r="279" spans="8:9" ht="11.25" customHeight="1">
      <c r="H279" s="7"/>
      <c r="I279" s="7"/>
    </row>
    <row r="280" spans="8:9" ht="11.25" customHeight="1">
      <c r="H280" s="7"/>
      <c r="I280" s="7"/>
    </row>
    <row r="281" spans="8:9" ht="11.25" customHeight="1">
      <c r="H281" s="7"/>
      <c r="I281" s="7"/>
    </row>
    <row r="282" spans="8:9" ht="11.25" customHeight="1">
      <c r="H282" s="7"/>
      <c r="I282" s="7"/>
    </row>
    <row r="283" spans="8:9" ht="11.25" customHeight="1">
      <c r="H283" s="7"/>
      <c r="I283" s="7"/>
    </row>
    <row r="284" spans="8:9" ht="11.25" customHeight="1">
      <c r="H284" s="7"/>
      <c r="I284" s="7"/>
    </row>
    <row r="285" spans="8:9" ht="11.25" customHeight="1">
      <c r="H285" s="7"/>
      <c r="I285" s="7"/>
    </row>
    <row r="286" spans="8:9" ht="11.25" customHeight="1">
      <c r="H286" s="7"/>
      <c r="I286" s="7"/>
    </row>
    <row r="287" spans="8:9" ht="11.25" customHeight="1">
      <c r="H287" s="7"/>
      <c r="I287" s="7"/>
    </row>
    <row r="288" spans="8:9" ht="11.25" customHeight="1">
      <c r="H288" s="7"/>
      <c r="I288" s="7"/>
    </row>
    <row r="289" spans="8:9" ht="11.25" customHeight="1">
      <c r="H289" s="7"/>
      <c r="I289" s="7"/>
    </row>
    <row r="290" spans="8:9" ht="11.25" customHeight="1">
      <c r="H290" s="7"/>
      <c r="I290" s="7"/>
    </row>
    <row r="291" spans="8:9" ht="11.25" customHeight="1">
      <c r="H291" s="7"/>
      <c r="I291" s="7"/>
    </row>
    <row r="292" spans="8:9" ht="11.25" customHeight="1">
      <c r="H292" s="7"/>
      <c r="I292" s="7"/>
    </row>
    <row r="293" spans="8:9" ht="11.25" customHeight="1">
      <c r="H293" s="7"/>
      <c r="I293" s="7"/>
    </row>
    <row r="294" spans="8:9" ht="11.25" customHeight="1">
      <c r="H294" s="7"/>
      <c r="I294" s="7"/>
    </row>
    <row r="295" spans="8:9" ht="11.25" customHeight="1">
      <c r="H295" s="7"/>
      <c r="I295" s="7"/>
    </row>
    <row r="296" spans="8:9" ht="11.25" customHeight="1">
      <c r="H296" s="7"/>
      <c r="I296" s="7"/>
    </row>
    <row r="297" spans="8:9" ht="11.25" customHeight="1">
      <c r="H297" s="7"/>
      <c r="I297" s="7"/>
    </row>
    <row r="298" spans="8:9" ht="11.25" customHeight="1">
      <c r="H298" s="7"/>
      <c r="I298" s="7"/>
    </row>
    <row r="299" spans="8:9" ht="11.25" customHeight="1">
      <c r="H299" s="7"/>
      <c r="I299" s="7"/>
    </row>
    <row r="300" spans="8:9" ht="11.25" customHeight="1">
      <c r="H300" s="7"/>
      <c r="I300" s="7"/>
    </row>
    <row r="301" spans="8:9" ht="11.25" customHeight="1">
      <c r="H301" s="7"/>
      <c r="I301" s="7"/>
    </row>
    <row r="302" spans="8:9" ht="11.25" customHeight="1">
      <c r="H302" s="7"/>
      <c r="I302" s="7"/>
    </row>
    <row r="303" spans="8:9" ht="11.25" customHeight="1">
      <c r="H303" s="7"/>
      <c r="I303" s="7"/>
    </row>
    <row r="304" spans="8:9" ht="11.25" customHeight="1">
      <c r="H304" s="7"/>
      <c r="I304" s="7"/>
    </row>
    <row r="305" spans="8:9" ht="11.25" customHeight="1">
      <c r="H305" s="7"/>
      <c r="I305" s="7"/>
    </row>
    <row r="306" spans="8:9" ht="11.25" customHeight="1">
      <c r="H306" s="7"/>
      <c r="I306" s="7"/>
    </row>
    <row r="307" spans="8:9" ht="11.25" customHeight="1">
      <c r="H307" s="7"/>
      <c r="I307" s="7"/>
    </row>
    <row r="308" spans="8:9" ht="11.25" customHeight="1">
      <c r="H308" s="7"/>
      <c r="I308" s="7"/>
    </row>
    <row r="309" spans="8:9" ht="11.25" customHeight="1">
      <c r="H309" s="7"/>
      <c r="I309" s="7"/>
    </row>
    <row r="310" spans="8:9" ht="11.25" customHeight="1">
      <c r="H310" s="7"/>
      <c r="I310" s="7"/>
    </row>
    <row r="311" spans="8:9" ht="11.25" customHeight="1">
      <c r="H311" s="7"/>
      <c r="I311" s="7"/>
    </row>
    <row r="312" spans="8:9" ht="11.25" customHeight="1">
      <c r="H312" s="7"/>
      <c r="I312" s="7"/>
    </row>
    <row r="313" spans="8:9" ht="11.25" customHeight="1">
      <c r="H313" s="7"/>
      <c r="I313" s="7"/>
    </row>
    <row r="314" spans="8:9" ht="11.25" customHeight="1">
      <c r="H314" s="7"/>
      <c r="I314" s="7"/>
    </row>
    <row r="315" spans="8:9" ht="11.25" customHeight="1">
      <c r="H315" s="7"/>
      <c r="I315" s="7"/>
    </row>
    <row r="316" spans="8:9" ht="11.25" customHeight="1">
      <c r="H316" s="7"/>
      <c r="I316" s="7"/>
    </row>
    <row r="317" spans="8:9" ht="11.25" customHeight="1">
      <c r="H317" s="7"/>
      <c r="I317" s="7"/>
    </row>
    <row r="318" spans="8:9" ht="11.25" customHeight="1">
      <c r="H318" s="7"/>
      <c r="I318" s="7"/>
    </row>
    <row r="319" spans="8:9" ht="11.25" customHeight="1">
      <c r="H319" s="7"/>
      <c r="I319" s="7"/>
    </row>
    <row r="320" spans="8:9" ht="11.25" customHeight="1">
      <c r="H320" s="7"/>
      <c r="I320" s="7"/>
    </row>
    <row r="321" spans="8:9" ht="11.25" customHeight="1">
      <c r="H321" s="7"/>
      <c r="I321" s="7"/>
    </row>
    <row r="322" spans="8:9" ht="11.25" customHeight="1">
      <c r="H322" s="7"/>
      <c r="I322" s="7"/>
    </row>
    <row r="323" spans="8:9" ht="11.25" customHeight="1">
      <c r="H323" s="7"/>
      <c r="I323" s="7"/>
    </row>
    <row r="324" spans="8:9" ht="11.25" customHeight="1">
      <c r="H324" s="7"/>
      <c r="I324" s="7"/>
    </row>
    <row r="325" spans="8:9" ht="11.25" customHeight="1">
      <c r="H325" s="7"/>
      <c r="I325" s="7"/>
    </row>
    <row r="326" spans="8:9" ht="11.25" customHeight="1">
      <c r="H326" s="7"/>
      <c r="I326" s="7"/>
    </row>
    <row r="327" spans="8:9" ht="11.25" customHeight="1">
      <c r="H327" s="7"/>
      <c r="I327" s="7"/>
    </row>
    <row r="328" spans="8:9" ht="11.25" customHeight="1">
      <c r="H328" s="7"/>
      <c r="I328" s="7"/>
    </row>
    <row r="329" spans="8:9" ht="11.25" customHeight="1">
      <c r="H329" s="7"/>
      <c r="I329" s="7"/>
    </row>
    <row r="330" spans="8:9" ht="11.25" customHeight="1">
      <c r="H330" s="7"/>
      <c r="I330" s="7"/>
    </row>
    <row r="331" spans="8:9" ht="11.25" customHeight="1">
      <c r="H331" s="7"/>
      <c r="I331" s="7"/>
    </row>
    <row r="332" spans="8:9" ht="11.25" customHeight="1">
      <c r="H332" s="7"/>
      <c r="I332" s="7"/>
    </row>
    <row r="333" spans="8:9" ht="11.25" customHeight="1">
      <c r="H333" s="7"/>
      <c r="I333" s="7"/>
    </row>
    <row r="334" spans="8:9" ht="11.25" customHeight="1">
      <c r="H334" s="7"/>
      <c r="I334" s="7"/>
    </row>
    <row r="335" spans="8:9" ht="11.25" customHeight="1">
      <c r="H335" s="7"/>
      <c r="I335" s="7"/>
    </row>
    <row r="336" spans="8:9" ht="11.25" customHeight="1">
      <c r="H336" s="7"/>
      <c r="I336" s="7"/>
    </row>
    <row r="337" spans="8:9" ht="11.25" customHeight="1">
      <c r="H337" s="7"/>
      <c r="I337" s="7"/>
    </row>
    <row r="338" spans="8:9" ht="11.25" customHeight="1">
      <c r="H338" s="7"/>
      <c r="I338" s="7"/>
    </row>
    <row r="339" spans="8:9" ht="11.25" customHeight="1">
      <c r="H339" s="7"/>
      <c r="I339" s="7"/>
    </row>
    <row r="340" spans="8:9" ht="11.25" customHeight="1">
      <c r="H340" s="7"/>
      <c r="I340" s="7"/>
    </row>
    <row r="341" spans="8:9" ht="11.25" customHeight="1">
      <c r="H341" s="7"/>
      <c r="I341" s="7"/>
    </row>
    <row r="342" spans="8:9" ht="11.25" customHeight="1">
      <c r="H342" s="7"/>
      <c r="I342" s="7"/>
    </row>
    <row r="343" spans="8:9" ht="11.25" customHeight="1">
      <c r="H343" s="7"/>
      <c r="I343" s="7"/>
    </row>
    <row r="344" spans="8:9" ht="11.25" customHeight="1">
      <c r="H344" s="7"/>
      <c r="I344" s="7"/>
    </row>
    <row r="345" spans="8:9" ht="11.25" customHeight="1">
      <c r="H345" s="7"/>
      <c r="I345" s="7"/>
    </row>
    <row r="346" spans="8:9" ht="11.25" customHeight="1">
      <c r="H346" s="7"/>
      <c r="I346" s="7"/>
    </row>
    <row r="347" spans="8:9" ht="11.25" customHeight="1">
      <c r="H347" s="7"/>
      <c r="I347" s="7"/>
    </row>
    <row r="348" spans="8:9" ht="11.25" customHeight="1">
      <c r="H348" s="7"/>
      <c r="I348" s="7"/>
    </row>
    <row r="349" spans="8:9" ht="11.25" customHeight="1">
      <c r="H349" s="7"/>
      <c r="I349" s="7"/>
    </row>
    <row r="350" spans="8:9" ht="11.25" customHeight="1">
      <c r="H350" s="7"/>
      <c r="I350" s="7"/>
    </row>
    <row r="351" spans="8:9" ht="11.25" customHeight="1">
      <c r="H351" s="7"/>
      <c r="I351" s="7"/>
    </row>
    <row r="352" spans="8:9" ht="11.25" customHeight="1">
      <c r="H352" s="7"/>
      <c r="I352" s="7"/>
    </row>
    <row r="353" spans="8:9" ht="11.25" customHeight="1">
      <c r="H353" s="7"/>
      <c r="I353" s="7"/>
    </row>
    <row r="354" spans="8:9" ht="11.25" customHeight="1">
      <c r="H354" s="7"/>
      <c r="I354" s="7"/>
    </row>
    <row r="355" spans="8:9" ht="11.25" customHeight="1">
      <c r="H355" s="7"/>
      <c r="I355" s="7"/>
    </row>
    <row r="356" spans="8:9" ht="11.25" customHeight="1">
      <c r="H356" s="7"/>
      <c r="I356" s="7"/>
    </row>
    <row r="357" spans="8:9" ht="11.25" customHeight="1">
      <c r="H357" s="7"/>
      <c r="I357" s="7"/>
    </row>
    <row r="358" spans="8:9" ht="11.25" customHeight="1">
      <c r="H358" s="7"/>
      <c r="I358" s="7"/>
    </row>
    <row r="359" spans="8:9" ht="11.25" customHeight="1">
      <c r="H359" s="7"/>
      <c r="I359" s="7"/>
    </row>
    <row r="360" spans="8:9" ht="11.25" customHeight="1">
      <c r="H360" s="7"/>
      <c r="I360" s="7"/>
    </row>
    <row r="361" spans="8:9" ht="11.25" customHeight="1">
      <c r="H361" s="7"/>
      <c r="I361" s="7"/>
    </row>
    <row r="362" spans="8:9" ht="11.25" customHeight="1">
      <c r="H362" s="7"/>
      <c r="I362" s="7"/>
    </row>
    <row r="363" spans="8:9" ht="11.25" customHeight="1">
      <c r="H363" s="7"/>
      <c r="I363" s="7"/>
    </row>
    <row r="364" spans="8:9" ht="11.25" customHeight="1">
      <c r="H364" s="7"/>
      <c r="I364" s="7"/>
    </row>
    <row r="365" spans="8:9" ht="11.25" customHeight="1">
      <c r="H365" s="7"/>
      <c r="I365" s="7"/>
    </row>
    <row r="366" spans="8:9" ht="11.25" customHeight="1">
      <c r="H366" s="7"/>
      <c r="I366" s="7"/>
    </row>
    <row r="367" spans="8:9" ht="11.25" customHeight="1">
      <c r="H367" s="7"/>
      <c r="I367" s="7"/>
    </row>
    <row r="368" spans="8:9" ht="11.25" customHeight="1">
      <c r="H368" s="7"/>
      <c r="I368" s="7"/>
    </row>
    <row r="369" spans="8:9" ht="11.25" customHeight="1">
      <c r="H369" s="7"/>
      <c r="I369" s="7"/>
    </row>
    <row r="370" spans="8:9" ht="11.25" customHeight="1">
      <c r="H370" s="7"/>
      <c r="I370" s="7"/>
    </row>
    <row r="371" spans="8:9" ht="11.25" customHeight="1">
      <c r="H371" s="7"/>
      <c r="I371" s="7"/>
    </row>
    <row r="372" spans="8:9" ht="11.25" customHeight="1">
      <c r="H372" s="7"/>
      <c r="I372" s="7"/>
    </row>
    <row r="373" spans="8:9" ht="11.25" customHeight="1">
      <c r="H373" s="7"/>
      <c r="I373" s="7"/>
    </row>
    <row r="374" spans="8:9" ht="11.25" customHeight="1">
      <c r="H374" s="7"/>
      <c r="I374" s="7"/>
    </row>
    <row r="375" spans="8:9" ht="11.25" customHeight="1">
      <c r="H375" s="7"/>
      <c r="I375" s="7"/>
    </row>
    <row r="376" spans="8:9" ht="11.25" customHeight="1">
      <c r="H376" s="7"/>
      <c r="I376" s="7"/>
    </row>
    <row r="377" spans="8:9" ht="11.25" customHeight="1">
      <c r="H377" s="7"/>
      <c r="I377" s="7"/>
    </row>
    <row r="378" spans="8:9" ht="11.25" customHeight="1">
      <c r="H378" s="7"/>
      <c r="I378" s="7"/>
    </row>
    <row r="379" spans="8:9" ht="11.25" customHeight="1">
      <c r="H379" s="7"/>
      <c r="I379" s="7"/>
    </row>
    <row r="380" spans="8:9" ht="11.25" customHeight="1">
      <c r="H380" s="7"/>
      <c r="I380" s="7"/>
    </row>
    <row r="381" spans="8:9" ht="11.25" customHeight="1">
      <c r="H381" s="7"/>
      <c r="I381" s="7"/>
    </row>
    <row r="382" spans="8:9" ht="11.25" customHeight="1">
      <c r="H382" s="7"/>
      <c r="I382" s="7"/>
    </row>
    <row r="383" spans="8:9" ht="11.25" customHeight="1">
      <c r="H383" s="7"/>
      <c r="I383" s="7"/>
    </row>
    <row r="384" spans="8:9" ht="11.25" customHeight="1">
      <c r="H384" s="7"/>
      <c r="I384" s="7"/>
    </row>
    <row r="385" spans="8:9" ht="11.25" customHeight="1">
      <c r="H385" s="7"/>
      <c r="I385" s="7"/>
    </row>
    <row r="386" spans="8:9" ht="11.25" customHeight="1">
      <c r="H386" s="7"/>
      <c r="I386" s="7"/>
    </row>
    <row r="387" spans="8:9" ht="11.25" customHeight="1">
      <c r="H387" s="7"/>
      <c r="I387" s="7"/>
    </row>
    <row r="388" spans="8:9" ht="11.25" customHeight="1">
      <c r="H388" s="7"/>
      <c r="I388" s="7"/>
    </row>
    <row r="389" spans="8:9" ht="11.25" customHeight="1">
      <c r="H389" s="7"/>
      <c r="I389" s="7"/>
    </row>
    <row r="390" spans="8:9" ht="11.25" customHeight="1">
      <c r="H390" s="7"/>
      <c r="I390" s="7"/>
    </row>
    <row r="391" spans="8:9" ht="11.25" customHeight="1">
      <c r="H391" s="7"/>
      <c r="I391" s="7"/>
    </row>
    <row r="392" spans="8:9" ht="11.25" customHeight="1">
      <c r="H392" s="7"/>
      <c r="I392" s="7"/>
    </row>
    <row r="393" spans="8:9" ht="11.25" customHeight="1">
      <c r="H393" s="7"/>
      <c r="I393" s="7"/>
    </row>
    <row r="394" spans="8:9" ht="11.25" customHeight="1">
      <c r="H394" s="7"/>
      <c r="I394" s="7"/>
    </row>
    <row r="395" spans="8:9" ht="11.25" customHeight="1">
      <c r="H395" s="7"/>
      <c r="I395" s="7"/>
    </row>
    <row r="396" spans="8:9" ht="11.25" customHeight="1">
      <c r="H396" s="7"/>
      <c r="I396" s="7"/>
    </row>
    <row r="397" spans="8:9" ht="11.25" customHeight="1">
      <c r="H397" s="7"/>
      <c r="I397" s="7"/>
    </row>
    <row r="398" spans="8:9" ht="11.25" customHeight="1">
      <c r="H398" s="7"/>
      <c r="I398" s="7"/>
    </row>
    <row r="399" spans="8:9" ht="11.25" customHeight="1">
      <c r="H399" s="7"/>
      <c r="I399" s="7"/>
    </row>
    <row r="400" spans="8:9" ht="11.25" customHeight="1">
      <c r="H400" s="7"/>
      <c r="I400" s="7"/>
    </row>
    <row r="401" spans="8:9" ht="11.25" customHeight="1">
      <c r="H401" s="7"/>
      <c r="I401" s="7"/>
    </row>
    <row r="402" spans="8:9" ht="11.25" customHeight="1">
      <c r="H402" s="7"/>
      <c r="I402" s="7"/>
    </row>
    <row r="403" spans="8:9" ht="11.25" customHeight="1">
      <c r="H403" s="7"/>
      <c r="I403" s="7"/>
    </row>
    <row r="404" spans="8:9" ht="11.25" customHeight="1">
      <c r="H404" s="7"/>
      <c r="I404" s="7"/>
    </row>
    <row r="405" spans="8:9" ht="11.25" customHeight="1">
      <c r="H405" s="7"/>
      <c r="I405" s="7"/>
    </row>
    <row r="406" spans="8:9" ht="11.25" customHeight="1">
      <c r="H406" s="7"/>
      <c r="I406" s="7"/>
    </row>
    <row r="407" spans="8:9" ht="11.25" customHeight="1">
      <c r="H407" s="7"/>
      <c r="I407" s="7"/>
    </row>
    <row r="408" spans="8:9" ht="11.25" customHeight="1">
      <c r="H408" s="7"/>
      <c r="I408" s="7"/>
    </row>
    <row r="409" spans="8:9" ht="11.25" customHeight="1">
      <c r="H409" s="7"/>
      <c r="I409" s="7"/>
    </row>
    <row r="410" spans="8:9" ht="11.25" customHeight="1">
      <c r="H410" s="7"/>
      <c r="I410" s="7"/>
    </row>
    <row r="411" spans="8:9" ht="11.25" customHeight="1">
      <c r="H411" s="7"/>
      <c r="I411" s="7"/>
    </row>
    <row r="412" spans="8:9" ht="11.25" customHeight="1">
      <c r="H412" s="7"/>
      <c r="I412" s="7"/>
    </row>
    <row r="413" spans="8:9" ht="11.25" customHeight="1">
      <c r="H413" s="7"/>
      <c r="I413" s="7"/>
    </row>
    <row r="414" spans="8:9" ht="11.25" customHeight="1">
      <c r="H414" s="7"/>
      <c r="I414" s="7"/>
    </row>
    <row r="415" spans="8:9" ht="11.25" customHeight="1">
      <c r="H415" s="7"/>
      <c r="I415" s="7"/>
    </row>
    <row r="416" spans="8:9" ht="11.25" customHeight="1">
      <c r="H416" s="7"/>
      <c r="I416" s="7"/>
    </row>
    <row r="417" spans="8:9" ht="11.25" customHeight="1">
      <c r="H417" s="7"/>
      <c r="I417" s="7"/>
    </row>
    <row r="418" spans="8:9" ht="11.25" customHeight="1">
      <c r="H418" s="7"/>
      <c r="I418" s="7"/>
    </row>
    <row r="419" spans="8:9" ht="11.25" customHeight="1">
      <c r="H419" s="7"/>
      <c r="I419" s="7"/>
    </row>
    <row r="420" spans="8:9" ht="11.25" customHeight="1">
      <c r="H420" s="7"/>
      <c r="I420" s="7"/>
    </row>
    <row r="421" spans="8:9" ht="11.25" customHeight="1">
      <c r="H421" s="7"/>
      <c r="I421" s="7"/>
    </row>
    <row r="422" spans="8:9" ht="11.25" customHeight="1">
      <c r="H422" s="7"/>
      <c r="I422" s="7"/>
    </row>
    <row r="423" spans="8:9" ht="11.25" customHeight="1">
      <c r="H423" s="7"/>
      <c r="I423" s="7"/>
    </row>
    <row r="424" spans="8:9" ht="11.25" customHeight="1">
      <c r="H424" s="7"/>
      <c r="I424" s="7"/>
    </row>
    <row r="425" spans="8:9" ht="11.25" customHeight="1">
      <c r="H425" s="7"/>
      <c r="I425" s="7"/>
    </row>
    <row r="426" spans="8:9" ht="11.25" customHeight="1">
      <c r="H426" s="7"/>
      <c r="I426" s="7"/>
    </row>
    <row r="427" spans="8:9" ht="11.25" customHeight="1">
      <c r="H427" s="7"/>
      <c r="I427" s="7"/>
    </row>
    <row r="428" spans="8:9" ht="11.25" customHeight="1">
      <c r="H428" s="7"/>
      <c r="I428" s="7"/>
    </row>
    <row r="429" spans="8:9" ht="11.25" customHeight="1">
      <c r="H429" s="7"/>
      <c r="I429" s="7"/>
    </row>
    <row r="430" spans="8:9" ht="11.25" customHeight="1">
      <c r="H430" s="7"/>
      <c r="I430" s="7"/>
    </row>
    <row r="431" spans="8:9" ht="11.25" customHeight="1">
      <c r="H431" s="7"/>
      <c r="I431" s="7"/>
    </row>
    <row r="432" spans="8:9" ht="11.25" customHeight="1">
      <c r="H432" s="7"/>
      <c r="I432" s="7"/>
    </row>
    <row r="433" spans="8:9" ht="11.25" customHeight="1">
      <c r="H433" s="7"/>
      <c r="I433" s="7"/>
    </row>
    <row r="434" spans="8:9" ht="11.25" customHeight="1">
      <c r="H434" s="7"/>
      <c r="I434" s="7"/>
    </row>
    <row r="435" spans="8:9" ht="11.25" customHeight="1">
      <c r="H435" s="7"/>
      <c r="I435" s="7"/>
    </row>
    <row r="436" spans="8:9" ht="11.25" customHeight="1">
      <c r="H436" s="7"/>
      <c r="I436" s="7"/>
    </row>
    <row r="437" spans="8:9" ht="11.25" customHeight="1">
      <c r="H437" s="7"/>
      <c r="I437" s="7"/>
    </row>
    <row r="438" spans="8:9" ht="11.25" customHeight="1">
      <c r="H438" s="7"/>
      <c r="I438" s="7"/>
    </row>
    <row r="439" spans="8:9" ht="11.25" customHeight="1">
      <c r="H439" s="7"/>
      <c r="I439" s="7"/>
    </row>
    <row r="440" spans="8:9" ht="11.25" customHeight="1">
      <c r="H440" s="7"/>
      <c r="I440" s="7"/>
    </row>
    <row r="441" spans="8:9" ht="11.25" customHeight="1">
      <c r="H441" s="7"/>
      <c r="I441" s="7"/>
    </row>
    <row r="442" spans="8:9" ht="11.25" customHeight="1">
      <c r="H442" s="7"/>
      <c r="I442" s="7"/>
    </row>
    <row r="443" spans="8:9" ht="11.25" customHeight="1">
      <c r="H443" s="7"/>
      <c r="I443" s="7"/>
    </row>
    <row r="444" spans="8:9" ht="11.25" customHeight="1">
      <c r="H444" s="7"/>
      <c r="I444" s="7"/>
    </row>
    <row r="445" spans="8:9" ht="11.25" customHeight="1">
      <c r="H445" s="7"/>
      <c r="I445" s="7"/>
    </row>
    <row r="446" spans="8:9" ht="11.25" customHeight="1">
      <c r="H446" s="7"/>
      <c r="I446" s="7"/>
    </row>
    <row r="447" spans="8:9" ht="11.25" customHeight="1">
      <c r="H447" s="7"/>
      <c r="I447" s="7"/>
    </row>
    <row r="448" spans="8:9" ht="11.25" customHeight="1">
      <c r="H448" s="7"/>
      <c r="I448" s="7"/>
    </row>
    <row r="449" spans="8:9" ht="11.25" customHeight="1">
      <c r="H449" s="7"/>
      <c r="I449" s="7"/>
    </row>
    <row r="450" spans="8:9" ht="11.25" customHeight="1">
      <c r="H450" s="7"/>
      <c r="I450" s="7"/>
    </row>
    <row r="451" spans="8:9" ht="11.25" customHeight="1">
      <c r="H451" s="7"/>
      <c r="I451" s="7"/>
    </row>
    <row r="452" spans="8:9" ht="11.25" customHeight="1">
      <c r="H452" s="7"/>
      <c r="I452" s="7"/>
    </row>
    <row r="453" spans="8:9" ht="11.25" customHeight="1">
      <c r="H453" s="7"/>
      <c r="I453" s="7"/>
    </row>
    <row r="454" spans="8:9" ht="11.25" customHeight="1">
      <c r="H454" s="7"/>
      <c r="I454" s="7"/>
    </row>
    <row r="455" spans="8:9" ht="11.25" customHeight="1">
      <c r="H455" s="7"/>
      <c r="I455" s="7"/>
    </row>
    <row r="456" spans="8:9" ht="11.25" customHeight="1">
      <c r="H456" s="7"/>
      <c r="I456" s="7"/>
    </row>
    <row r="457" spans="8:9" ht="11.25" customHeight="1">
      <c r="H457" s="7"/>
      <c r="I457" s="7"/>
    </row>
    <row r="458" spans="8:9" ht="11.25" customHeight="1">
      <c r="H458" s="7"/>
      <c r="I458" s="7"/>
    </row>
    <row r="459" spans="8:9" ht="11.25" customHeight="1">
      <c r="H459" s="7"/>
      <c r="I459" s="7"/>
    </row>
    <row r="460" spans="8:9" ht="11.25" customHeight="1">
      <c r="H460" s="7"/>
      <c r="I460" s="7"/>
    </row>
    <row r="461" spans="8:9" ht="11.25" customHeight="1">
      <c r="H461" s="7"/>
      <c r="I461" s="7"/>
    </row>
    <row r="462" spans="8:9" ht="11.25" customHeight="1">
      <c r="H462" s="7"/>
      <c r="I462" s="7"/>
    </row>
    <row r="463" spans="8:9" ht="11.25" customHeight="1">
      <c r="H463" s="7"/>
      <c r="I463" s="7"/>
    </row>
    <row r="464" spans="8:9" ht="11.25" customHeight="1">
      <c r="H464" s="7"/>
      <c r="I464" s="7"/>
    </row>
    <row r="465" spans="8:9" ht="11.25" customHeight="1">
      <c r="H465" s="7"/>
      <c r="I465" s="7"/>
    </row>
    <row r="466" spans="8:9" ht="11.25" customHeight="1">
      <c r="H466" s="7"/>
      <c r="I466" s="7"/>
    </row>
    <row r="467" spans="8:9" ht="11.25" customHeight="1">
      <c r="H467" s="7"/>
      <c r="I467" s="7"/>
    </row>
    <row r="468" spans="8:9" ht="11.25" customHeight="1">
      <c r="H468" s="7"/>
      <c r="I468" s="7"/>
    </row>
    <row r="469" spans="8:9" ht="11.25" customHeight="1">
      <c r="H469" s="7"/>
      <c r="I469" s="7"/>
    </row>
    <row r="470" spans="8:9" ht="11.25" customHeight="1">
      <c r="H470" s="7"/>
      <c r="I470" s="7"/>
    </row>
    <row r="471" spans="8:9" ht="11.25" customHeight="1">
      <c r="H471" s="7"/>
      <c r="I471" s="7"/>
    </row>
    <row r="472" spans="8:9" ht="11.25" customHeight="1">
      <c r="H472" s="7"/>
      <c r="I472" s="7"/>
    </row>
    <row r="473" spans="8:9" ht="11.25" customHeight="1">
      <c r="H473" s="7"/>
      <c r="I473" s="7"/>
    </row>
    <row r="474" spans="8:9" ht="11.25" customHeight="1">
      <c r="H474" s="7"/>
      <c r="I474" s="7"/>
    </row>
    <row r="475" spans="8:9" ht="11.25" customHeight="1">
      <c r="H475" s="7"/>
      <c r="I475" s="7"/>
    </row>
    <row r="476" spans="8:9" ht="11.25" customHeight="1">
      <c r="H476" s="7"/>
      <c r="I476" s="7"/>
    </row>
    <row r="477" spans="8:9" ht="11.25" customHeight="1">
      <c r="H477" s="7"/>
      <c r="I477" s="7"/>
    </row>
    <row r="478" spans="8:9" ht="11.25" customHeight="1">
      <c r="H478" s="7"/>
      <c r="I478" s="7"/>
    </row>
    <row r="479" spans="8:9" ht="11.25" customHeight="1">
      <c r="H479" s="7"/>
      <c r="I479" s="7"/>
    </row>
    <row r="480" spans="8:9" ht="11.25" customHeight="1">
      <c r="H480" s="7"/>
      <c r="I480" s="7"/>
    </row>
    <row r="481" spans="8:9" ht="11.25" customHeight="1">
      <c r="H481" s="7"/>
      <c r="I481" s="7"/>
    </row>
    <row r="482" spans="8:9" ht="11.25" customHeight="1">
      <c r="H482" s="7"/>
      <c r="I482" s="7"/>
    </row>
    <row r="483" spans="8:9" ht="11.25" customHeight="1">
      <c r="H483" s="7"/>
      <c r="I483" s="7"/>
    </row>
    <row r="484" spans="8:9" ht="11.25" customHeight="1">
      <c r="H484" s="7"/>
      <c r="I484" s="7"/>
    </row>
    <row r="485" spans="8:9" ht="11.25" customHeight="1">
      <c r="H485" s="7"/>
      <c r="I485" s="7"/>
    </row>
    <row r="486" spans="8:9" ht="11.25" customHeight="1">
      <c r="H486" s="7"/>
      <c r="I486" s="7"/>
    </row>
    <row r="487" spans="8:9" ht="11.25" customHeight="1">
      <c r="H487" s="7"/>
      <c r="I487" s="7"/>
    </row>
    <row r="488" spans="8:9" ht="11.25" customHeight="1">
      <c r="H488" s="7"/>
      <c r="I488" s="7"/>
    </row>
    <row r="489" spans="8:9" ht="11.25" customHeight="1">
      <c r="H489" s="7"/>
      <c r="I489" s="7"/>
    </row>
    <row r="490" spans="8:9" ht="11.25" customHeight="1">
      <c r="H490" s="7"/>
      <c r="I490" s="7"/>
    </row>
    <row r="491" spans="8:9" ht="11.25" customHeight="1">
      <c r="H491" s="7"/>
      <c r="I491" s="7"/>
    </row>
    <row r="492" spans="8:9" ht="11.25" customHeight="1">
      <c r="H492" s="7"/>
      <c r="I492" s="7"/>
    </row>
    <row r="493" spans="8:9" ht="11.25" customHeight="1">
      <c r="H493" s="7"/>
      <c r="I493" s="7"/>
    </row>
    <row r="494" spans="8:9" ht="11.25" customHeight="1">
      <c r="H494" s="7"/>
      <c r="I494" s="7"/>
    </row>
    <row r="495" spans="8:9" ht="11.25" customHeight="1">
      <c r="H495" s="7"/>
      <c r="I495" s="7"/>
    </row>
    <row r="496" spans="8:9" ht="11.25" customHeight="1">
      <c r="H496" s="7"/>
      <c r="I496" s="7"/>
    </row>
    <row r="497" spans="8:9" ht="11.25" customHeight="1">
      <c r="H497" s="7"/>
      <c r="I497" s="7"/>
    </row>
    <row r="498" spans="8:9" ht="11.25" customHeight="1">
      <c r="H498" s="7"/>
      <c r="I498" s="7"/>
    </row>
    <row r="499" spans="8:9" ht="11.25" customHeight="1">
      <c r="H499" s="7"/>
      <c r="I499" s="7"/>
    </row>
    <row r="500" spans="8:9" ht="11.25" customHeight="1">
      <c r="H500" s="7"/>
      <c r="I500" s="7"/>
    </row>
    <row r="501" spans="8:9" ht="11.25" customHeight="1">
      <c r="H501" s="7"/>
      <c r="I501" s="7"/>
    </row>
    <row r="502" spans="8:9" ht="11.25" customHeight="1">
      <c r="H502" s="7"/>
      <c r="I502" s="7"/>
    </row>
    <row r="503" spans="8:9" ht="11.25" customHeight="1">
      <c r="H503" s="7"/>
      <c r="I503" s="7"/>
    </row>
    <row r="504" spans="8:9" ht="11.25" customHeight="1">
      <c r="H504" s="7"/>
      <c r="I504" s="7"/>
    </row>
    <row r="505" spans="8:9" ht="11.25" customHeight="1">
      <c r="H505" s="7"/>
      <c r="I505" s="7"/>
    </row>
    <row r="506" spans="8:9" ht="11.25" customHeight="1">
      <c r="H506" s="7"/>
      <c r="I506" s="7"/>
    </row>
    <row r="507" spans="8:9" ht="11.25" customHeight="1">
      <c r="H507" s="7"/>
      <c r="I507" s="7"/>
    </row>
    <row r="508" spans="8:9" ht="11.25" customHeight="1">
      <c r="H508" s="7"/>
      <c r="I508" s="7"/>
    </row>
    <row r="509" spans="8:9" ht="11.25" customHeight="1">
      <c r="H509" s="7"/>
      <c r="I509" s="7"/>
    </row>
    <row r="510" spans="8:9" ht="11.25" customHeight="1">
      <c r="H510" s="7"/>
      <c r="I510" s="7"/>
    </row>
    <row r="511" spans="8:9" ht="11.25" customHeight="1">
      <c r="H511" s="7"/>
      <c r="I511" s="7"/>
    </row>
    <row r="512" spans="8:9" ht="11.25" customHeight="1">
      <c r="H512" s="7"/>
      <c r="I512" s="7"/>
    </row>
    <row r="513" spans="8:9" ht="11.25" customHeight="1">
      <c r="H513" s="7"/>
      <c r="I513" s="7"/>
    </row>
    <row r="514" spans="8:9" ht="11.25" customHeight="1">
      <c r="H514" s="7"/>
      <c r="I514" s="7"/>
    </row>
    <row r="515" spans="8:9" ht="11.25" customHeight="1">
      <c r="H515" s="7"/>
      <c r="I515" s="7"/>
    </row>
    <row r="516" spans="8:9" ht="11.25" customHeight="1">
      <c r="H516" s="7"/>
      <c r="I516" s="7"/>
    </row>
    <row r="517" spans="8:9" ht="11.25" customHeight="1">
      <c r="H517" s="7"/>
      <c r="I517" s="7"/>
    </row>
    <row r="518" spans="8:9" ht="11.25" customHeight="1">
      <c r="H518" s="7"/>
      <c r="I518" s="7"/>
    </row>
    <row r="519" spans="8:9" ht="11.25" customHeight="1">
      <c r="H519" s="7"/>
      <c r="I519" s="7"/>
    </row>
    <row r="520" spans="8:9" ht="11.25" customHeight="1">
      <c r="H520" s="7"/>
      <c r="I520" s="7"/>
    </row>
    <row r="521" spans="8:9" ht="11.25" customHeight="1">
      <c r="H521" s="7"/>
      <c r="I521" s="7"/>
    </row>
    <row r="522" spans="8:9" ht="11.25" customHeight="1">
      <c r="H522" s="7"/>
      <c r="I522" s="7"/>
    </row>
    <row r="523" spans="8:9" ht="11.25" customHeight="1">
      <c r="H523" s="7"/>
      <c r="I523" s="7"/>
    </row>
    <row r="524" spans="8:9" ht="11.25" customHeight="1">
      <c r="H524" s="7"/>
      <c r="I524" s="7"/>
    </row>
    <row r="525" spans="8:9" ht="11.25" customHeight="1">
      <c r="H525" s="7"/>
      <c r="I525" s="7"/>
    </row>
    <row r="526" spans="8:9" ht="11.25" customHeight="1">
      <c r="H526" s="7"/>
      <c r="I526" s="7"/>
    </row>
    <row r="527" spans="8:9" ht="11.25" customHeight="1">
      <c r="H527" s="7"/>
      <c r="I527" s="7"/>
    </row>
    <row r="528" spans="8:9" ht="11.25" customHeight="1">
      <c r="H528" s="7"/>
      <c r="I528" s="7"/>
    </row>
    <row r="529" spans="8:9" ht="11.25" customHeight="1">
      <c r="H529" s="7"/>
      <c r="I529" s="7"/>
    </row>
    <row r="530" spans="8:9" ht="11.25" customHeight="1">
      <c r="H530" s="7"/>
      <c r="I530" s="7"/>
    </row>
    <row r="531" spans="8:9" ht="11.25" customHeight="1">
      <c r="H531" s="7"/>
      <c r="I531" s="7"/>
    </row>
    <row r="532" spans="8:9" ht="11.25" customHeight="1">
      <c r="H532" s="7"/>
      <c r="I532" s="7"/>
    </row>
    <row r="533" spans="8:9" ht="11.25" customHeight="1">
      <c r="H533" s="7"/>
      <c r="I533" s="7"/>
    </row>
    <row r="534" spans="8:9" ht="11.25" customHeight="1">
      <c r="H534" s="7"/>
      <c r="I534" s="7"/>
    </row>
    <row r="535" spans="8:9" ht="11.25" customHeight="1">
      <c r="H535" s="7"/>
      <c r="I535" s="7"/>
    </row>
    <row r="536" spans="8:9" ht="11.25" customHeight="1">
      <c r="H536" s="7"/>
      <c r="I536" s="7"/>
    </row>
    <row r="537" spans="8:9" ht="11.25" customHeight="1">
      <c r="H537" s="7"/>
      <c r="I537" s="7"/>
    </row>
    <row r="538" spans="8:9" ht="11.25" customHeight="1">
      <c r="H538" s="7"/>
      <c r="I538" s="7"/>
    </row>
    <row r="539" spans="8:9" ht="11.25" customHeight="1">
      <c r="H539" s="7"/>
      <c r="I539" s="7"/>
    </row>
    <row r="540" spans="8:9" ht="11.25" customHeight="1">
      <c r="H540" s="7"/>
      <c r="I540" s="7"/>
    </row>
    <row r="541" spans="8:9" ht="11.25" customHeight="1">
      <c r="H541" s="7"/>
      <c r="I541" s="7"/>
    </row>
    <row r="542" spans="8:9" ht="11.25" customHeight="1">
      <c r="H542" s="7"/>
      <c r="I542" s="7"/>
    </row>
    <row r="543" spans="8:9" ht="11.25" customHeight="1">
      <c r="H543" s="7"/>
      <c r="I543" s="7"/>
    </row>
    <row r="544" spans="8:9" ht="11.25" customHeight="1">
      <c r="H544" s="7"/>
      <c r="I544" s="7"/>
    </row>
    <row r="545" spans="8:9" ht="11.25" customHeight="1">
      <c r="H545" s="7"/>
      <c r="I545" s="7"/>
    </row>
    <row r="546" spans="8:9" ht="11.25" customHeight="1">
      <c r="H546" s="7"/>
      <c r="I546" s="7"/>
    </row>
    <row r="547" spans="8:9" ht="11.25" customHeight="1">
      <c r="H547" s="7"/>
      <c r="I547" s="7"/>
    </row>
    <row r="548" spans="8:9" ht="11.25" customHeight="1">
      <c r="H548" s="7"/>
      <c r="I548" s="7"/>
    </row>
    <row r="549" spans="8:9" ht="11.25" customHeight="1">
      <c r="H549" s="7"/>
      <c r="I549" s="7"/>
    </row>
    <row r="550" spans="8:9" ht="11.25" customHeight="1">
      <c r="H550" s="7"/>
      <c r="I550" s="7"/>
    </row>
    <row r="551" spans="8:9" ht="11.25" customHeight="1">
      <c r="H551" s="7"/>
      <c r="I551" s="7"/>
    </row>
    <row r="552" spans="8:9" ht="11.25" customHeight="1">
      <c r="H552" s="7"/>
      <c r="I552" s="7"/>
    </row>
    <row r="553" spans="8:9" ht="11.25" customHeight="1">
      <c r="H553" s="7"/>
      <c r="I553" s="7"/>
    </row>
    <row r="554" spans="8:9" ht="11.25" customHeight="1">
      <c r="H554" s="7"/>
      <c r="I554" s="7"/>
    </row>
    <row r="555" spans="8:9" ht="11.25" customHeight="1">
      <c r="H555" s="7"/>
      <c r="I555" s="7"/>
    </row>
    <row r="556" spans="8:9" ht="11.25" customHeight="1">
      <c r="H556" s="7"/>
      <c r="I556" s="7"/>
    </row>
    <row r="557" spans="8:9" ht="11.25" customHeight="1">
      <c r="H557" s="7"/>
      <c r="I557" s="7"/>
    </row>
    <row r="558" spans="8:9" ht="11.25" customHeight="1">
      <c r="H558" s="7"/>
      <c r="I558" s="7"/>
    </row>
    <row r="559" spans="8:9" ht="11.25" customHeight="1">
      <c r="H559" s="7"/>
      <c r="I559" s="7"/>
    </row>
    <row r="560" spans="8:9" ht="11.25" customHeight="1">
      <c r="H560" s="7"/>
      <c r="I560" s="7"/>
    </row>
    <row r="561" spans="8:9" ht="11.25" customHeight="1">
      <c r="H561" s="7"/>
      <c r="I561" s="7"/>
    </row>
    <row r="562" spans="8:9" ht="11.25" customHeight="1">
      <c r="H562" s="7"/>
      <c r="I562" s="7"/>
    </row>
    <row r="563" spans="8:9" ht="11.25" customHeight="1">
      <c r="H563" s="7"/>
      <c r="I563" s="7"/>
    </row>
    <row r="564" spans="8:9" ht="11.25" customHeight="1">
      <c r="H564" s="7"/>
      <c r="I564" s="7"/>
    </row>
    <row r="565" spans="8:9" ht="11.25" customHeight="1">
      <c r="H565" s="7"/>
      <c r="I565" s="7"/>
    </row>
    <row r="566" spans="8:9" ht="11.25" customHeight="1">
      <c r="H566" s="7"/>
      <c r="I566" s="7"/>
    </row>
    <row r="567" spans="8:9" ht="11.25" customHeight="1">
      <c r="H567" s="7"/>
      <c r="I567" s="7"/>
    </row>
    <row r="568" spans="8:9" ht="11.25" customHeight="1">
      <c r="H568" s="7"/>
      <c r="I568" s="7"/>
    </row>
    <row r="569" spans="8:9" ht="11.25" customHeight="1">
      <c r="H569" s="7"/>
      <c r="I569" s="7"/>
    </row>
    <row r="570" spans="8:9" ht="11.25" customHeight="1">
      <c r="H570" s="7"/>
      <c r="I570" s="7"/>
    </row>
    <row r="571" spans="8:9" ht="11.25" customHeight="1">
      <c r="H571" s="7"/>
      <c r="I571" s="7"/>
    </row>
    <row r="572" spans="8:9" ht="11.25" customHeight="1">
      <c r="H572" s="7"/>
      <c r="I572" s="7"/>
    </row>
    <row r="573" spans="8:9" ht="11.25" customHeight="1">
      <c r="H573" s="7"/>
      <c r="I573" s="7"/>
    </row>
    <row r="574" spans="8:9" ht="11.25" customHeight="1">
      <c r="H574" s="7"/>
      <c r="I574" s="7"/>
    </row>
    <row r="575" spans="8:9" ht="11.25" customHeight="1">
      <c r="H575" s="7"/>
      <c r="I575" s="7"/>
    </row>
    <row r="576" spans="8:9" ht="11.25" customHeight="1">
      <c r="H576" s="7"/>
      <c r="I576" s="7"/>
    </row>
    <row r="577" spans="8:9" ht="11.25" customHeight="1">
      <c r="H577" s="7"/>
      <c r="I577" s="7"/>
    </row>
    <row r="578" spans="8:9" ht="11.25" customHeight="1">
      <c r="H578" s="7"/>
      <c r="I578" s="7"/>
    </row>
    <row r="579" spans="8:9" ht="11.25" customHeight="1">
      <c r="H579" s="7"/>
      <c r="I579" s="7"/>
    </row>
    <row r="580" spans="8:9" ht="11.25" customHeight="1">
      <c r="H580" s="7"/>
      <c r="I580" s="7"/>
    </row>
    <row r="581" spans="8:9" ht="11.25" customHeight="1">
      <c r="H581" s="7"/>
      <c r="I581" s="7"/>
    </row>
    <row r="582" spans="8:9" ht="11.25" customHeight="1">
      <c r="H582" s="7"/>
      <c r="I582" s="7"/>
    </row>
    <row r="583" spans="8:9" ht="11.25" customHeight="1">
      <c r="H583" s="7"/>
      <c r="I583" s="7"/>
    </row>
    <row r="584" spans="8:9" ht="11.25" customHeight="1">
      <c r="H584" s="7"/>
      <c r="I584" s="7"/>
    </row>
    <row r="585" spans="8:9" ht="11.25" customHeight="1">
      <c r="H585" s="7"/>
      <c r="I585" s="7"/>
    </row>
    <row r="586" spans="8:9" ht="11.25" customHeight="1">
      <c r="H586" s="7"/>
      <c r="I586" s="7"/>
    </row>
    <row r="587" spans="8:9" ht="11.25" customHeight="1">
      <c r="H587" s="7"/>
      <c r="I587" s="7"/>
    </row>
    <row r="588" spans="8:9" ht="11.25" customHeight="1">
      <c r="H588" s="7"/>
      <c r="I588" s="7"/>
    </row>
    <row r="589" spans="8:9" ht="11.25" customHeight="1">
      <c r="H589" s="7"/>
      <c r="I589" s="7"/>
    </row>
    <row r="590" spans="8:9" ht="11.25" customHeight="1">
      <c r="H590" s="7"/>
      <c r="I590" s="7"/>
    </row>
    <row r="591" spans="8:9" ht="11.25" customHeight="1">
      <c r="H591" s="7"/>
      <c r="I591" s="7"/>
    </row>
    <row r="592" spans="8:9" ht="11.25" customHeight="1">
      <c r="H592" s="7"/>
      <c r="I592" s="7"/>
    </row>
    <row r="593" spans="8:9" ht="11.25" customHeight="1">
      <c r="H593" s="7"/>
      <c r="I593" s="7"/>
    </row>
    <row r="594" spans="8:9" ht="11.25" customHeight="1">
      <c r="H594" s="7"/>
      <c r="I594" s="7"/>
    </row>
    <row r="595" spans="8:9" ht="11.25" customHeight="1">
      <c r="H595" s="7"/>
      <c r="I595" s="7"/>
    </row>
    <row r="596" spans="8:9" ht="11.25" customHeight="1">
      <c r="H596" s="7"/>
      <c r="I596" s="7"/>
    </row>
    <row r="597" spans="8:9" ht="11.25" customHeight="1">
      <c r="H597" s="7"/>
      <c r="I597" s="7"/>
    </row>
    <row r="598" spans="8:9" ht="11.25" customHeight="1">
      <c r="H598" s="7"/>
      <c r="I598" s="7"/>
    </row>
    <row r="599" spans="8:9" ht="11.25" customHeight="1">
      <c r="H599" s="7"/>
      <c r="I599" s="7"/>
    </row>
    <row r="600" spans="8:9" ht="11.25" customHeight="1">
      <c r="H600" s="7"/>
      <c r="I600" s="7"/>
    </row>
    <row r="601" spans="8:9" ht="11.25" customHeight="1">
      <c r="H601" s="7"/>
      <c r="I601" s="7"/>
    </row>
    <row r="602" spans="8:9" ht="11.25" customHeight="1">
      <c r="H602" s="7"/>
      <c r="I602" s="7"/>
    </row>
    <row r="603" spans="8:9" ht="11.25" customHeight="1">
      <c r="H603" s="7"/>
      <c r="I603" s="7"/>
    </row>
    <row r="604" spans="8:9" ht="11.25" customHeight="1">
      <c r="H604" s="7"/>
      <c r="I604" s="7"/>
    </row>
    <row r="605" spans="8:9" ht="11.25" customHeight="1">
      <c r="H605" s="7"/>
      <c r="I605" s="7"/>
    </row>
    <row r="606" spans="8:9" ht="11.25" customHeight="1">
      <c r="H606" s="7"/>
      <c r="I606" s="7"/>
    </row>
    <row r="607" spans="8:9" ht="11.25" customHeight="1">
      <c r="H607" s="7"/>
      <c r="I607" s="7"/>
    </row>
    <row r="608" spans="8:9" ht="11.25" customHeight="1">
      <c r="H608" s="7"/>
      <c r="I608" s="7"/>
    </row>
    <row r="609" spans="8:9" ht="11.25" customHeight="1">
      <c r="H609" s="7"/>
      <c r="I609" s="7"/>
    </row>
    <row r="610" spans="8:9" ht="11.25" customHeight="1">
      <c r="H610" s="7"/>
      <c r="I610" s="7"/>
    </row>
    <row r="611" spans="8:9" ht="11.25" customHeight="1">
      <c r="H611" s="7"/>
      <c r="I611" s="7"/>
    </row>
    <row r="612" spans="8:9" ht="11.25" customHeight="1">
      <c r="H612" s="7"/>
      <c r="I612" s="7"/>
    </row>
    <row r="613" spans="8:9" ht="11.25" customHeight="1">
      <c r="H613" s="7"/>
      <c r="I613" s="7"/>
    </row>
    <row r="614" spans="8:9" ht="11.25" customHeight="1">
      <c r="H614" s="7"/>
      <c r="I614" s="7"/>
    </row>
    <row r="615" spans="8:9" ht="11.25" customHeight="1">
      <c r="H615" s="7"/>
      <c r="I615" s="7"/>
    </row>
    <row r="616" spans="8:9" ht="11.25" customHeight="1">
      <c r="H616" s="7"/>
      <c r="I616" s="7"/>
    </row>
    <row r="617" spans="8:9" ht="11.25" customHeight="1">
      <c r="H617" s="7"/>
      <c r="I617" s="7"/>
    </row>
    <row r="618" spans="8:9" ht="11.25" customHeight="1">
      <c r="H618" s="7"/>
      <c r="I618" s="7"/>
    </row>
    <row r="619" spans="8:9" ht="11.25" customHeight="1">
      <c r="H619" s="7"/>
      <c r="I619" s="7"/>
    </row>
    <row r="620" spans="8:9" ht="11.25" customHeight="1">
      <c r="H620" s="7"/>
      <c r="I620" s="7"/>
    </row>
    <row r="621" spans="8:9" ht="11.25" customHeight="1">
      <c r="H621" s="7"/>
      <c r="I621" s="7"/>
    </row>
    <row r="622" spans="8:9" ht="11.25" customHeight="1">
      <c r="H622" s="7"/>
      <c r="I622" s="7"/>
    </row>
    <row r="623" spans="8:9" ht="11.25" customHeight="1">
      <c r="H623" s="7"/>
      <c r="I623" s="7"/>
    </row>
    <row r="624" spans="8:9" ht="11.25" customHeight="1">
      <c r="H624" s="7"/>
      <c r="I624" s="7"/>
    </row>
    <row r="625" spans="8:9" ht="11.25" customHeight="1">
      <c r="H625" s="7"/>
      <c r="I625" s="7"/>
    </row>
    <row r="626" spans="8:9" ht="11.25" customHeight="1">
      <c r="H626" s="7"/>
      <c r="I626" s="7"/>
    </row>
    <row r="627" spans="8:9" ht="11.25" customHeight="1">
      <c r="H627" s="7"/>
      <c r="I627" s="7"/>
    </row>
    <row r="628" spans="8:9" ht="11.25" customHeight="1">
      <c r="H628" s="7"/>
      <c r="I628" s="7"/>
    </row>
    <row r="629" spans="8:9" ht="11.25" customHeight="1">
      <c r="H629" s="7"/>
      <c r="I629" s="7"/>
    </row>
    <row r="630" spans="8:9" ht="11.25" customHeight="1">
      <c r="H630" s="7"/>
      <c r="I630" s="7"/>
    </row>
    <row r="631" spans="8:9" ht="11.25" customHeight="1">
      <c r="H631" s="7"/>
      <c r="I631" s="7"/>
    </row>
    <row r="632" spans="8:9" ht="11.25" customHeight="1">
      <c r="H632" s="7"/>
      <c r="I632" s="7"/>
    </row>
    <row r="633" spans="8:9" ht="11.25" customHeight="1">
      <c r="H633" s="7"/>
      <c r="I633" s="7"/>
    </row>
    <row r="634" spans="8:9" ht="11.25" customHeight="1">
      <c r="H634" s="7"/>
      <c r="I634" s="7"/>
    </row>
    <row r="635" spans="8:9" ht="11.25" customHeight="1">
      <c r="H635" s="7"/>
      <c r="I635" s="7"/>
    </row>
    <row r="636" spans="8:9" ht="11.25" customHeight="1">
      <c r="H636" s="7"/>
      <c r="I636" s="7"/>
    </row>
    <row r="637" spans="8:9" ht="11.25" customHeight="1">
      <c r="H637" s="7"/>
      <c r="I637" s="7"/>
    </row>
    <row r="638" spans="8:9" ht="11.25" customHeight="1">
      <c r="H638" s="7"/>
      <c r="I638" s="7"/>
    </row>
    <row r="639" spans="8:9" ht="11.25" customHeight="1">
      <c r="H639" s="7"/>
      <c r="I639" s="7"/>
    </row>
    <row r="640" spans="8:9" ht="11.25" customHeight="1">
      <c r="H640" s="7"/>
      <c r="I640" s="7"/>
    </row>
    <row r="641" spans="8:9" ht="11.25" customHeight="1">
      <c r="H641" s="7"/>
      <c r="I641" s="7"/>
    </row>
    <row r="642" spans="8:9" ht="11.25" customHeight="1">
      <c r="H642" s="7"/>
      <c r="I642" s="7"/>
    </row>
    <row r="643" spans="8:9" ht="11.25" customHeight="1">
      <c r="H643" s="7"/>
      <c r="I643" s="7"/>
    </row>
    <row r="644" spans="8:9" ht="11.25" customHeight="1">
      <c r="H644" s="7"/>
      <c r="I644" s="7"/>
    </row>
    <row r="645" spans="8:9" ht="11.25" customHeight="1">
      <c r="H645" s="7"/>
      <c r="I645" s="7"/>
    </row>
    <row r="646" spans="8:9" ht="11.25" customHeight="1">
      <c r="H646" s="7"/>
      <c r="I646" s="7"/>
    </row>
    <row r="647" spans="8:9" ht="11.25" customHeight="1">
      <c r="H647" s="7"/>
      <c r="I647" s="7"/>
    </row>
    <row r="648" spans="8:9" ht="11.25" customHeight="1">
      <c r="H648" s="7"/>
      <c r="I648" s="7"/>
    </row>
    <row r="649" spans="8:9" ht="11.25" customHeight="1">
      <c r="H649" s="7"/>
      <c r="I649" s="7"/>
    </row>
    <row r="650" spans="8:9" ht="11.25" customHeight="1">
      <c r="H650" s="7"/>
      <c r="I650" s="7"/>
    </row>
    <row r="651" spans="8:9" ht="11.25" customHeight="1">
      <c r="H651" s="7"/>
      <c r="I651" s="7"/>
    </row>
    <row r="652" spans="8:9" ht="11.25" customHeight="1">
      <c r="H652" s="7"/>
      <c r="I652" s="7"/>
    </row>
    <row r="653" spans="8:9" ht="11.25" customHeight="1">
      <c r="H653" s="7"/>
      <c r="I653" s="7"/>
    </row>
    <row r="654" spans="8:9" ht="11.25" customHeight="1">
      <c r="H654" s="7"/>
      <c r="I654" s="7"/>
    </row>
    <row r="655" spans="8:9" ht="11.25" customHeight="1">
      <c r="H655" s="7"/>
      <c r="I655" s="7"/>
    </row>
    <row r="656" spans="8:9" ht="11.25" customHeight="1">
      <c r="H656" s="7"/>
      <c r="I656" s="7"/>
    </row>
    <row r="657" spans="8:9" ht="11.25" customHeight="1">
      <c r="H657" s="7"/>
      <c r="I657" s="7"/>
    </row>
    <row r="658" spans="8:9" ht="11.25" customHeight="1">
      <c r="H658" s="7"/>
      <c r="I658" s="7"/>
    </row>
    <row r="659" spans="8:9" ht="11.25" customHeight="1">
      <c r="H659" s="7"/>
      <c r="I659" s="7"/>
    </row>
    <row r="660" spans="8:9" ht="11.25" customHeight="1">
      <c r="H660" s="7"/>
      <c r="I660" s="7"/>
    </row>
    <row r="661" spans="8:9" ht="11.25" customHeight="1">
      <c r="H661" s="7"/>
      <c r="I661" s="7"/>
    </row>
    <row r="662" spans="8:9" ht="11.25" customHeight="1">
      <c r="H662" s="7"/>
      <c r="I662" s="7"/>
    </row>
    <row r="663" spans="8:9" ht="11.25" customHeight="1">
      <c r="H663" s="7"/>
      <c r="I663" s="7"/>
    </row>
    <row r="664" spans="8:9" ht="11.25" customHeight="1">
      <c r="H664" s="7"/>
      <c r="I664" s="7"/>
    </row>
    <row r="665" spans="8:9" ht="11.25" customHeight="1">
      <c r="H665" s="7"/>
      <c r="I665" s="7"/>
    </row>
    <row r="666" spans="8:9" ht="11.25" customHeight="1">
      <c r="H666" s="7"/>
      <c r="I666" s="7"/>
    </row>
    <row r="667" spans="8:9" ht="11.25" customHeight="1">
      <c r="H667" s="7"/>
      <c r="I667" s="7"/>
    </row>
    <row r="668" spans="8:9" ht="11.25" customHeight="1">
      <c r="H668" s="7"/>
      <c r="I668" s="7"/>
    </row>
    <row r="669" spans="8:9" ht="11.25" customHeight="1">
      <c r="H669" s="7"/>
      <c r="I669" s="7"/>
    </row>
    <row r="670" spans="8:9" ht="11.25" customHeight="1">
      <c r="H670" s="7"/>
      <c r="I670" s="7"/>
    </row>
    <row r="671" spans="8:9" ht="11.25" customHeight="1">
      <c r="H671" s="7"/>
      <c r="I671" s="7"/>
    </row>
    <row r="672" spans="8:9" ht="11.25" customHeight="1">
      <c r="H672" s="7"/>
      <c r="I672" s="7"/>
    </row>
    <row r="673" spans="8:9" ht="11.25" customHeight="1">
      <c r="H673" s="7"/>
      <c r="I673" s="7"/>
    </row>
    <row r="674" spans="8:9" ht="11.25" customHeight="1">
      <c r="H674" s="7"/>
      <c r="I674" s="7"/>
    </row>
    <row r="675" spans="8:9" ht="11.25" customHeight="1">
      <c r="H675" s="7"/>
      <c r="I675" s="7"/>
    </row>
    <row r="676" spans="8:9" ht="11.25" customHeight="1">
      <c r="H676" s="7"/>
      <c r="I676" s="7"/>
    </row>
    <row r="677" spans="8:9" ht="11.25" customHeight="1">
      <c r="H677" s="7"/>
      <c r="I677" s="7"/>
    </row>
    <row r="678" spans="8:9" ht="11.25" customHeight="1">
      <c r="H678" s="7"/>
      <c r="I678" s="7"/>
    </row>
    <row r="679" spans="8:9" ht="11.25" customHeight="1">
      <c r="H679" s="7"/>
      <c r="I679" s="7"/>
    </row>
    <row r="680" spans="8:9" ht="11.25" customHeight="1">
      <c r="H680" s="7"/>
      <c r="I680" s="7"/>
    </row>
    <row r="681" spans="8:9" ht="11.25" customHeight="1">
      <c r="H681" s="7"/>
      <c r="I681" s="7"/>
    </row>
    <row r="682" spans="8:9" ht="11.25" customHeight="1">
      <c r="H682" s="7"/>
      <c r="I682" s="7"/>
    </row>
    <row r="683" spans="8:9" ht="11.25" customHeight="1">
      <c r="H683" s="7"/>
      <c r="I683" s="7"/>
    </row>
    <row r="684" spans="8:9" ht="11.25" customHeight="1">
      <c r="H684" s="7"/>
      <c r="I684" s="7"/>
    </row>
    <row r="685" spans="8:9" ht="11.25" customHeight="1">
      <c r="H685" s="7"/>
      <c r="I685" s="7"/>
    </row>
    <row r="686" spans="8:9" ht="11.25" customHeight="1">
      <c r="H686" s="7"/>
      <c r="I686" s="7"/>
    </row>
    <row r="687" spans="8:9" ht="11.25" customHeight="1">
      <c r="H687" s="7"/>
      <c r="I687" s="7"/>
    </row>
    <row r="688" spans="8:9" ht="11.25" customHeight="1">
      <c r="H688" s="7"/>
      <c r="I688" s="7"/>
    </row>
    <row r="689" spans="8:9" ht="11.25" customHeight="1">
      <c r="H689" s="7"/>
      <c r="I689" s="7"/>
    </row>
    <row r="690" spans="8:9" ht="11.25" customHeight="1">
      <c r="H690" s="7"/>
      <c r="I690" s="7"/>
    </row>
    <row r="691" spans="8:9" ht="11.25" customHeight="1">
      <c r="H691" s="7"/>
      <c r="I691" s="7"/>
    </row>
    <row r="692" spans="8:9" ht="11.25" customHeight="1">
      <c r="H692" s="7"/>
      <c r="I692" s="7"/>
    </row>
    <row r="693" spans="8:9" ht="11.25" customHeight="1">
      <c r="H693" s="7"/>
      <c r="I693" s="7"/>
    </row>
    <row r="694" spans="8:9" ht="11.25" customHeight="1">
      <c r="H694" s="7"/>
      <c r="I694" s="7"/>
    </row>
    <row r="695" spans="8:9" ht="11.25" customHeight="1">
      <c r="H695" s="7"/>
      <c r="I695" s="7"/>
    </row>
    <row r="696" spans="8:9" ht="11.25" customHeight="1">
      <c r="H696" s="7"/>
      <c r="I696" s="7"/>
    </row>
    <row r="697" spans="8:9" ht="11.25" customHeight="1">
      <c r="H697" s="7"/>
      <c r="I697" s="7"/>
    </row>
    <row r="698" spans="8:9" ht="11.25" customHeight="1">
      <c r="H698" s="7"/>
      <c r="I698" s="7"/>
    </row>
    <row r="699" spans="8:9" ht="11.25" customHeight="1">
      <c r="H699" s="7"/>
      <c r="I699" s="7"/>
    </row>
    <row r="700" spans="8:9" ht="11.25" customHeight="1">
      <c r="H700" s="7"/>
      <c r="I700" s="7"/>
    </row>
    <row r="701" spans="8:9" ht="11.25" customHeight="1">
      <c r="H701" s="7"/>
      <c r="I701" s="7"/>
    </row>
    <row r="702" spans="8:9" ht="11.25" customHeight="1">
      <c r="H702" s="7"/>
      <c r="I702" s="7"/>
    </row>
    <row r="703" spans="8:9" ht="11.25" customHeight="1">
      <c r="H703" s="7"/>
      <c r="I703" s="7"/>
    </row>
    <row r="704" spans="8:9" ht="11.25" customHeight="1">
      <c r="H704" s="7"/>
      <c r="I704" s="7"/>
    </row>
    <row r="705" spans="8:9" ht="11.25" customHeight="1">
      <c r="H705" s="7"/>
      <c r="I705" s="7"/>
    </row>
    <row r="706" spans="8:9" ht="11.25" customHeight="1">
      <c r="H706" s="7"/>
      <c r="I706" s="7"/>
    </row>
    <row r="707" spans="8:9" ht="11.25" customHeight="1">
      <c r="H707" s="7"/>
      <c r="I707" s="7"/>
    </row>
    <row r="708" spans="8:9" ht="11.25" customHeight="1">
      <c r="H708" s="7"/>
      <c r="I708" s="7"/>
    </row>
    <row r="709" spans="8:9" ht="11.25" customHeight="1">
      <c r="H709" s="7"/>
      <c r="I709" s="7"/>
    </row>
    <row r="710" spans="8:9" ht="11.25" customHeight="1">
      <c r="H710" s="7"/>
      <c r="I710" s="7"/>
    </row>
    <row r="711" spans="8:9" ht="11.25" customHeight="1">
      <c r="H711" s="7"/>
      <c r="I711" s="7"/>
    </row>
    <row r="712" spans="8:9" ht="11.25" customHeight="1">
      <c r="H712" s="7"/>
      <c r="I712" s="7"/>
    </row>
    <row r="713" spans="8:9" ht="11.25" customHeight="1">
      <c r="H713" s="7"/>
      <c r="I713" s="7"/>
    </row>
    <row r="714" spans="8:9" ht="11.25" customHeight="1">
      <c r="H714" s="7"/>
      <c r="I714" s="7"/>
    </row>
    <row r="715" spans="8:9" ht="11.25" customHeight="1">
      <c r="H715" s="7"/>
      <c r="I715" s="7"/>
    </row>
    <row r="716" spans="8:9" ht="11.25" customHeight="1">
      <c r="H716" s="7"/>
      <c r="I716" s="7"/>
    </row>
    <row r="717" spans="8:9" ht="11.25" customHeight="1">
      <c r="H717" s="7"/>
      <c r="I717" s="7"/>
    </row>
    <row r="718" spans="8:9" ht="11.25" customHeight="1">
      <c r="H718" s="7"/>
      <c r="I718" s="7"/>
    </row>
    <row r="719" spans="8:9" ht="11.25" customHeight="1">
      <c r="H719" s="7"/>
      <c r="I719" s="7"/>
    </row>
    <row r="720" spans="8:9" ht="11.25" customHeight="1">
      <c r="H720" s="7"/>
      <c r="I720" s="7"/>
    </row>
    <row r="721" spans="8:9" ht="11.25" customHeight="1">
      <c r="H721" s="7"/>
      <c r="I721" s="7"/>
    </row>
    <row r="722" spans="8:9" ht="11.25" customHeight="1">
      <c r="H722" s="7"/>
      <c r="I722" s="7"/>
    </row>
    <row r="723" spans="8:9" ht="11.25" customHeight="1">
      <c r="H723" s="7"/>
      <c r="I723" s="7"/>
    </row>
    <row r="724" spans="8:9" ht="11.25" customHeight="1">
      <c r="H724" s="7"/>
      <c r="I724" s="7"/>
    </row>
    <row r="725" spans="8:9" ht="11.25" customHeight="1">
      <c r="H725" s="7"/>
      <c r="I725" s="7"/>
    </row>
    <row r="726" spans="8:9" ht="11.25" customHeight="1">
      <c r="H726" s="7"/>
      <c r="I726" s="7"/>
    </row>
    <row r="727" spans="8:9" ht="11.25" customHeight="1">
      <c r="H727" s="7"/>
      <c r="I727" s="7"/>
    </row>
    <row r="728" spans="8:9" ht="11.25" customHeight="1">
      <c r="H728" s="7"/>
      <c r="I728" s="7"/>
    </row>
    <row r="729" spans="8:9" ht="11.25" customHeight="1">
      <c r="H729" s="7"/>
      <c r="I729" s="7"/>
    </row>
    <row r="730" spans="8:9" ht="11.25" customHeight="1">
      <c r="H730" s="7"/>
      <c r="I730" s="7"/>
    </row>
    <row r="731" spans="8:9" ht="11.25" customHeight="1">
      <c r="H731" s="7"/>
      <c r="I731" s="7"/>
    </row>
    <row r="732" spans="8:9" ht="11.25" customHeight="1">
      <c r="H732" s="7"/>
      <c r="I732" s="7"/>
    </row>
    <row r="733" spans="8:9" ht="11.25" customHeight="1">
      <c r="H733" s="7"/>
      <c r="I733" s="7"/>
    </row>
    <row r="734" spans="8:9" ht="11.25" customHeight="1">
      <c r="H734" s="7"/>
      <c r="I734" s="7"/>
    </row>
    <row r="735" spans="8:9" ht="11.25" customHeight="1">
      <c r="H735" s="7"/>
      <c r="I735" s="7"/>
    </row>
    <row r="736" spans="8:9" ht="11.25" customHeight="1">
      <c r="H736" s="7"/>
      <c r="I736" s="7"/>
    </row>
    <row r="737" spans="8:9" ht="11.25" customHeight="1">
      <c r="H737" s="7"/>
      <c r="I737" s="7"/>
    </row>
    <row r="738" spans="8:9" ht="11.25" customHeight="1">
      <c r="H738" s="7"/>
      <c r="I738" s="7"/>
    </row>
    <row r="739" spans="8:9" ht="11.25" customHeight="1">
      <c r="H739" s="7"/>
      <c r="I739" s="7"/>
    </row>
    <row r="740" spans="8:9" ht="11.25" customHeight="1">
      <c r="H740" s="7"/>
      <c r="I740" s="7"/>
    </row>
    <row r="741" spans="8:9" ht="11.25" customHeight="1">
      <c r="H741" s="7"/>
      <c r="I741" s="7"/>
    </row>
    <row r="742" spans="8:9" ht="11.25" customHeight="1">
      <c r="H742" s="7"/>
      <c r="I742" s="7"/>
    </row>
    <row r="743" spans="8:9" ht="11.25" customHeight="1">
      <c r="H743" s="7"/>
      <c r="I743" s="7"/>
    </row>
    <row r="744" spans="8:9" ht="11.25" customHeight="1">
      <c r="H744" s="7"/>
      <c r="I744" s="7"/>
    </row>
    <row r="745" spans="8:9" ht="11.25" customHeight="1">
      <c r="H745" s="7"/>
      <c r="I745" s="7"/>
    </row>
    <row r="746" spans="8:9" ht="11.25" customHeight="1">
      <c r="H746" s="7"/>
      <c r="I746" s="7"/>
    </row>
    <row r="747" spans="8:9" ht="11.25" customHeight="1">
      <c r="H747" s="7"/>
      <c r="I747" s="7"/>
    </row>
    <row r="748" spans="8:9" ht="11.25" customHeight="1">
      <c r="H748" s="7"/>
      <c r="I748" s="7"/>
    </row>
    <row r="749" spans="8:9" ht="11.25" customHeight="1">
      <c r="H749" s="7"/>
      <c r="I749" s="7"/>
    </row>
    <row r="750" spans="8:9" ht="11.25" customHeight="1">
      <c r="H750" s="7"/>
      <c r="I750" s="7"/>
    </row>
    <row r="751" spans="8:9" ht="11.25" customHeight="1">
      <c r="H751" s="7"/>
      <c r="I751" s="7"/>
    </row>
    <row r="752" spans="8:9" ht="11.25" customHeight="1">
      <c r="H752" s="7"/>
      <c r="I752" s="7"/>
    </row>
    <row r="753" spans="8:9" ht="11.25" customHeight="1">
      <c r="H753" s="7"/>
      <c r="I753" s="7"/>
    </row>
    <row r="754" spans="8:9" ht="11.25" customHeight="1">
      <c r="H754" s="7"/>
      <c r="I754" s="7"/>
    </row>
    <row r="755" spans="8:9" ht="11.25" customHeight="1">
      <c r="H755" s="7"/>
      <c r="I755" s="7"/>
    </row>
    <row r="756" spans="8:9" ht="11.25" customHeight="1">
      <c r="H756" s="7"/>
      <c r="I756" s="7"/>
    </row>
    <row r="757" spans="8:9" ht="11.25" customHeight="1">
      <c r="H757" s="7"/>
      <c r="I757" s="7"/>
    </row>
    <row r="758" spans="8:9" ht="11.25" customHeight="1">
      <c r="H758" s="7"/>
      <c r="I758" s="7"/>
    </row>
    <row r="759" spans="8:9" ht="11.25" customHeight="1">
      <c r="H759" s="7"/>
      <c r="I759" s="7"/>
    </row>
    <row r="760" spans="8:9" ht="11.25" customHeight="1">
      <c r="H760" s="7"/>
      <c r="I760" s="7"/>
    </row>
    <row r="761" spans="8:9" ht="11.25" customHeight="1">
      <c r="H761" s="7"/>
      <c r="I761" s="7"/>
    </row>
    <row r="762" spans="8:9" ht="11.25" customHeight="1">
      <c r="H762" s="7"/>
      <c r="I762" s="7"/>
    </row>
    <row r="763" spans="8:9" ht="11.25" customHeight="1">
      <c r="H763" s="7"/>
      <c r="I763" s="7"/>
    </row>
    <row r="764" spans="8:9" ht="11.25" customHeight="1">
      <c r="H764" s="7"/>
      <c r="I764" s="7"/>
    </row>
    <row r="765" spans="8:9" ht="11.25" customHeight="1">
      <c r="H765" s="7"/>
      <c r="I765" s="7"/>
    </row>
    <row r="766" spans="8:9" ht="11.25" customHeight="1">
      <c r="H766" s="7"/>
      <c r="I766" s="7"/>
    </row>
    <row r="767" spans="8:9" ht="11.25" customHeight="1">
      <c r="H767" s="7"/>
      <c r="I767" s="7"/>
    </row>
    <row r="768" spans="8:9" ht="11.25" customHeight="1">
      <c r="H768" s="7"/>
      <c r="I768" s="7"/>
    </row>
    <row r="769" spans="8:9" ht="11.25" customHeight="1">
      <c r="H769" s="7"/>
      <c r="I769" s="7"/>
    </row>
    <row r="770" spans="8:9" ht="11.25" customHeight="1">
      <c r="H770" s="7"/>
      <c r="I770" s="7"/>
    </row>
    <row r="771" spans="8:9" ht="11.25" customHeight="1">
      <c r="H771" s="7"/>
      <c r="I771" s="7"/>
    </row>
    <row r="772" spans="8:9" ht="11.25" customHeight="1">
      <c r="H772" s="7"/>
      <c r="I772" s="7"/>
    </row>
    <row r="773" spans="8:9" ht="11.25" customHeight="1">
      <c r="H773" s="7"/>
      <c r="I773" s="7"/>
    </row>
    <row r="774" spans="8:9" ht="11.25" customHeight="1">
      <c r="H774" s="7"/>
      <c r="I774" s="7"/>
    </row>
    <row r="775" spans="8:9" ht="11.25" customHeight="1">
      <c r="H775" s="7"/>
      <c r="I775" s="7"/>
    </row>
    <row r="776" spans="8:9" ht="11.25" customHeight="1">
      <c r="H776" s="7"/>
      <c r="I776" s="7"/>
    </row>
    <row r="777" spans="8:9" ht="11.25" customHeight="1">
      <c r="H777" s="7"/>
      <c r="I777" s="7"/>
    </row>
    <row r="778" spans="8:9" ht="11.25" customHeight="1">
      <c r="H778" s="7"/>
      <c r="I778" s="7"/>
    </row>
    <row r="779" spans="8:9" ht="11.25" customHeight="1">
      <c r="H779" s="7"/>
      <c r="I779" s="7"/>
    </row>
    <row r="780" spans="8:9" ht="11.25" customHeight="1">
      <c r="H780" s="7"/>
      <c r="I780" s="7"/>
    </row>
    <row r="781" spans="8:9" ht="11.25" customHeight="1">
      <c r="H781" s="7"/>
      <c r="I781" s="7"/>
    </row>
    <row r="782" spans="8:9" ht="11.25" customHeight="1">
      <c r="H782" s="7"/>
      <c r="I782" s="7"/>
    </row>
    <row r="783" spans="8:9" ht="11.25" customHeight="1">
      <c r="H783" s="7"/>
      <c r="I783" s="7"/>
    </row>
    <row r="784" spans="8:9" ht="11.25" customHeight="1">
      <c r="H784" s="7"/>
      <c r="I784" s="7"/>
    </row>
    <row r="785" spans="8:9" ht="11.25" customHeight="1">
      <c r="H785" s="7"/>
      <c r="I785" s="7"/>
    </row>
    <row r="786" spans="8:9" ht="11.25" customHeight="1">
      <c r="H786" s="7"/>
      <c r="I786" s="7"/>
    </row>
    <row r="787" spans="8:9" ht="11.25" customHeight="1">
      <c r="H787" s="7"/>
      <c r="I787" s="7"/>
    </row>
    <row r="788" spans="8:9" ht="11.25" customHeight="1">
      <c r="H788" s="7"/>
      <c r="I788" s="7"/>
    </row>
    <row r="789" spans="8:9" ht="11.25" customHeight="1">
      <c r="H789" s="7"/>
      <c r="I789" s="7"/>
    </row>
    <row r="790" spans="8:9" ht="11.25" customHeight="1">
      <c r="H790" s="7"/>
      <c r="I790" s="7"/>
    </row>
    <row r="791" spans="8:9" ht="11.25" customHeight="1">
      <c r="H791" s="7"/>
      <c r="I791" s="7"/>
    </row>
    <row r="792" spans="8:9" ht="11.25" customHeight="1">
      <c r="H792" s="7"/>
      <c r="I792" s="7"/>
    </row>
    <row r="793" spans="8:9" ht="11.25" customHeight="1">
      <c r="H793" s="7"/>
      <c r="I793" s="7"/>
    </row>
    <row r="794" spans="8:9" ht="11.25" customHeight="1">
      <c r="H794" s="7"/>
      <c r="I794" s="7"/>
    </row>
    <row r="795" spans="8:9" ht="11.25" customHeight="1">
      <c r="H795" s="7"/>
      <c r="I795" s="7"/>
    </row>
    <row r="796" spans="8:9" ht="11.25" customHeight="1">
      <c r="H796" s="7"/>
      <c r="I796" s="7"/>
    </row>
    <row r="797" spans="8:9" ht="11.25" customHeight="1">
      <c r="H797" s="7"/>
      <c r="I797" s="7"/>
    </row>
    <row r="798" spans="8:9" ht="11.25" customHeight="1">
      <c r="H798" s="7"/>
      <c r="I798" s="7"/>
    </row>
    <row r="799" spans="8:9" ht="11.25" customHeight="1">
      <c r="H799" s="7"/>
      <c r="I799" s="7"/>
    </row>
    <row r="800" spans="8:9" ht="11.25" customHeight="1">
      <c r="H800" s="7"/>
      <c r="I800" s="7"/>
    </row>
    <row r="801" spans="8:9" ht="11.25" customHeight="1">
      <c r="H801" s="7"/>
      <c r="I801" s="7"/>
    </row>
    <row r="802" spans="8:9" ht="11.25" customHeight="1">
      <c r="H802" s="7"/>
      <c r="I802" s="7"/>
    </row>
    <row r="803" spans="8:9" ht="11.25" customHeight="1">
      <c r="H803" s="7"/>
      <c r="I803" s="7"/>
    </row>
    <row r="804" spans="8:9" ht="11.25" customHeight="1">
      <c r="H804" s="7"/>
      <c r="I804" s="7"/>
    </row>
    <row r="805" spans="8:9" ht="11.25" customHeight="1">
      <c r="H805" s="7"/>
      <c r="I805" s="7"/>
    </row>
    <row r="806" spans="8:9" ht="11.25" customHeight="1">
      <c r="H806" s="7"/>
      <c r="I806" s="7"/>
    </row>
    <row r="807" spans="8:9" ht="11.25" customHeight="1">
      <c r="H807" s="7"/>
      <c r="I807" s="7"/>
    </row>
    <row r="808" spans="8:9" ht="11.25" customHeight="1">
      <c r="H808" s="7"/>
      <c r="I808" s="7"/>
    </row>
    <row r="809" spans="8:9" ht="11.25" customHeight="1">
      <c r="H809" s="7"/>
      <c r="I809" s="7"/>
    </row>
    <row r="810" spans="8:9" ht="11.25" customHeight="1">
      <c r="H810" s="7"/>
      <c r="I810" s="7"/>
    </row>
    <row r="811" spans="8:9" ht="11.25" customHeight="1">
      <c r="H811" s="7"/>
      <c r="I811" s="7"/>
    </row>
    <row r="812" spans="8:9" ht="11.25" customHeight="1">
      <c r="H812" s="7"/>
      <c r="I812" s="7"/>
    </row>
    <row r="813" spans="8:9" ht="11.25" customHeight="1">
      <c r="H813" s="7"/>
      <c r="I813" s="7"/>
    </row>
    <row r="814" spans="8:9" ht="11.25" customHeight="1">
      <c r="H814" s="7"/>
      <c r="I814" s="7"/>
    </row>
    <row r="815" spans="8:9" ht="11.25" customHeight="1">
      <c r="H815" s="7"/>
      <c r="I815" s="7"/>
    </row>
    <row r="816" spans="8:9" ht="11.25" customHeight="1">
      <c r="H816" s="7"/>
      <c r="I816" s="7"/>
    </row>
    <row r="817" spans="8:9" ht="11.25" customHeight="1">
      <c r="H817" s="7"/>
      <c r="I817" s="7"/>
    </row>
    <row r="818" spans="8:9" ht="11.25" customHeight="1">
      <c r="H818" s="7"/>
      <c r="I818" s="7"/>
    </row>
    <row r="819" spans="8:9" ht="11.25" customHeight="1">
      <c r="H819" s="7"/>
      <c r="I819" s="7"/>
    </row>
    <row r="820" spans="8:9" ht="11.25" customHeight="1">
      <c r="H820" s="7"/>
      <c r="I820" s="7"/>
    </row>
    <row r="821" spans="8:9" ht="11.25" customHeight="1">
      <c r="H821" s="7"/>
      <c r="I821" s="7"/>
    </row>
    <row r="822" spans="8:9" ht="11.25" customHeight="1">
      <c r="H822" s="7"/>
      <c r="I822" s="7"/>
    </row>
    <row r="823" spans="8:9" ht="11.25" customHeight="1">
      <c r="H823" s="7"/>
      <c r="I823" s="7"/>
    </row>
    <row r="824" spans="8:9" ht="11.25" customHeight="1">
      <c r="H824" s="7"/>
      <c r="I824" s="7"/>
    </row>
    <row r="825" spans="8:9" ht="11.25" customHeight="1">
      <c r="H825" s="7"/>
      <c r="I825" s="7"/>
    </row>
    <row r="826" spans="8:9" ht="11.25" customHeight="1">
      <c r="H826" s="7"/>
      <c r="I826" s="7"/>
    </row>
    <row r="827" spans="8:9" ht="11.25" customHeight="1">
      <c r="H827" s="7"/>
      <c r="I827" s="7"/>
    </row>
    <row r="828" spans="8:9" ht="11.25" customHeight="1">
      <c r="H828" s="7"/>
      <c r="I828" s="7"/>
    </row>
    <row r="829" spans="8:9" ht="11.25" customHeight="1">
      <c r="H829" s="7"/>
      <c r="I829" s="7"/>
    </row>
    <row r="830" spans="8:9" ht="11.25" customHeight="1">
      <c r="H830" s="7"/>
      <c r="I830" s="7"/>
    </row>
    <row r="831" spans="8:9" ht="11.25" customHeight="1">
      <c r="H831" s="7"/>
      <c r="I831" s="7"/>
    </row>
    <row r="832" spans="8:9" ht="11.25" customHeight="1">
      <c r="H832" s="7"/>
      <c r="I832" s="7"/>
    </row>
    <row r="833" spans="8:9" ht="11.25" customHeight="1">
      <c r="H833" s="7"/>
      <c r="I833" s="7"/>
    </row>
    <row r="834" spans="8:9" ht="11.25" customHeight="1">
      <c r="H834" s="7"/>
      <c r="I834" s="7"/>
    </row>
    <row r="835" spans="8:9" ht="11.25" customHeight="1">
      <c r="H835" s="7"/>
      <c r="I835" s="7"/>
    </row>
    <row r="836" spans="8:9" ht="11.25" customHeight="1">
      <c r="H836" s="7"/>
      <c r="I836" s="7"/>
    </row>
    <row r="837" spans="8:9" ht="11.25" customHeight="1">
      <c r="H837" s="7"/>
      <c r="I837" s="7"/>
    </row>
    <row r="838" spans="8:9" ht="11.25" customHeight="1">
      <c r="H838" s="7"/>
      <c r="I838" s="7"/>
    </row>
    <row r="839" spans="8:9" ht="11.25" customHeight="1">
      <c r="H839" s="7"/>
      <c r="I839" s="7"/>
    </row>
    <row r="840" spans="8:9" ht="11.25" customHeight="1">
      <c r="H840" s="7"/>
      <c r="I840" s="7"/>
    </row>
    <row r="841" spans="8:9" ht="11.25" customHeight="1">
      <c r="H841" s="7"/>
      <c r="I841" s="7"/>
    </row>
    <row r="842" spans="8:9" ht="11.25" customHeight="1">
      <c r="H842" s="7"/>
      <c r="I842" s="7"/>
    </row>
    <row r="843" spans="8:9" ht="11.25" customHeight="1">
      <c r="H843" s="7"/>
      <c r="I843" s="7"/>
    </row>
    <row r="844" spans="8:9" ht="11.25" customHeight="1">
      <c r="H844" s="7"/>
      <c r="I844" s="7"/>
    </row>
    <row r="845" spans="8:9" ht="11.25" customHeight="1">
      <c r="H845" s="7"/>
      <c r="I845" s="7"/>
    </row>
    <row r="846" spans="8:9" ht="11.25" customHeight="1">
      <c r="H846" s="7"/>
      <c r="I846" s="7"/>
    </row>
    <row r="847" spans="8:9" ht="11.25" customHeight="1">
      <c r="H847" s="7"/>
      <c r="I847" s="7"/>
    </row>
    <row r="848" spans="8:9" ht="11.25" customHeight="1">
      <c r="H848" s="7"/>
      <c r="I848" s="7"/>
    </row>
    <row r="849" spans="8:9" ht="11.25" customHeight="1">
      <c r="H849" s="7"/>
      <c r="I849" s="7"/>
    </row>
    <row r="850" spans="8:9" ht="11.25" customHeight="1">
      <c r="H850" s="7"/>
      <c r="I850" s="7"/>
    </row>
    <row r="851" spans="8:9" ht="11.25" customHeight="1">
      <c r="H851" s="7"/>
      <c r="I851" s="7"/>
    </row>
    <row r="852" spans="8:9" ht="11.25" customHeight="1">
      <c r="H852" s="7"/>
      <c r="I852" s="7"/>
    </row>
    <row r="853" spans="8:9" ht="11.25" customHeight="1">
      <c r="H853" s="7"/>
      <c r="I853" s="7"/>
    </row>
    <row r="854" spans="8:9" ht="11.25" customHeight="1">
      <c r="H854" s="7"/>
      <c r="I854" s="7"/>
    </row>
    <row r="855" spans="8:9" ht="11.25" customHeight="1">
      <c r="H855" s="7"/>
      <c r="I855" s="7"/>
    </row>
    <row r="856" spans="8:9" ht="11.25" customHeight="1">
      <c r="H856" s="7"/>
      <c r="I856" s="7"/>
    </row>
    <row r="857" spans="8:9" ht="11.25" customHeight="1">
      <c r="H857" s="7"/>
      <c r="I857" s="7"/>
    </row>
    <row r="858" spans="8:9" ht="11.25" customHeight="1">
      <c r="H858" s="7"/>
      <c r="I858" s="7"/>
    </row>
    <row r="859" spans="8:9" ht="11.25" customHeight="1">
      <c r="H859" s="7"/>
      <c r="I859" s="7"/>
    </row>
    <row r="860" spans="8:9" ht="11.25" customHeight="1">
      <c r="H860" s="7"/>
      <c r="I860" s="7"/>
    </row>
    <row r="861" spans="8:9" ht="11.25" customHeight="1">
      <c r="H861" s="7"/>
      <c r="I861" s="7"/>
    </row>
    <row r="862" spans="8:9" ht="11.25" customHeight="1">
      <c r="H862" s="7"/>
      <c r="I862" s="7"/>
    </row>
    <row r="863" spans="8:9" ht="11.25" customHeight="1">
      <c r="H863" s="7"/>
      <c r="I863" s="7"/>
    </row>
    <row r="864" spans="8:9" ht="11.25" customHeight="1">
      <c r="H864" s="7"/>
      <c r="I864" s="7"/>
    </row>
    <row r="865" spans="8:9" ht="11.25" customHeight="1">
      <c r="H865" s="7"/>
      <c r="I865" s="7"/>
    </row>
    <row r="866" spans="8:9" ht="11.25" customHeight="1">
      <c r="H866" s="7"/>
      <c r="I866" s="7"/>
    </row>
    <row r="867" spans="8:9" ht="11.25" customHeight="1">
      <c r="H867" s="7"/>
      <c r="I867" s="7"/>
    </row>
    <row r="868" spans="8:9" ht="11.25" customHeight="1">
      <c r="H868" s="7"/>
      <c r="I868" s="7"/>
    </row>
    <row r="869" spans="8:9" ht="11.25" customHeight="1">
      <c r="H869" s="7"/>
      <c r="I869" s="7"/>
    </row>
    <row r="870" spans="8:9" ht="11.25" customHeight="1">
      <c r="H870" s="7"/>
      <c r="I870" s="7"/>
    </row>
    <row r="871" spans="8:9" ht="11.25" customHeight="1">
      <c r="H871" s="7"/>
      <c r="I871" s="7"/>
    </row>
    <row r="872" spans="8:9" ht="11.25" customHeight="1">
      <c r="H872" s="7"/>
      <c r="I872" s="7"/>
    </row>
    <row r="873" spans="8:9" ht="11.25" customHeight="1">
      <c r="H873" s="7"/>
      <c r="I873" s="7"/>
    </row>
    <row r="874" spans="8:9" ht="11.25" customHeight="1">
      <c r="H874" s="7"/>
      <c r="I874" s="7"/>
    </row>
    <row r="875" spans="8:9" ht="11.25" customHeight="1">
      <c r="H875" s="7"/>
      <c r="I875" s="7"/>
    </row>
    <row r="876" spans="8:9" ht="11.25" customHeight="1">
      <c r="H876" s="7"/>
      <c r="I876" s="7"/>
    </row>
    <row r="877" spans="8:9" ht="11.25" customHeight="1">
      <c r="H877" s="7"/>
      <c r="I877" s="7"/>
    </row>
    <row r="878" spans="8:9" ht="11.25" customHeight="1">
      <c r="H878" s="7"/>
      <c r="I878" s="7"/>
    </row>
    <row r="879" spans="8:9" ht="11.25" customHeight="1">
      <c r="H879" s="7"/>
      <c r="I879" s="7"/>
    </row>
    <row r="880" spans="8:9" ht="11.25" customHeight="1">
      <c r="H880" s="7"/>
      <c r="I880" s="7"/>
    </row>
    <row r="881" spans="8:9" ht="11.25" customHeight="1">
      <c r="H881" s="7"/>
      <c r="I881" s="7"/>
    </row>
    <row r="882" spans="8:9" ht="11.25" customHeight="1">
      <c r="H882" s="7"/>
      <c r="I882" s="7"/>
    </row>
    <row r="883" spans="8:9" ht="11.25" customHeight="1">
      <c r="H883" s="7"/>
      <c r="I883" s="7"/>
    </row>
    <row r="884" spans="8:9" ht="11.25" customHeight="1">
      <c r="H884" s="7"/>
      <c r="I884" s="7"/>
    </row>
    <row r="885" spans="8:9" ht="11.25" customHeight="1">
      <c r="H885" s="7"/>
      <c r="I885" s="7"/>
    </row>
    <row r="886" spans="8:9" ht="11.25" customHeight="1">
      <c r="H886" s="7"/>
      <c r="I886" s="7"/>
    </row>
    <row r="887" spans="8:9" ht="11.25" customHeight="1">
      <c r="H887" s="7"/>
      <c r="I887" s="7"/>
    </row>
    <row r="888" spans="8:9" ht="11.25" customHeight="1">
      <c r="H888" s="7"/>
      <c r="I888" s="7"/>
    </row>
    <row r="889" spans="8:9" ht="11.25" customHeight="1">
      <c r="H889" s="7"/>
      <c r="I889" s="7"/>
    </row>
    <row r="890" spans="8:9" ht="11.25" customHeight="1">
      <c r="H890" s="7"/>
      <c r="I890" s="7"/>
    </row>
    <row r="891" spans="8:9" ht="11.25" customHeight="1">
      <c r="H891" s="7"/>
      <c r="I891" s="7"/>
    </row>
    <row r="892" spans="8:9" ht="11.25" customHeight="1">
      <c r="H892" s="7"/>
      <c r="I892" s="7"/>
    </row>
    <row r="893" spans="8:9" ht="11.25" customHeight="1">
      <c r="H893" s="7"/>
      <c r="I893" s="7"/>
    </row>
    <row r="894" spans="8:9" ht="11.25" customHeight="1">
      <c r="H894" s="7"/>
      <c r="I894" s="7"/>
    </row>
    <row r="895" spans="8:9" ht="11.25" customHeight="1">
      <c r="H895" s="7"/>
      <c r="I895" s="7"/>
    </row>
    <row r="896" spans="8:9" ht="11.25" customHeight="1">
      <c r="H896" s="7"/>
      <c r="I896" s="7"/>
    </row>
    <row r="897" spans="8:9" ht="11.25" customHeight="1">
      <c r="H897" s="7"/>
      <c r="I897" s="7"/>
    </row>
    <row r="898" spans="8:9" ht="11.25" customHeight="1">
      <c r="H898" s="7"/>
      <c r="I898" s="7"/>
    </row>
    <row r="899" spans="8:9" ht="11.25" customHeight="1">
      <c r="H899" s="7"/>
      <c r="I899" s="7"/>
    </row>
    <row r="900" spans="8:9" ht="11.25" customHeight="1">
      <c r="H900" s="7"/>
      <c r="I900" s="7"/>
    </row>
    <row r="901" spans="8:9" ht="11.25" customHeight="1">
      <c r="H901" s="7"/>
      <c r="I901" s="7"/>
    </row>
    <row r="902" spans="8:9" ht="11.25" customHeight="1">
      <c r="H902" s="7"/>
      <c r="I902" s="7"/>
    </row>
    <row r="903" spans="8:9" ht="11.25" customHeight="1">
      <c r="H903" s="7"/>
      <c r="I903" s="7"/>
    </row>
    <row r="904" spans="8:9" ht="11.25" customHeight="1">
      <c r="H904" s="7"/>
      <c r="I904" s="7"/>
    </row>
    <row r="905" spans="8:9" ht="11.25" customHeight="1">
      <c r="H905" s="7"/>
      <c r="I905" s="7"/>
    </row>
    <row r="906" spans="8:9" ht="11.25" customHeight="1">
      <c r="H906" s="7"/>
      <c r="I906" s="7"/>
    </row>
    <row r="907" spans="8:9" ht="11.25" customHeight="1">
      <c r="H907" s="7"/>
      <c r="I907" s="7"/>
    </row>
    <row r="908" spans="8:9" ht="11.25" customHeight="1">
      <c r="H908" s="7"/>
      <c r="I908" s="7"/>
    </row>
    <row r="909" spans="8:9" ht="11.25" customHeight="1">
      <c r="H909" s="7"/>
      <c r="I909" s="7"/>
    </row>
    <row r="910" spans="8:9" ht="11.25" customHeight="1">
      <c r="H910" s="7"/>
      <c r="I910" s="7"/>
    </row>
    <row r="911" spans="8:9" ht="11.25" customHeight="1">
      <c r="H911" s="7"/>
      <c r="I911" s="7"/>
    </row>
    <row r="912" spans="8:9" ht="11.25" customHeight="1">
      <c r="H912" s="7"/>
      <c r="I912" s="7"/>
    </row>
    <row r="913" spans="8:9" ht="11.25" customHeight="1">
      <c r="H913" s="7"/>
      <c r="I913" s="7"/>
    </row>
    <row r="914" spans="8:9" ht="11.25" customHeight="1">
      <c r="H914" s="7"/>
      <c r="I914" s="7"/>
    </row>
    <row r="915" spans="8:9" ht="11.25" customHeight="1">
      <c r="H915" s="7"/>
      <c r="I915" s="7"/>
    </row>
    <row r="916" spans="8:9" ht="11.25" customHeight="1">
      <c r="H916" s="7"/>
      <c r="I916" s="7"/>
    </row>
    <row r="917" spans="8:9" ht="11.25" customHeight="1">
      <c r="H917" s="7"/>
      <c r="I917" s="7"/>
    </row>
    <row r="918" spans="8:9" ht="11.25" customHeight="1">
      <c r="H918" s="7"/>
      <c r="I918" s="7"/>
    </row>
    <row r="919" spans="8:9" ht="11.25" customHeight="1">
      <c r="H919" s="7"/>
      <c r="I919" s="7"/>
    </row>
    <row r="920" spans="8:9" ht="11.25" customHeight="1">
      <c r="H920" s="7"/>
      <c r="I920" s="7"/>
    </row>
    <row r="921" spans="8:9" ht="11.25" customHeight="1">
      <c r="H921" s="7"/>
      <c r="I921" s="7"/>
    </row>
    <row r="922" spans="8:9" ht="11.25" customHeight="1">
      <c r="H922" s="7"/>
      <c r="I922" s="7"/>
    </row>
    <row r="923" spans="8:9" ht="11.25" customHeight="1">
      <c r="H923" s="7"/>
      <c r="I923" s="7"/>
    </row>
    <row r="924" spans="8:9" ht="11.25" customHeight="1">
      <c r="H924" s="7"/>
      <c r="I924" s="7"/>
    </row>
    <row r="925" spans="8:9" ht="11.25" customHeight="1">
      <c r="H925" s="7"/>
      <c r="I925" s="7"/>
    </row>
    <row r="926" spans="8:9" ht="11.25" customHeight="1">
      <c r="H926" s="7"/>
      <c r="I926" s="7"/>
    </row>
    <row r="927" spans="8:9" ht="11.25" customHeight="1">
      <c r="H927" s="7"/>
      <c r="I927" s="7"/>
    </row>
    <row r="928" spans="8:9" ht="11.25" customHeight="1">
      <c r="H928" s="7"/>
      <c r="I928" s="7"/>
    </row>
    <row r="929" spans="8:9" ht="11.25" customHeight="1">
      <c r="H929" s="7"/>
      <c r="I929" s="7"/>
    </row>
    <row r="930" spans="8:9" ht="11.25" customHeight="1">
      <c r="H930" s="7"/>
      <c r="I930" s="7"/>
    </row>
    <row r="931" spans="8:9" ht="11.25" customHeight="1">
      <c r="H931" s="7"/>
      <c r="I931" s="7"/>
    </row>
    <row r="932" spans="8:9" ht="11.25" customHeight="1">
      <c r="H932" s="7"/>
      <c r="I932" s="7"/>
    </row>
    <row r="933" spans="8:9" ht="11.25" customHeight="1">
      <c r="H933" s="7"/>
      <c r="I933" s="7"/>
    </row>
    <row r="934" spans="8:9" ht="11.25" customHeight="1">
      <c r="H934" s="7"/>
      <c r="I934" s="7"/>
    </row>
    <row r="935" spans="8:9" ht="11.25" customHeight="1">
      <c r="H935" s="7"/>
      <c r="I935" s="7"/>
    </row>
    <row r="936" spans="8:9" ht="11.25" customHeight="1">
      <c r="H936" s="7"/>
      <c r="I936" s="7"/>
    </row>
    <row r="937" spans="8:9" ht="11.25" customHeight="1">
      <c r="H937" s="7"/>
      <c r="I937" s="7"/>
    </row>
    <row r="938" spans="8:9" ht="11.25" customHeight="1">
      <c r="H938" s="7"/>
      <c r="I938" s="7"/>
    </row>
    <row r="939" spans="8:9" ht="11.25" customHeight="1">
      <c r="H939" s="7"/>
      <c r="I939" s="7"/>
    </row>
    <row r="940" spans="8:9" ht="11.25" customHeight="1">
      <c r="H940" s="7"/>
      <c r="I940" s="7"/>
    </row>
    <row r="941" spans="8:9" ht="11.25" customHeight="1">
      <c r="H941" s="7"/>
      <c r="I941" s="7"/>
    </row>
    <row r="942" spans="8:9" ht="11.25" customHeight="1">
      <c r="H942" s="7"/>
      <c r="I942" s="7"/>
    </row>
    <row r="943" spans="8:9" ht="11.25" customHeight="1">
      <c r="H943" s="7"/>
      <c r="I943" s="7"/>
    </row>
    <row r="944" spans="8:9" ht="11.25" customHeight="1">
      <c r="H944" s="7"/>
      <c r="I944" s="7"/>
    </row>
    <row r="945" spans="8:9" ht="11.25" customHeight="1">
      <c r="H945" s="7"/>
      <c r="I945" s="7"/>
    </row>
    <row r="946" spans="8:9" ht="11.25" customHeight="1">
      <c r="H946" s="7"/>
      <c r="I946" s="7"/>
    </row>
    <row r="947" spans="8:9" ht="11.25" customHeight="1">
      <c r="H947" s="7"/>
      <c r="I947" s="7"/>
    </row>
    <row r="948" spans="8:9" ht="11.25" customHeight="1">
      <c r="H948" s="7"/>
      <c r="I948" s="7"/>
    </row>
    <row r="949" spans="8:9" ht="11.25" customHeight="1">
      <c r="H949" s="7"/>
      <c r="I949" s="7"/>
    </row>
    <row r="950" spans="8:9" ht="11.25" customHeight="1">
      <c r="H950" s="7"/>
      <c r="I950" s="7"/>
    </row>
    <row r="951" spans="8:9" ht="11.25" customHeight="1">
      <c r="H951" s="7"/>
      <c r="I951" s="7"/>
    </row>
    <row r="952" spans="8:9" ht="11.25" customHeight="1">
      <c r="H952" s="7"/>
      <c r="I952" s="7"/>
    </row>
    <row r="953" spans="8:9" ht="11.25" customHeight="1">
      <c r="H953" s="7"/>
      <c r="I953" s="7"/>
    </row>
    <row r="954" spans="8:9" ht="11.25" customHeight="1">
      <c r="H954" s="7"/>
      <c r="I954" s="7"/>
    </row>
    <row r="955" spans="8:9" ht="11.25" customHeight="1">
      <c r="H955" s="7"/>
      <c r="I955" s="7"/>
    </row>
    <row r="956" spans="8:9" ht="11.25" customHeight="1">
      <c r="H956" s="7"/>
      <c r="I956" s="7"/>
    </row>
    <row r="957" spans="8:9" ht="11.25" customHeight="1">
      <c r="H957" s="7"/>
      <c r="I957" s="7"/>
    </row>
    <row r="958" spans="8:9" ht="11.25" customHeight="1">
      <c r="H958" s="7"/>
      <c r="I958" s="7"/>
    </row>
    <row r="959" spans="8:9" ht="11.25" customHeight="1">
      <c r="H959" s="7"/>
      <c r="I959" s="7"/>
    </row>
    <row r="960" spans="8:9" ht="11.25" customHeight="1">
      <c r="H960" s="7"/>
      <c r="I960" s="7"/>
    </row>
    <row r="961" spans="8:9" ht="11.25" customHeight="1">
      <c r="H961" s="7"/>
      <c r="I961" s="7"/>
    </row>
    <row r="962" spans="8:9" ht="11.25" customHeight="1">
      <c r="H962" s="7"/>
      <c r="I962" s="7"/>
    </row>
    <row r="963" spans="8:9" ht="11.25" customHeight="1">
      <c r="H963" s="7"/>
      <c r="I963" s="7"/>
    </row>
    <row r="964" spans="8:9" ht="11.25" customHeight="1">
      <c r="H964" s="7"/>
      <c r="I964" s="7"/>
    </row>
    <row r="965" spans="8:9" ht="11.25" customHeight="1">
      <c r="H965" s="7"/>
      <c r="I965" s="7"/>
    </row>
    <row r="966" spans="8:9" ht="11.25" customHeight="1">
      <c r="H966" s="7"/>
      <c r="I966" s="7"/>
    </row>
    <row r="967" spans="8:9" ht="11.25" customHeight="1">
      <c r="H967" s="7"/>
      <c r="I967" s="7"/>
    </row>
    <row r="968" spans="8:9" ht="11.25" customHeight="1">
      <c r="H968" s="7"/>
      <c r="I968" s="7"/>
    </row>
    <row r="969" spans="8:9" ht="11.25" customHeight="1">
      <c r="H969" s="7"/>
      <c r="I969" s="7"/>
    </row>
    <row r="970" spans="8:9" ht="11.25" customHeight="1">
      <c r="H970" s="7"/>
      <c r="I970" s="7"/>
    </row>
    <row r="971" spans="8:9" ht="11.25" customHeight="1">
      <c r="H971" s="7"/>
      <c r="I971" s="7"/>
    </row>
    <row r="972" spans="8:9" ht="11.25" customHeight="1">
      <c r="H972" s="7"/>
      <c r="I972" s="7"/>
    </row>
    <row r="973" spans="8:9" ht="11.25" customHeight="1">
      <c r="H973" s="7"/>
      <c r="I973" s="7"/>
    </row>
    <row r="974" spans="8:9" ht="11.25" customHeight="1">
      <c r="H974" s="7"/>
      <c r="I974" s="7"/>
    </row>
    <row r="975" spans="8:9" ht="11.25" customHeight="1">
      <c r="H975" s="7"/>
      <c r="I975" s="7"/>
    </row>
    <row r="976" spans="8:9" ht="11.25" customHeight="1">
      <c r="H976" s="7"/>
      <c r="I976" s="7"/>
    </row>
    <row r="977" spans="8:9" ht="11.25" customHeight="1">
      <c r="H977" s="7"/>
      <c r="I977" s="7"/>
    </row>
    <row r="978" spans="8:9" ht="11.25" customHeight="1">
      <c r="H978" s="7"/>
      <c r="I978" s="7"/>
    </row>
    <row r="979" spans="8:9" ht="11.25" customHeight="1">
      <c r="H979" s="7"/>
      <c r="I979" s="7"/>
    </row>
    <row r="980" spans="8:9" ht="11.25" customHeight="1">
      <c r="H980" s="7"/>
      <c r="I980" s="7"/>
    </row>
    <row r="981" spans="8:9" ht="11.25" customHeight="1">
      <c r="H981" s="7"/>
      <c r="I981" s="7"/>
    </row>
    <row r="982" spans="8:9" ht="11.25" customHeight="1">
      <c r="H982" s="7"/>
      <c r="I982" s="7"/>
    </row>
    <row r="983" spans="8:9" ht="11.25" customHeight="1">
      <c r="H983" s="7"/>
      <c r="I983" s="7"/>
    </row>
    <row r="984" spans="8:9" ht="11.25" customHeight="1">
      <c r="H984" s="7"/>
      <c r="I984" s="7"/>
    </row>
    <row r="985" spans="8:9" ht="11.25" customHeight="1">
      <c r="H985" s="7"/>
      <c r="I985" s="7"/>
    </row>
    <row r="986" spans="8:9" ht="11.25" customHeight="1">
      <c r="H986" s="7"/>
      <c r="I986" s="7"/>
    </row>
    <row r="987" spans="8:9" ht="11.25" customHeight="1">
      <c r="H987" s="7"/>
      <c r="I987" s="7"/>
    </row>
    <row r="988" spans="8:9" ht="11.25" customHeight="1">
      <c r="H988" s="7"/>
      <c r="I988" s="7"/>
    </row>
    <row r="989" spans="8:9" ht="11.25" customHeight="1">
      <c r="H989" s="7"/>
      <c r="I989" s="7"/>
    </row>
    <row r="990" spans="8:9" ht="11.25" customHeight="1">
      <c r="H990" s="7"/>
      <c r="I990" s="7"/>
    </row>
    <row r="991" spans="8:9" ht="11.25" customHeight="1">
      <c r="H991" s="7"/>
      <c r="I991" s="7"/>
    </row>
    <row r="992" spans="8:9" ht="11.25" customHeight="1">
      <c r="H992" s="7"/>
      <c r="I992" s="7"/>
    </row>
    <row r="993" spans="8:9" ht="11.25" customHeight="1">
      <c r="H993" s="7"/>
      <c r="I993" s="7"/>
    </row>
    <row r="994" spans="8:9" ht="11.25" customHeight="1">
      <c r="H994" s="7"/>
      <c r="I994" s="7"/>
    </row>
    <row r="995" spans="8:9" ht="11.25" customHeight="1">
      <c r="H995" s="7"/>
      <c r="I995" s="7"/>
    </row>
    <row r="996" spans="8:9" ht="11.25" customHeight="1">
      <c r="H996" s="7"/>
      <c r="I996" s="7"/>
    </row>
    <row r="997" spans="8:9" ht="11.25" customHeight="1">
      <c r="H997" s="7"/>
      <c r="I997" s="7"/>
    </row>
    <row r="998" spans="8:9" ht="11.25" customHeight="1">
      <c r="H998" s="7"/>
      <c r="I998" s="7"/>
    </row>
    <row r="999" spans="8:9" ht="11.25" customHeight="1">
      <c r="H999" s="7"/>
      <c r="I999" s="7"/>
    </row>
    <row r="1000" spans="8:9" ht="11.25" customHeight="1">
      <c r="H1000" s="7"/>
      <c r="I1000" s="7"/>
    </row>
  </sheetData>
  <pageMargins left="0.75" right="0.75" top="1" bottom="1" header="0" footer="0"/>
  <pageSetup orientation="landscape"/>
  <headerFooter>
    <oddHeader>&amp;C&amp;A 2021-2022</oddHeader>
    <oddFooter>&amp;CPage &amp;P&amp;R&amp;D&amp;T</oddFooter>
  </headerFooter>
  <rowBreaks count="3" manualBreakCount="3">
    <brk id="82" man="1"/>
    <brk id="146" man="1"/>
    <brk id="105"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99"/>
  </sheetPr>
  <dimension ref="A1:D1000"/>
  <sheetViews>
    <sheetView workbookViewId="0">
      <selection sqref="A1:D1"/>
    </sheetView>
  </sheetViews>
  <sheetFormatPr defaultColWidth="16.83203125" defaultRowHeight="15" customHeight="1"/>
  <cols>
    <col min="1" max="1" width="14.33203125" customWidth="1"/>
    <col min="2" max="2" width="49" customWidth="1"/>
    <col min="3" max="3" width="13.5" customWidth="1"/>
    <col min="4" max="4" width="10.33203125" customWidth="1"/>
    <col min="5" max="26" width="8.83203125" customWidth="1"/>
  </cols>
  <sheetData>
    <row r="1" spans="1:4" ht="11.25" customHeight="1">
      <c r="A1" s="273" t="s">
        <v>960</v>
      </c>
      <c r="B1" s="260"/>
      <c r="C1" s="260"/>
      <c r="D1" s="260"/>
    </row>
    <row r="2" spans="1:4" ht="11.25" customHeight="1">
      <c r="A2" s="185" t="s">
        <v>706</v>
      </c>
      <c r="B2" s="220" t="str">
        <f>'DOE25'!A2</f>
        <v>Mason</v>
      </c>
    </row>
    <row r="3" spans="1:4" ht="11.25" customHeight="1">
      <c r="B3" s="221" t="s">
        <v>961</v>
      </c>
    </row>
    <row r="4" spans="1:4" ht="11.25" customHeight="1">
      <c r="B4" s="135" t="s">
        <v>505</v>
      </c>
      <c r="C4" s="222">
        <f>IF('DOE25'!F666+'DOE25'!F671=0,0,ROUND('DOE25'!F673,0))</f>
        <v>18497</v>
      </c>
    </row>
    <row r="5" spans="1:4" ht="11.25" customHeight="1">
      <c r="B5" s="135" t="s">
        <v>962</v>
      </c>
      <c r="C5" s="222">
        <f>IF('DOE25'!G666+'DOE25'!G671=0,0,ROUND('DOE25'!G673,0))</f>
        <v>0</v>
      </c>
    </row>
    <row r="6" spans="1:4" ht="11.25" customHeight="1">
      <c r="B6" s="135" t="s">
        <v>507</v>
      </c>
      <c r="C6" s="222">
        <f>IF('DOE25'!H666+'DOE25'!H671=0,0,ROUND('DOE25'!H673,0))</f>
        <v>0</v>
      </c>
    </row>
    <row r="7" spans="1:4" ht="11.25" customHeight="1">
      <c r="B7" s="135" t="s">
        <v>963</v>
      </c>
      <c r="C7" s="222">
        <f>IF('DOE25'!I666+'DOE25'!I671=0,0,ROUND('DOE25'!I673,0))</f>
        <v>18497</v>
      </c>
    </row>
    <row r="8" spans="1:4" ht="11.25" customHeight="1"/>
    <row r="9" spans="1:4" ht="11.25" customHeight="1">
      <c r="A9" s="185" t="s">
        <v>504</v>
      </c>
      <c r="B9" s="221" t="s">
        <v>964</v>
      </c>
      <c r="C9" s="27" t="s">
        <v>965</v>
      </c>
      <c r="D9" s="27" t="s">
        <v>966</v>
      </c>
    </row>
    <row r="10" spans="1:4" ht="11.25" customHeight="1">
      <c r="A10" s="135">
        <v>1100</v>
      </c>
      <c r="B10" s="135" t="s">
        <v>967</v>
      </c>
      <c r="C10" s="222">
        <f>ROUND('DOE25'!L198+'DOE25'!L216+'DOE25'!L234+'DOE25'!L277+'DOE25'!L296+'DOE25'!L315,0)</f>
        <v>1540713</v>
      </c>
      <c r="D10" s="223">
        <f t="shared" ref="D10:D13" si="0">ROUND((C10/$C$28)*100,1)</f>
        <v>55.3</v>
      </c>
    </row>
    <row r="11" spans="1:4" ht="11.25" customHeight="1">
      <c r="A11" s="135">
        <v>1200</v>
      </c>
      <c r="B11" s="135" t="s">
        <v>691</v>
      </c>
      <c r="C11" s="222">
        <f>ROUND('DOE25'!L199+'DOE25'!L217+'DOE25'!L235+'DOE25'!L278+'DOE25'!L297+'DOE25'!L316,0)</f>
        <v>190839</v>
      </c>
      <c r="D11" s="223">
        <f t="shared" si="0"/>
        <v>6.9</v>
      </c>
    </row>
    <row r="12" spans="1:4" ht="11.25" customHeight="1">
      <c r="A12" s="135">
        <v>1300</v>
      </c>
      <c r="B12" s="135" t="s">
        <v>693</v>
      </c>
      <c r="C12" s="222">
        <f>ROUND('DOE25'!L200+'DOE25'!L218+'DOE25'!L236+'DOE25'!L279+'DOE25'!L298+'DOE25'!L317,0)</f>
        <v>0</v>
      </c>
      <c r="D12" s="223">
        <f t="shared" si="0"/>
        <v>0</v>
      </c>
    </row>
    <row r="13" spans="1:4" ht="11.25" customHeight="1">
      <c r="A13" s="135">
        <v>1400</v>
      </c>
      <c r="B13" s="135" t="s">
        <v>695</v>
      </c>
      <c r="C13" s="222">
        <f>ROUND('DOE25'!L201+'DOE25'!L219+'DOE25'!L237+'DOE25'!L280+'DOE25'!L299+'DOE25'!L318,0)</f>
        <v>0</v>
      </c>
      <c r="D13" s="223">
        <f t="shared" si="0"/>
        <v>0</v>
      </c>
    </row>
    <row r="14" spans="1:4" ht="11.25" customHeight="1">
      <c r="D14" s="223"/>
    </row>
    <row r="15" spans="1:4" ht="11.25" customHeight="1">
      <c r="A15" s="135">
        <v>2100</v>
      </c>
      <c r="B15" s="135" t="s">
        <v>968</v>
      </c>
      <c r="C15" s="222">
        <f>ROUND('DOE25'!L203+'DOE25'!L221+'DOE25'!L239+'DOE25'!L282+'DOE25'!L301+'DOE25'!L320,0)</f>
        <v>195119</v>
      </c>
      <c r="D15" s="223">
        <f t="shared" ref="D15:D27" si="1">ROUND((C15/$C$28)*100,1)</f>
        <v>7</v>
      </c>
    </row>
    <row r="16" spans="1:4" ht="11.25" customHeight="1">
      <c r="A16" s="135">
        <v>2200</v>
      </c>
      <c r="B16" s="135" t="s">
        <v>969</v>
      </c>
      <c r="C16" s="222">
        <f>ROUND('DOE25'!L204+'DOE25'!L222+'DOE25'!L240+'DOE25'!L283+'DOE25'!L302+'DOE25'!L321,0)</f>
        <v>154217</v>
      </c>
      <c r="D16" s="223">
        <f t="shared" si="1"/>
        <v>5.5</v>
      </c>
    </row>
    <row r="17" spans="1:4" ht="11.25" customHeight="1">
      <c r="A17" s="224" t="s">
        <v>970</v>
      </c>
      <c r="B17" s="135" t="s">
        <v>971</v>
      </c>
      <c r="C17" s="222">
        <f>ROUND('DOE25'!L205+'DOE25'!L210+'DOE25'!L223+'DOE25'!L228+'DOE25'!L241+'DOE25'!L246+'DOE25'!L284+'DOE25'!L289+'DOE25'!L303+'DOE25'!L308+'DOE25'!L322+'DOE25'!L327,0)</f>
        <v>24683</v>
      </c>
      <c r="D17" s="223">
        <f t="shared" si="1"/>
        <v>0.9</v>
      </c>
    </row>
    <row r="18" spans="1:4" ht="11.25" customHeight="1">
      <c r="A18" s="135">
        <v>2400</v>
      </c>
      <c r="B18" s="135" t="s">
        <v>728</v>
      </c>
      <c r="C18" s="222">
        <f>ROUND('DOE25'!L206+'DOE25'!L224+'DOE25'!L242+'DOE25'!L285+'DOE25'!L304+'DOE25'!L323,0)</f>
        <v>153491</v>
      </c>
      <c r="D18" s="223">
        <f t="shared" si="1"/>
        <v>5.5</v>
      </c>
    </row>
    <row r="19" spans="1:4" ht="11.25" customHeight="1">
      <c r="A19" s="135">
        <v>2500</v>
      </c>
      <c r="B19" s="135" t="s">
        <v>972</v>
      </c>
      <c r="C19" s="222">
        <f>ROUND('DOE25'!L207+'DOE25'!L225+'DOE25'!L243+'DOE25'!L286+'DOE25'!L305+'DOE25'!L324,0)</f>
        <v>33990</v>
      </c>
      <c r="D19" s="223">
        <f t="shared" si="1"/>
        <v>1.2</v>
      </c>
    </row>
    <row r="20" spans="1:4" ht="11.25" customHeight="1">
      <c r="A20" s="135">
        <v>2600</v>
      </c>
      <c r="B20" s="135" t="s">
        <v>973</v>
      </c>
      <c r="C20" s="222">
        <f>ROUND('DOE25'!L208+'DOE25'!L226+'DOE25'!L244+'DOE25'!L287+'DOE25'!L306+'DOE25'!L325,0)</f>
        <v>200114</v>
      </c>
      <c r="D20" s="223">
        <f t="shared" si="1"/>
        <v>7.2</v>
      </c>
    </row>
    <row r="21" spans="1:4" ht="11.25" customHeight="1">
      <c r="A21" s="135">
        <v>2700</v>
      </c>
      <c r="B21" s="135" t="s">
        <v>974</v>
      </c>
      <c r="C21" s="222">
        <f>ROUND('DOE25'!L209+'DOE25'!L227+'DOE25'!L245+'DOE25'!L288+'DOE25'!L307+'DOE25'!L326,0)</f>
        <v>135833</v>
      </c>
      <c r="D21" s="223">
        <f t="shared" si="1"/>
        <v>4.9000000000000004</v>
      </c>
    </row>
    <row r="22" spans="1:4" ht="11.25" customHeight="1">
      <c r="A22" s="135">
        <v>2900</v>
      </c>
      <c r="B22" s="135" t="s">
        <v>975</v>
      </c>
      <c r="C22" s="222">
        <v>0</v>
      </c>
      <c r="D22" s="223">
        <f t="shared" si="1"/>
        <v>0</v>
      </c>
    </row>
    <row r="23" spans="1:4" ht="11.25" customHeight="1">
      <c r="A23" s="135">
        <v>1500</v>
      </c>
      <c r="B23" s="135" t="s">
        <v>976</v>
      </c>
      <c r="C23" s="222">
        <f>ROUND('DOE25'!L251+'DOE25'!L333,0)</f>
        <v>0</v>
      </c>
      <c r="D23" s="223">
        <f t="shared" si="1"/>
        <v>0</v>
      </c>
    </row>
    <row r="24" spans="1:4" ht="11.25" customHeight="1">
      <c r="A24" s="224" t="s">
        <v>977</v>
      </c>
      <c r="B24" s="135" t="s">
        <v>978</v>
      </c>
      <c r="C24" s="222">
        <f>ROUND('DOE25'!L252+'DOE25'!L253+'DOE25'!L254+'DOE25'!L255+'DOE25'!L334+'DOE25'!L335+'DOE25'!L336,0)</f>
        <v>0</v>
      </c>
      <c r="D24" s="223">
        <f t="shared" si="1"/>
        <v>0</v>
      </c>
    </row>
    <row r="25" spans="1:4" ht="11.25" customHeight="1">
      <c r="A25" s="135">
        <v>5120</v>
      </c>
      <c r="B25" s="135" t="s">
        <v>979</v>
      </c>
      <c r="C25" s="222">
        <f>ROUND('DOE25'!L262+'DOE25'!L343,0)</f>
        <v>82048</v>
      </c>
      <c r="D25" s="223">
        <f t="shared" si="1"/>
        <v>2.9</v>
      </c>
    </row>
    <row r="26" spans="1:4" ht="11.25" customHeight="1">
      <c r="A26" s="224" t="s">
        <v>980</v>
      </c>
      <c r="B26" s="135" t="s">
        <v>981</v>
      </c>
      <c r="C26" s="222">
        <f>'DOE25'!L269+'DOE25'!L270+'DOE25'!L350+'DOE25'!L351</f>
        <v>0</v>
      </c>
      <c r="D26" s="223">
        <f t="shared" si="1"/>
        <v>0</v>
      </c>
    </row>
    <row r="27" spans="1:4" ht="11.25" customHeight="1">
      <c r="A27" s="135">
        <v>3100</v>
      </c>
      <c r="B27" s="135" t="s">
        <v>380</v>
      </c>
      <c r="C27" s="222">
        <f>ROUND('DOE25'!L363-'DOE25'!L362,0)-SUM('DOE25'!G97:G110)</f>
        <v>73007.5</v>
      </c>
      <c r="D27" s="223">
        <f t="shared" si="1"/>
        <v>2.6</v>
      </c>
    </row>
    <row r="28" spans="1:4" ht="11.25" customHeight="1">
      <c r="B28" s="185" t="s">
        <v>982</v>
      </c>
      <c r="C28" s="225">
        <f>SUM(C10:C27)</f>
        <v>2784054.5</v>
      </c>
      <c r="D28" s="226">
        <f>ROUND(SUM(D10:D27),0)</f>
        <v>100</v>
      </c>
    </row>
    <row r="29" spans="1:4" ht="11.25" customHeight="1">
      <c r="A29" s="135">
        <v>4000</v>
      </c>
      <c r="B29" s="135" t="s">
        <v>983</v>
      </c>
      <c r="C29" s="222">
        <f>ROUND('DOE25'!L256+'DOE25'!L337+'DOE25'!L375+'DOE25'!L376+'DOE25'!L377+'DOE25'!L378+'DOE25'!L379+'DOE25'!L380+'DOE25'!L381,0)</f>
        <v>0</v>
      </c>
    </row>
    <row r="30" spans="1:4" ht="11.25" customHeight="1">
      <c r="B30" s="185" t="s">
        <v>664</v>
      </c>
      <c r="C30" s="225">
        <f>SUM(C28:C29)</f>
        <v>2784054.5</v>
      </c>
    </row>
    <row r="31" spans="1:4" ht="11.25" customHeight="1">
      <c r="B31" s="49"/>
      <c r="C31" s="225"/>
    </row>
    <row r="32" spans="1:4" ht="11.25" customHeight="1">
      <c r="A32" s="135">
        <v>5100</v>
      </c>
      <c r="B32" s="49" t="s">
        <v>984</v>
      </c>
      <c r="C32" s="225">
        <f>ROUND('DOE25'!L261+'DOE25'!L342,0)</f>
        <v>245000</v>
      </c>
    </row>
    <row r="33" spans="1:4" ht="11.25" customHeight="1"/>
    <row r="34" spans="1:4" ht="11.25" customHeight="1">
      <c r="A34" s="185" t="s">
        <v>504</v>
      </c>
      <c r="B34" s="221" t="s">
        <v>985</v>
      </c>
      <c r="C34" s="27" t="s">
        <v>965</v>
      </c>
      <c r="D34" s="27" t="s">
        <v>966</v>
      </c>
    </row>
    <row r="35" spans="1:4" ht="11.25" customHeight="1">
      <c r="A35" s="135">
        <v>1100</v>
      </c>
      <c r="B35" s="7" t="s">
        <v>986</v>
      </c>
      <c r="C35" s="222">
        <f>ROUND('DOE25'!F60+'DOE25'!G60+'DOE25'!H60+'DOE25'!I60+'DOE25'!J60,0)</f>
        <v>2100643</v>
      </c>
      <c r="D35" s="223">
        <f t="shared" ref="D35:D40" si="2">ROUND((C35/$C$41)*100,1)</f>
        <v>70.7</v>
      </c>
    </row>
    <row r="36" spans="1:4" ht="11.25" customHeight="1">
      <c r="B36" s="7" t="s">
        <v>987</v>
      </c>
      <c r="C36" s="222">
        <f>SUM('DOE25'!F112:J112)-SUM('DOE25'!G97:G110)+('DOE25'!F175+'DOE25'!F176+'DOE25'!I175+'DOE25'!I176)-C35</f>
        <v>6882.660000000149</v>
      </c>
      <c r="D36" s="223">
        <f t="shared" si="2"/>
        <v>0.2</v>
      </c>
    </row>
    <row r="37" spans="1:4" ht="11.25" customHeight="1">
      <c r="A37" s="224" t="s">
        <v>988</v>
      </c>
      <c r="B37" s="7" t="s">
        <v>989</v>
      </c>
      <c r="C37" s="222">
        <f>ROUND('DOE25'!F117+'DOE25'!F118,0)</f>
        <v>688282</v>
      </c>
      <c r="D37" s="223">
        <f t="shared" si="2"/>
        <v>23.2</v>
      </c>
    </row>
    <row r="38" spans="1:4" ht="11.25" customHeight="1">
      <c r="A38" s="224" t="s">
        <v>990</v>
      </c>
      <c r="B38" s="7" t="s">
        <v>991</v>
      </c>
      <c r="C38" s="222">
        <f>ROUND(SUM('DOE25'!F140:J140)-SUM('DOE25'!F117:F119),0)</f>
        <v>93277</v>
      </c>
      <c r="D38" s="223">
        <f t="shared" si="2"/>
        <v>3.1</v>
      </c>
    </row>
    <row r="39" spans="1:4" ht="11.25" customHeight="1">
      <c r="A39" s="135">
        <v>4000</v>
      </c>
      <c r="B39" s="7" t="s">
        <v>992</v>
      </c>
      <c r="C39" s="222">
        <f>ROUND('DOE25'!F170+'DOE25'!G170+'DOE25'!H170+'DOE25'!I170,0)</f>
        <v>82803</v>
      </c>
      <c r="D39" s="223">
        <f t="shared" si="2"/>
        <v>2.8</v>
      </c>
    </row>
    <row r="40" spans="1:4" ht="11.25" customHeight="1">
      <c r="A40" s="224" t="s">
        <v>993</v>
      </c>
      <c r="B40" s="7" t="s">
        <v>994</v>
      </c>
      <c r="C40" s="222">
        <f>ROUND(SUM('DOE25'!F190:F192)+SUM('DOE25'!G190:G192)+SUM('DOE25'!H190:H192)+SUM('DOE25'!I190:I192),0)</f>
        <v>0</v>
      </c>
      <c r="D40" s="223">
        <f t="shared" si="2"/>
        <v>0</v>
      </c>
    </row>
    <row r="41" spans="1:4" ht="11.25" customHeight="1">
      <c r="B41" s="185" t="s">
        <v>657</v>
      </c>
      <c r="C41" s="225">
        <f t="shared" ref="C41:D41" si="3">SUM(C35:C40)</f>
        <v>2971887.66</v>
      </c>
      <c r="D41" s="226">
        <f t="shared" si="3"/>
        <v>100</v>
      </c>
    </row>
    <row r="42" spans="1:4" ht="11.25" customHeight="1">
      <c r="A42" s="224" t="s">
        <v>995</v>
      </c>
      <c r="B42" s="7" t="s">
        <v>996</v>
      </c>
      <c r="C42" s="222">
        <f>ROUND('DOE25'!F174+'DOE25'!I174+'DOE25'!F177+'DOE25'!I177,0)</f>
        <v>0</v>
      </c>
    </row>
    <row r="43" spans="1:4" ht="11.25" customHeight="1"/>
    <row r="44" spans="1:4" ht="11.25" customHeight="1"/>
    <row r="45" spans="1:4" ht="11.25" customHeight="1"/>
    <row r="46" spans="1:4" ht="11.25" customHeight="1"/>
    <row r="47" spans="1:4" ht="11.25" customHeight="1"/>
    <row r="48" spans="1:4" ht="11.25" customHeight="1"/>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
    <mergeCell ref="A1:D1"/>
  </mergeCells>
  <pageMargins left="1.25" right="1.25" top="1.75" bottom="1.75" header="0" footer="0"/>
  <pageSetup orientation="portrait"/>
  <headerFooter>
    <oddHeader>&amp;C&amp;A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8000"/>
  </sheetPr>
  <dimension ref="A1:Z1000"/>
  <sheetViews>
    <sheetView workbookViewId="0">
      <selection sqref="A1:I1"/>
    </sheetView>
  </sheetViews>
  <sheetFormatPr defaultColWidth="16.83203125" defaultRowHeight="15" customHeight="1"/>
  <cols>
    <col min="1" max="1" width="10.33203125" customWidth="1"/>
    <col min="2" max="13" width="8.83203125" customWidth="1"/>
    <col min="14" max="14" width="6.1640625" customWidth="1"/>
    <col min="15" max="26" width="8.83203125" customWidth="1"/>
  </cols>
  <sheetData>
    <row r="1" spans="1:26" ht="11.25" customHeight="1">
      <c r="A1" s="276" t="s">
        <v>997</v>
      </c>
      <c r="B1" s="277"/>
      <c r="C1" s="277"/>
      <c r="D1" s="277"/>
      <c r="E1" s="277"/>
      <c r="F1" s="277"/>
      <c r="G1" s="277"/>
      <c r="H1" s="277"/>
      <c r="I1" s="277"/>
      <c r="J1" s="227"/>
      <c r="K1" s="227"/>
      <c r="L1" s="227"/>
      <c r="M1" s="228"/>
    </row>
    <row r="2" spans="1:26" ht="11.25" customHeight="1">
      <c r="A2" s="278" t="s">
        <v>998</v>
      </c>
      <c r="B2" s="260"/>
      <c r="C2" s="260"/>
      <c r="D2" s="260"/>
      <c r="E2" s="260"/>
      <c r="F2" s="279" t="str">
        <f>'DOE25'!A2</f>
        <v>Mason</v>
      </c>
      <c r="G2" s="260"/>
      <c r="H2" s="260"/>
      <c r="I2" s="260"/>
      <c r="J2" s="7"/>
      <c r="K2" s="7"/>
      <c r="L2" s="7"/>
      <c r="M2" s="229"/>
    </row>
    <row r="3" spans="1:26" ht="11.25" customHeight="1">
      <c r="A3" s="230" t="s">
        <v>999</v>
      </c>
      <c r="B3" s="27" t="s">
        <v>1000</v>
      </c>
      <c r="C3" s="267" t="s">
        <v>751</v>
      </c>
      <c r="D3" s="260"/>
      <c r="E3" s="260"/>
      <c r="F3" s="260"/>
      <c r="G3" s="260"/>
      <c r="H3" s="260"/>
      <c r="I3" s="260"/>
      <c r="J3" s="260"/>
      <c r="K3" s="260"/>
      <c r="L3" s="260"/>
      <c r="M3" s="275"/>
    </row>
    <row r="4" spans="1:26" ht="11.25" customHeight="1">
      <c r="A4" s="231"/>
      <c r="B4" s="232"/>
      <c r="C4" s="274"/>
      <c r="D4" s="260"/>
      <c r="E4" s="260"/>
      <c r="F4" s="260"/>
      <c r="G4" s="260"/>
      <c r="H4" s="260"/>
      <c r="I4" s="260"/>
      <c r="J4" s="260"/>
      <c r="K4" s="260"/>
      <c r="L4" s="260"/>
      <c r="M4" s="275"/>
      <c r="N4" s="7"/>
      <c r="O4" s="7"/>
      <c r="P4" s="7"/>
      <c r="Q4" s="7"/>
      <c r="R4" s="7"/>
      <c r="S4" s="7"/>
      <c r="T4" s="7"/>
      <c r="U4" s="7"/>
      <c r="V4" s="7"/>
      <c r="W4" s="7"/>
      <c r="X4" s="7"/>
      <c r="Y4" s="7"/>
      <c r="Z4" s="7"/>
    </row>
    <row r="5" spans="1:26" ht="11.25" customHeight="1">
      <c r="A5" s="231"/>
      <c r="B5" s="232"/>
      <c r="C5" s="274"/>
      <c r="D5" s="260"/>
      <c r="E5" s="260"/>
      <c r="F5" s="260"/>
      <c r="G5" s="260"/>
      <c r="H5" s="260"/>
      <c r="I5" s="260"/>
      <c r="J5" s="260"/>
      <c r="K5" s="260"/>
      <c r="L5" s="260"/>
      <c r="M5" s="275"/>
      <c r="N5" s="7"/>
      <c r="O5" s="7"/>
      <c r="P5" s="7"/>
      <c r="Q5" s="7"/>
      <c r="R5" s="7"/>
      <c r="S5" s="7"/>
      <c r="T5" s="7"/>
      <c r="U5" s="7"/>
      <c r="V5" s="7"/>
      <c r="W5" s="7"/>
      <c r="X5" s="7"/>
      <c r="Y5" s="7"/>
      <c r="Z5" s="7"/>
    </row>
    <row r="6" spans="1:26" ht="11.25" customHeight="1">
      <c r="A6" s="231"/>
      <c r="B6" s="232"/>
      <c r="C6" s="274"/>
      <c r="D6" s="260"/>
      <c r="E6" s="260"/>
      <c r="F6" s="260"/>
      <c r="G6" s="260"/>
      <c r="H6" s="260"/>
      <c r="I6" s="260"/>
      <c r="J6" s="260"/>
      <c r="K6" s="260"/>
      <c r="L6" s="260"/>
      <c r="M6" s="275"/>
      <c r="N6" s="7"/>
      <c r="O6" s="7"/>
      <c r="P6" s="7"/>
      <c r="Q6" s="7"/>
      <c r="R6" s="7"/>
      <c r="S6" s="7"/>
      <c r="T6" s="7"/>
      <c r="U6" s="7"/>
      <c r="V6" s="7"/>
      <c r="W6" s="7"/>
      <c r="X6" s="7"/>
      <c r="Y6" s="7"/>
      <c r="Z6" s="7"/>
    </row>
    <row r="7" spans="1:26" ht="11.25" customHeight="1">
      <c r="A7" s="231"/>
      <c r="B7" s="232"/>
      <c r="C7" s="274"/>
      <c r="D7" s="260"/>
      <c r="E7" s="260"/>
      <c r="F7" s="260"/>
      <c r="G7" s="260"/>
      <c r="H7" s="260"/>
      <c r="I7" s="260"/>
      <c r="J7" s="260"/>
      <c r="K7" s="260"/>
      <c r="L7" s="260"/>
      <c r="M7" s="275"/>
      <c r="N7" s="7"/>
      <c r="O7" s="7"/>
      <c r="P7" s="7"/>
      <c r="Q7" s="7"/>
      <c r="R7" s="7"/>
      <c r="S7" s="7"/>
      <c r="T7" s="7"/>
      <c r="U7" s="7"/>
      <c r="V7" s="7"/>
      <c r="W7" s="7"/>
      <c r="X7" s="7"/>
      <c r="Y7" s="7"/>
      <c r="Z7" s="7"/>
    </row>
    <row r="8" spans="1:26" ht="11.25" customHeight="1">
      <c r="A8" s="231"/>
      <c r="B8" s="232"/>
      <c r="C8" s="274"/>
      <c r="D8" s="260"/>
      <c r="E8" s="260"/>
      <c r="F8" s="260"/>
      <c r="G8" s="260"/>
      <c r="H8" s="260"/>
      <c r="I8" s="260"/>
      <c r="J8" s="260"/>
      <c r="K8" s="260"/>
      <c r="L8" s="260"/>
      <c r="M8" s="275"/>
      <c r="N8" s="7"/>
      <c r="O8" s="7"/>
      <c r="P8" s="7"/>
      <c r="Q8" s="7"/>
      <c r="R8" s="7"/>
      <c r="S8" s="7"/>
      <c r="T8" s="7"/>
      <c r="U8" s="7"/>
      <c r="V8" s="7"/>
      <c r="W8" s="7"/>
      <c r="X8" s="7"/>
      <c r="Y8" s="7"/>
      <c r="Z8" s="7"/>
    </row>
    <row r="9" spans="1:26" ht="11.25" customHeight="1">
      <c r="A9" s="231"/>
      <c r="B9" s="232"/>
      <c r="C9" s="274"/>
      <c r="D9" s="260"/>
      <c r="E9" s="260"/>
      <c r="F9" s="260"/>
      <c r="G9" s="260"/>
      <c r="H9" s="260"/>
      <c r="I9" s="260"/>
      <c r="J9" s="260"/>
      <c r="K9" s="260"/>
      <c r="L9" s="260"/>
      <c r="M9" s="275"/>
      <c r="N9" s="7"/>
      <c r="O9" s="7"/>
      <c r="P9" s="7"/>
      <c r="Q9" s="7"/>
      <c r="R9" s="7"/>
      <c r="S9" s="7"/>
      <c r="T9" s="7"/>
      <c r="U9" s="7"/>
      <c r="V9" s="7"/>
      <c r="W9" s="7"/>
      <c r="X9" s="7"/>
      <c r="Y9" s="7"/>
      <c r="Z9" s="7"/>
    </row>
    <row r="10" spans="1:26" ht="11.25" customHeight="1">
      <c r="A10" s="231"/>
      <c r="B10" s="232"/>
      <c r="C10" s="274"/>
      <c r="D10" s="260"/>
      <c r="E10" s="260"/>
      <c r="F10" s="260"/>
      <c r="G10" s="260"/>
      <c r="H10" s="260"/>
      <c r="I10" s="260"/>
      <c r="J10" s="260"/>
      <c r="K10" s="260"/>
      <c r="L10" s="260"/>
      <c r="M10" s="275"/>
      <c r="N10" s="7"/>
      <c r="O10" s="7"/>
      <c r="P10" s="7"/>
      <c r="Q10" s="7"/>
      <c r="R10" s="7"/>
      <c r="S10" s="7"/>
      <c r="T10" s="7"/>
      <c r="U10" s="7"/>
      <c r="V10" s="7"/>
      <c r="W10" s="7"/>
      <c r="X10" s="7"/>
      <c r="Y10" s="7"/>
      <c r="Z10" s="7"/>
    </row>
    <row r="11" spans="1:26" ht="11.25" customHeight="1">
      <c r="A11" s="231"/>
      <c r="B11" s="232"/>
      <c r="C11" s="274"/>
      <c r="D11" s="260"/>
      <c r="E11" s="260"/>
      <c r="F11" s="260"/>
      <c r="G11" s="260"/>
      <c r="H11" s="260"/>
      <c r="I11" s="260"/>
      <c r="J11" s="260"/>
      <c r="K11" s="260"/>
      <c r="L11" s="260"/>
      <c r="M11" s="275"/>
      <c r="N11" s="7"/>
      <c r="O11" s="7"/>
      <c r="P11" s="7"/>
      <c r="Q11" s="7"/>
      <c r="R11" s="7"/>
      <c r="S11" s="7"/>
      <c r="T11" s="7"/>
      <c r="U11" s="7"/>
      <c r="V11" s="7"/>
      <c r="W11" s="7"/>
      <c r="X11" s="7"/>
      <c r="Y11" s="7"/>
      <c r="Z11" s="7"/>
    </row>
    <row r="12" spans="1:26" ht="11.25" customHeight="1">
      <c r="A12" s="231"/>
      <c r="B12" s="232"/>
      <c r="C12" s="274"/>
      <c r="D12" s="260"/>
      <c r="E12" s="260"/>
      <c r="F12" s="260"/>
      <c r="G12" s="260"/>
      <c r="H12" s="260"/>
      <c r="I12" s="260"/>
      <c r="J12" s="260"/>
      <c r="K12" s="260"/>
      <c r="L12" s="260"/>
      <c r="M12" s="275"/>
      <c r="N12" s="7"/>
      <c r="O12" s="7"/>
      <c r="P12" s="7"/>
      <c r="Q12" s="7"/>
      <c r="R12" s="7"/>
      <c r="S12" s="7"/>
      <c r="T12" s="7"/>
      <c r="U12" s="7"/>
      <c r="V12" s="7"/>
      <c r="W12" s="7"/>
      <c r="X12" s="7"/>
      <c r="Y12" s="7"/>
      <c r="Z12" s="7"/>
    </row>
    <row r="13" spans="1:26" ht="11.25" customHeight="1">
      <c r="A13" s="231"/>
      <c r="B13" s="232"/>
      <c r="C13" s="274"/>
      <c r="D13" s="260"/>
      <c r="E13" s="260"/>
      <c r="F13" s="260"/>
      <c r="G13" s="260"/>
      <c r="H13" s="260"/>
      <c r="I13" s="260"/>
      <c r="J13" s="260"/>
      <c r="K13" s="260"/>
      <c r="L13" s="260"/>
      <c r="M13" s="275"/>
      <c r="N13" s="7"/>
      <c r="O13" s="7"/>
      <c r="P13" s="7"/>
      <c r="Q13" s="7"/>
      <c r="R13" s="7"/>
      <c r="S13" s="7"/>
      <c r="T13" s="7"/>
      <c r="U13" s="7"/>
      <c r="V13" s="7"/>
      <c r="W13" s="7"/>
      <c r="X13" s="7"/>
      <c r="Y13" s="7"/>
      <c r="Z13" s="7"/>
    </row>
    <row r="14" spans="1:26" ht="11.25" customHeight="1">
      <c r="A14" s="231"/>
      <c r="B14" s="232"/>
      <c r="C14" s="274"/>
      <c r="D14" s="260"/>
      <c r="E14" s="260"/>
      <c r="F14" s="260"/>
      <c r="G14" s="260"/>
      <c r="H14" s="260"/>
      <c r="I14" s="260"/>
      <c r="J14" s="260"/>
      <c r="K14" s="260"/>
      <c r="L14" s="260"/>
      <c r="M14" s="275"/>
      <c r="N14" s="7"/>
      <c r="O14" s="7"/>
      <c r="P14" s="7"/>
      <c r="Q14" s="7"/>
      <c r="R14" s="7"/>
      <c r="S14" s="7"/>
      <c r="T14" s="7"/>
      <c r="U14" s="7"/>
      <c r="V14" s="7"/>
      <c r="W14" s="7"/>
      <c r="X14" s="7"/>
      <c r="Y14" s="7"/>
      <c r="Z14" s="7"/>
    </row>
    <row r="15" spans="1:26" ht="11.25" customHeight="1">
      <c r="A15" s="231"/>
      <c r="B15" s="232"/>
      <c r="C15" s="274"/>
      <c r="D15" s="260"/>
      <c r="E15" s="260"/>
      <c r="F15" s="260"/>
      <c r="G15" s="260"/>
      <c r="H15" s="260"/>
      <c r="I15" s="260"/>
      <c r="J15" s="260"/>
      <c r="K15" s="260"/>
      <c r="L15" s="260"/>
      <c r="M15" s="275"/>
      <c r="N15" s="7"/>
      <c r="O15" s="7"/>
      <c r="P15" s="7"/>
      <c r="Q15" s="7"/>
      <c r="R15" s="7"/>
      <c r="S15" s="7"/>
      <c r="T15" s="7"/>
      <c r="U15" s="7"/>
      <c r="V15" s="7"/>
      <c r="W15" s="7"/>
      <c r="X15" s="7"/>
      <c r="Y15" s="7"/>
      <c r="Z15" s="7"/>
    </row>
    <row r="16" spans="1:26" ht="11.25" customHeight="1">
      <c r="A16" s="231"/>
      <c r="B16" s="232"/>
      <c r="C16" s="274"/>
      <c r="D16" s="260"/>
      <c r="E16" s="260"/>
      <c r="F16" s="260"/>
      <c r="G16" s="260"/>
      <c r="H16" s="260"/>
      <c r="I16" s="260"/>
      <c r="J16" s="260"/>
      <c r="K16" s="260"/>
      <c r="L16" s="260"/>
      <c r="M16" s="275"/>
      <c r="N16" s="7"/>
      <c r="O16" s="7"/>
      <c r="P16" s="7"/>
      <c r="Q16" s="7"/>
      <c r="R16" s="7"/>
      <c r="S16" s="7"/>
      <c r="T16" s="7"/>
      <c r="U16" s="7"/>
      <c r="V16" s="7"/>
      <c r="W16" s="7"/>
      <c r="X16" s="7"/>
      <c r="Y16" s="7"/>
      <c r="Z16" s="7"/>
    </row>
    <row r="17" spans="1:26" ht="11.25" customHeight="1">
      <c r="A17" s="231"/>
      <c r="B17" s="232"/>
      <c r="C17" s="274"/>
      <c r="D17" s="260"/>
      <c r="E17" s="260"/>
      <c r="F17" s="260"/>
      <c r="G17" s="260"/>
      <c r="H17" s="260"/>
      <c r="I17" s="260"/>
      <c r="J17" s="260"/>
      <c r="K17" s="260"/>
      <c r="L17" s="260"/>
      <c r="M17" s="275"/>
      <c r="N17" s="7"/>
      <c r="O17" s="7"/>
      <c r="P17" s="7"/>
      <c r="Q17" s="7"/>
      <c r="R17" s="7"/>
      <c r="S17" s="7"/>
      <c r="T17" s="7"/>
      <c r="U17" s="7"/>
      <c r="V17" s="7"/>
      <c r="W17" s="7"/>
      <c r="X17" s="7"/>
      <c r="Y17" s="7"/>
      <c r="Z17" s="7"/>
    </row>
    <row r="18" spans="1:26" ht="11.25" customHeight="1">
      <c r="A18" s="231"/>
      <c r="B18" s="232"/>
      <c r="C18" s="274"/>
      <c r="D18" s="260"/>
      <c r="E18" s="260"/>
      <c r="F18" s="260"/>
      <c r="G18" s="260"/>
      <c r="H18" s="260"/>
      <c r="I18" s="260"/>
      <c r="J18" s="260"/>
      <c r="K18" s="260"/>
      <c r="L18" s="260"/>
      <c r="M18" s="275"/>
      <c r="N18" s="7"/>
      <c r="O18" s="7"/>
      <c r="P18" s="7"/>
      <c r="Q18" s="7"/>
      <c r="R18" s="7"/>
      <c r="S18" s="7"/>
      <c r="T18" s="7"/>
      <c r="U18" s="7"/>
      <c r="V18" s="7"/>
      <c r="W18" s="7"/>
      <c r="X18" s="7"/>
      <c r="Y18" s="7"/>
      <c r="Z18" s="7"/>
    </row>
    <row r="19" spans="1:26" ht="11.25" customHeight="1">
      <c r="A19" s="231"/>
      <c r="B19" s="232"/>
      <c r="C19" s="274"/>
      <c r="D19" s="260"/>
      <c r="E19" s="260"/>
      <c r="F19" s="260"/>
      <c r="G19" s="260"/>
      <c r="H19" s="260"/>
      <c r="I19" s="260"/>
      <c r="J19" s="260"/>
      <c r="K19" s="260"/>
      <c r="L19" s="260"/>
      <c r="M19" s="275"/>
      <c r="N19" s="7"/>
      <c r="O19" s="7"/>
      <c r="P19" s="7"/>
      <c r="Q19" s="7"/>
      <c r="R19" s="7"/>
      <c r="S19" s="7"/>
      <c r="T19" s="7"/>
      <c r="U19" s="7"/>
      <c r="V19" s="7"/>
      <c r="W19" s="7"/>
      <c r="X19" s="7"/>
      <c r="Y19" s="7"/>
      <c r="Z19" s="7"/>
    </row>
    <row r="20" spans="1:26" ht="11.25" customHeight="1">
      <c r="A20" s="231"/>
      <c r="B20" s="232"/>
      <c r="C20" s="274"/>
      <c r="D20" s="260"/>
      <c r="E20" s="260"/>
      <c r="F20" s="260"/>
      <c r="G20" s="260"/>
      <c r="H20" s="260"/>
      <c r="I20" s="260"/>
      <c r="J20" s="260"/>
      <c r="K20" s="260"/>
      <c r="L20" s="260"/>
      <c r="M20" s="275"/>
      <c r="N20" s="7"/>
      <c r="O20" s="7"/>
      <c r="P20" s="7"/>
      <c r="Q20" s="7"/>
      <c r="R20" s="7"/>
      <c r="S20" s="7"/>
      <c r="T20" s="7"/>
      <c r="U20" s="7"/>
      <c r="V20" s="7"/>
      <c r="W20" s="7"/>
      <c r="X20" s="7"/>
      <c r="Y20" s="7"/>
      <c r="Z20" s="7"/>
    </row>
    <row r="21" spans="1:26" ht="11.25" customHeight="1">
      <c r="A21" s="231"/>
      <c r="B21" s="232"/>
      <c r="C21" s="274"/>
      <c r="D21" s="260"/>
      <c r="E21" s="260"/>
      <c r="F21" s="260"/>
      <c r="G21" s="260"/>
      <c r="H21" s="260"/>
      <c r="I21" s="260"/>
      <c r="J21" s="260"/>
      <c r="K21" s="260"/>
      <c r="L21" s="260"/>
      <c r="M21" s="275"/>
      <c r="N21" s="7"/>
      <c r="O21" s="7"/>
      <c r="P21" s="7"/>
      <c r="Q21" s="7"/>
      <c r="R21" s="7"/>
      <c r="S21" s="7"/>
      <c r="T21" s="7"/>
      <c r="U21" s="7"/>
      <c r="V21" s="7"/>
      <c r="W21" s="7"/>
      <c r="X21" s="7"/>
      <c r="Y21" s="7"/>
      <c r="Z21" s="7"/>
    </row>
    <row r="22" spans="1:26" ht="11.25" customHeight="1">
      <c r="A22" s="231"/>
      <c r="B22" s="232"/>
      <c r="C22" s="274"/>
      <c r="D22" s="260"/>
      <c r="E22" s="260"/>
      <c r="F22" s="260"/>
      <c r="G22" s="260"/>
      <c r="H22" s="260"/>
      <c r="I22" s="260"/>
      <c r="J22" s="260"/>
      <c r="K22" s="260"/>
      <c r="L22" s="260"/>
      <c r="M22" s="275"/>
      <c r="N22" s="7"/>
      <c r="O22" s="7"/>
      <c r="P22" s="7"/>
      <c r="Q22" s="7"/>
      <c r="R22" s="7"/>
      <c r="S22" s="7"/>
      <c r="T22" s="7"/>
      <c r="U22" s="7"/>
      <c r="V22" s="7"/>
      <c r="W22" s="7"/>
      <c r="X22" s="7"/>
      <c r="Y22" s="7"/>
      <c r="Z22" s="7"/>
    </row>
    <row r="23" spans="1:26" ht="11.25" customHeight="1">
      <c r="A23" s="231"/>
      <c r="B23" s="232"/>
      <c r="C23" s="274"/>
      <c r="D23" s="260"/>
      <c r="E23" s="260"/>
      <c r="F23" s="260"/>
      <c r="G23" s="260"/>
      <c r="H23" s="260"/>
      <c r="I23" s="260"/>
      <c r="J23" s="260"/>
      <c r="K23" s="260"/>
      <c r="L23" s="260"/>
      <c r="M23" s="275"/>
      <c r="N23" s="7"/>
      <c r="O23" s="7"/>
      <c r="P23" s="7"/>
      <c r="Q23" s="7"/>
      <c r="R23" s="7"/>
      <c r="S23" s="7"/>
      <c r="T23" s="7"/>
      <c r="U23" s="7"/>
      <c r="V23" s="7"/>
      <c r="W23" s="7"/>
      <c r="X23" s="7"/>
      <c r="Y23" s="7"/>
      <c r="Z23" s="7"/>
    </row>
    <row r="24" spans="1:26" ht="11.25" customHeight="1">
      <c r="A24" s="231"/>
      <c r="B24" s="232"/>
      <c r="C24" s="274"/>
      <c r="D24" s="260"/>
      <c r="E24" s="260"/>
      <c r="F24" s="260"/>
      <c r="G24" s="260"/>
      <c r="H24" s="260"/>
      <c r="I24" s="260"/>
      <c r="J24" s="260"/>
      <c r="K24" s="260"/>
      <c r="L24" s="260"/>
      <c r="M24" s="275"/>
      <c r="N24" s="7"/>
      <c r="O24" s="7"/>
      <c r="P24" s="7"/>
      <c r="Q24" s="7"/>
      <c r="R24" s="7"/>
      <c r="S24" s="7"/>
      <c r="T24" s="7"/>
      <c r="U24" s="7"/>
      <c r="V24" s="7"/>
      <c r="W24" s="7"/>
      <c r="X24" s="7"/>
      <c r="Y24" s="7"/>
      <c r="Z24" s="7"/>
    </row>
    <row r="25" spans="1:26" ht="11.25" customHeight="1">
      <c r="A25" s="231"/>
      <c r="B25" s="232"/>
      <c r="C25" s="274"/>
      <c r="D25" s="260"/>
      <c r="E25" s="260"/>
      <c r="F25" s="260"/>
      <c r="G25" s="260"/>
      <c r="H25" s="260"/>
      <c r="I25" s="260"/>
      <c r="J25" s="260"/>
      <c r="K25" s="260"/>
      <c r="L25" s="260"/>
      <c r="M25" s="275"/>
      <c r="N25" s="7"/>
      <c r="O25" s="7"/>
      <c r="P25" s="7"/>
      <c r="Q25" s="7"/>
      <c r="R25" s="7"/>
      <c r="S25" s="7"/>
      <c r="T25" s="7"/>
      <c r="U25" s="7"/>
      <c r="V25" s="7"/>
      <c r="W25" s="7"/>
      <c r="X25" s="7"/>
      <c r="Y25" s="7"/>
      <c r="Z25" s="7"/>
    </row>
    <row r="26" spans="1:26" ht="11.25" customHeight="1">
      <c r="A26" s="231"/>
      <c r="B26" s="232"/>
      <c r="C26" s="274"/>
      <c r="D26" s="260"/>
      <c r="E26" s="260"/>
      <c r="F26" s="260"/>
      <c r="G26" s="260"/>
      <c r="H26" s="260"/>
      <c r="I26" s="260"/>
      <c r="J26" s="260"/>
      <c r="K26" s="260"/>
      <c r="L26" s="260"/>
      <c r="M26" s="275"/>
      <c r="N26" s="7"/>
      <c r="O26" s="7"/>
      <c r="P26" s="7"/>
      <c r="Q26" s="7"/>
      <c r="R26" s="7"/>
      <c r="S26" s="7"/>
      <c r="T26" s="7"/>
      <c r="U26" s="7"/>
      <c r="V26" s="7"/>
      <c r="W26" s="7"/>
      <c r="X26" s="7"/>
      <c r="Y26" s="7"/>
      <c r="Z26" s="7"/>
    </row>
    <row r="27" spans="1:26" ht="11.25" customHeight="1">
      <c r="A27" s="231"/>
      <c r="B27" s="232"/>
      <c r="C27" s="274"/>
      <c r="D27" s="260"/>
      <c r="E27" s="260"/>
      <c r="F27" s="260"/>
      <c r="G27" s="260"/>
      <c r="H27" s="260"/>
      <c r="I27" s="260"/>
      <c r="J27" s="260"/>
      <c r="K27" s="260"/>
      <c r="L27" s="260"/>
      <c r="M27" s="275"/>
      <c r="N27" s="7"/>
      <c r="O27" s="7"/>
      <c r="P27" s="7"/>
      <c r="Q27" s="7"/>
      <c r="R27" s="7"/>
      <c r="S27" s="7"/>
      <c r="T27" s="7"/>
      <c r="U27" s="7"/>
      <c r="V27" s="7"/>
      <c r="W27" s="7"/>
      <c r="X27" s="7"/>
      <c r="Y27" s="7"/>
      <c r="Z27" s="7"/>
    </row>
    <row r="28" spans="1:26" ht="11.25" customHeight="1">
      <c r="A28" s="231"/>
      <c r="B28" s="232"/>
      <c r="C28" s="274"/>
      <c r="D28" s="260"/>
      <c r="E28" s="260"/>
      <c r="F28" s="260"/>
      <c r="G28" s="260"/>
      <c r="H28" s="260"/>
      <c r="I28" s="260"/>
      <c r="J28" s="260"/>
      <c r="K28" s="260"/>
      <c r="L28" s="260"/>
      <c r="M28" s="275"/>
      <c r="N28" s="7"/>
      <c r="O28" s="7"/>
      <c r="P28" s="7"/>
      <c r="Q28" s="7"/>
      <c r="R28" s="7"/>
      <c r="S28" s="7"/>
      <c r="T28" s="7"/>
      <c r="U28" s="7"/>
      <c r="V28" s="7"/>
      <c r="W28" s="7"/>
      <c r="X28" s="7"/>
      <c r="Y28" s="7"/>
      <c r="Z28" s="7"/>
    </row>
    <row r="29" spans="1:26" ht="11.25" customHeight="1">
      <c r="A29" s="231"/>
      <c r="B29" s="232"/>
      <c r="C29" s="274"/>
      <c r="D29" s="260"/>
      <c r="E29" s="260"/>
      <c r="F29" s="260"/>
      <c r="G29" s="260"/>
      <c r="H29" s="260"/>
      <c r="I29" s="260"/>
      <c r="J29" s="260"/>
      <c r="K29" s="260"/>
      <c r="L29" s="260"/>
      <c r="M29" s="275"/>
      <c r="N29" s="232"/>
      <c r="O29" s="232"/>
      <c r="P29" s="274"/>
      <c r="Q29" s="260"/>
      <c r="R29" s="260"/>
      <c r="S29" s="260"/>
      <c r="T29" s="260"/>
      <c r="U29" s="260"/>
      <c r="V29" s="260"/>
      <c r="W29" s="260"/>
      <c r="X29" s="260"/>
      <c r="Y29" s="260"/>
      <c r="Z29" s="260"/>
    </row>
    <row r="30" spans="1:26" ht="11.25" customHeight="1">
      <c r="A30" s="231"/>
      <c r="B30" s="232"/>
      <c r="C30" s="274"/>
      <c r="D30" s="260"/>
      <c r="E30" s="260"/>
      <c r="F30" s="260"/>
      <c r="G30" s="260"/>
      <c r="H30" s="260"/>
      <c r="I30" s="260"/>
      <c r="J30" s="260"/>
      <c r="K30" s="260"/>
      <c r="L30" s="260"/>
      <c r="M30" s="275"/>
      <c r="N30" s="232"/>
      <c r="O30" s="232"/>
      <c r="P30" s="274"/>
      <c r="Q30" s="260"/>
      <c r="R30" s="260"/>
      <c r="S30" s="260"/>
      <c r="T30" s="260"/>
      <c r="U30" s="260"/>
      <c r="V30" s="260"/>
      <c r="W30" s="260"/>
      <c r="X30" s="260"/>
      <c r="Y30" s="260"/>
      <c r="Z30" s="260"/>
    </row>
    <row r="31" spans="1:26" ht="11.25" customHeight="1">
      <c r="A31" s="231"/>
      <c r="B31" s="232"/>
      <c r="C31" s="274"/>
      <c r="D31" s="260"/>
      <c r="E31" s="260"/>
      <c r="F31" s="260"/>
      <c r="G31" s="260"/>
      <c r="H31" s="260"/>
      <c r="I31" s="260"/>
      <c r="J31" s="260"/>
      <c r="K31" s="260"/>
      <c r="L31" s="260"/>
      <c r="M31" s="275"/>
      <c r="N31" s="232"/>
      <c r="O31" s="232"/>
      <c r="P31" s="274"/>
      <c r="Q31" s="260"/>
      <c r="R31" s="260"/>
      <c r="S31" s="260"/>
      <c r="T31" s="260"/>
      <c r="U31" s="260"/>
      <c r="V31" s="260"/>
      <c r="W31" s="260"/>
      <c r="X31" s="260"/>
      <c r="Y31" s="260"/>
      <c r="Z31" s="260"/>
    </row>
    <row r="32" spans="1:26" ht="11.25" customHeight="1">
      <c r="A32" s="231"/>
      <c r="B32" s="232"/>
      <c r="C32" s="274"/>
      <c r="D32" s="260"/>
      <c r="E32" s="260"/>
      <c r="F32" s="260"/>
      <c r="G32" s="260"/>
      <c r="H32" s="260"/>
      <c r="I32" s="260"/>
      <c r="J32" s="260"/>
      <c r="K32" s="260"/>
      <c r="L32" s="260"/>
      <c r="M32" s="275"/>
      <c r="N32" s="232"/>
      <c r="O32" s="232"/>
      <c r="P32" s="274"/>
      <c r="Q32" s="260"/>
      <c r="R32" s="260"/>
      <c r="S32" s="260"/>
      <c r="T32" s="260"/>
      <c r="U32" s="260"/>
      <c r="V32" s="260"/>
      <c r="W32" s="260"/>
      <c r="X32" s="260"/>
      <c r="Y32" s="260"/>
      <c r="Z32" s="275"/>
    </row>
    <row r="33" spans="1:26" ht="11.25" customHeight="1">
      <c r="A33" s="231"/>
      <c r="B33" s="232"/>
      <c r="C33" s="274"/>
      <c r="D33" s="260"/>
      <c r="E33" s="260"/>
      <c r="F33" s="260"/>
      <c r="G33" s="260"/>
      <c r="H33" s="260"/>
      <c r="I33" s="260"/>
      <c r="J33" s="260"/>
      <c r="K33" s="260"/>
      <c r="L33" s="260"/>
      <c r="M33" s="275"/>
      <c r="N33" s="232"/>
      <c r="O33" s="232"/>
      <c r="P33" s="233"/>
      <c r="Q33" s="233"/>
      <c r="R33" s="233"/>
      <c r="S33" s="233"/>
      <c r="T33" s="233"/>
      <c r="U33" s="233"/>
      <c r="V33" s="233"/>
      <c r="W33" s="233"/>
      <c r="X33" s="233"/>
      <c r="Y33" s="233"/>
      <c r="Z33" s="233"/>
    </row>
    <row r="34" spans="1:26" ht="11.25" customHeight="1">
      <c r="A34" s="231"/>
      <c r="B34" s="232"/>
      <c r="C34" s="274"/>
      <c r="D34" s="260"/>
      <c r="E34" s="260"/>
      <c r="F34" s="260"/>
      <c r="G34" s="260"/>
      <c r="H34" s="260"/>
      <c r="I34" s="260"/>
      <c r="J34" s="260"/>
      <c r="K34" s="260"/>
      <c r="L34" s="260"/>
      <c r="M34" s="275"/>
      <c r="N34" s="232"/>
      <c r="O34" s="232"/>
      <c r="P34" s="233"/>
      <c r="Q34" s="233"/>
      <c r="R34" s="233"/>
      <c r="S34" s="233"/>
      <c r="T34" s="233"/>
      <c r="U34" s="233"/>
      <c r="V34" s="233"/>
      <c r="W34" s="233"/>
      <c r="X34" s="233"/>
      <c r="Y34" s="233"/>
      <c r="Z34" s="233"/>
    </row>
    <row r="35" spans="1:26" ht="11.25" customHeight="1">
      <c r="A35" s="231"/>
      <c r="B35" s="232"/>
      <c r="C35" s="274"/>
      <c r="D35" s="260"/>
      <c r="E35" s="260"/>
      <c r="F35" s="260"/>
      <c r="G35" s="260"/>
      <c r="H35" s="260"/>
      <c r="I35" s="260"/>
      <c r="J35" s="260"/>
      <c r="K35" s="260"/>
      <c r="L35" s="260"/>
      <c r="M35" s="275"/>
      <c r="N35" s="232"/>
      <c r="O35" s="232"/>
      <c r="P35" s="233"/>
      <c r="Q35" s="233"/>
      <c r="R35" s="233"/>
      <c r="S35" s="233"/>
      <c r="T35" s="233"/>
      <c r="U35" s="233"/>
      <c r="V35" s="233"/>
      <c r="W35" s="233"/>
      <c r="X35" s="233"/>
      <c r="Y35" s="233"/>
      <c r="Z35" s="233"/>
    </row>
    <row r="36" spans="1:26" ht="11.25" customHeight="1">
      <c r="A36" s="231"/>
      <c r="B36" s="232"/>
      <c r="C36" s="274"/>
      <c r="D36" s="260"/>
      <c r="E36" s="260"/>
      <c r="F36" s="260"/>
      <c r="G36" s="260"/>
      <c r="H36" s="260"/>
      <c r="I36" s="260"/>
      <c r="J36" s="260"/>
      <c r="K36" s="260"/>
      <c r="L36" s="260"/>
      <c r="M36" s="275"/>
      <c r="N36" s="232"/>
      <c r="O36" s="232"/>
      <c r="P36" s="233"/>
      <c r="Q36" s="233"/>
      <c r="R36" s="233"/>
      <c r="S36" s="233"/>
      <c r="T36" s="233"/>
      <c r="U36" s="233"/>
      <c r="V36" s="233"/>
      <c r="W36" s="233"/>
      <c r="X36" s="233"/>
      <c r="Y36" s="233"/>
      <c r="Z36" s="233"/>
    </row>
    <row r="37" spans="1:26" ht="11.25" customHeight="1">
      <c r="A37" s="231"/>
      <c r="B37" s="232"/>
      <c r="C37" s="274"/>
      <c r="D37" s="260"/>
      <c r="E37" s="260"/>
      <c r="F37" s="260"/>
      <c r="G37" s="260"/>
      <c r="H37" s="260"/>
      <c r="I37" s="260"/>
      <c r="J37" s="260"/>
      <c r="K37" s="260"/>
      <c r="L37" s="260"/>
      <c r="M37" s="275"/>
      <c r="N37" s="232"/>
      <c r="O37" s="232"/>
      <c r="P37" s="233"/>
      <c r="Q37" s="233"/>
      <c r="R37" s="233"/>
      <c r="S37" s="233"/>
      <c r="T37" s="233"/>
      <c r="U37" s="233"/>
      <c r="V37" s="233"/>
      <c r="W37" s="233"/>
      <c r="X37" s="233"/>
      <c r="Y37" s="233"/>
      <c r="Z37" s="233"/>
    </row>
    <row r="38" spans="1:26" ht="11.25" customHeight="1">
      <c r="A38" s="231"/>
      <c r="B38" s="232"/>
      <c r="C38" s="274"/>
      <c r="D38" s="260"/>
      <c r="E38" s="260"/>
      <c r="F38" s="260"/>
      <c r="G38" s="260"/>
      <c r="H38" s="260"/>
      <c r="I38" s="260"/>
      <c r="J38" s="260"/>
      <c r="K38" s="260"/>
      <c r="L38" s="260"/>
      <c r="M38" s="275"/>
      <c r="N38" s="232"/>
      <c r="O38" s="232"/>
      <c r="P38" s="274"/>
      <c r="Q38" s="260"/>
      <c r="R38" s="260"/>
      <c r="S38" s="260"/>
      <c r="T38" s="260"/>
      <c r="U38" s="260"/>
      <c r="V38" s="260"/>
      <c r="W38" s="260"/>
      <c r="X38" s="260"/>
      <c r="Y38" s="260"/>
      <c r="Z38" s="260"/>
    </row>
    <row r="39" spans="1:26" ht="11.25" customHeight="1">
      <c r="A39" s="231"/>
      <c r="B39" s="232"/>
      <c r="C39" s="274"/>
      <c r="D39" s="260"/>
      <c r="E39" s="260"/>
      <c r="F39" s="260"/>
      <c r="G39" s="260"/>
      <c r="H39" s="260"/>
      <c r="I39" s="260"/>
      <c r="J39" s="260"/>
      <c r="K39" s="260"/>
      <c r="L39" s="260"/>
      <c r="M39" s="275"/>
      <c r="N39" s="232"/>
      <c r="O39" s="232"/>
      <c r="P39" s="274"/>
      <c r="Q39" s="260"/>
      <c r="R39" s="260"/>
      <c r="S39" s="260"/>
      <c r="T39" s="260"/>
      <c r="U39" s="260"/>
      <c r="V39" s="260"/>
      <c r="W39" s="260"/>
      <c r="X39" s="260"/>
      <c r="Y39" s="260"/>
      <c r="Z39" s="260"/>
    </row>
    <row r="40" spans="1:26" ht="11.25" customHeight="1">
      <c r="A40" s="231"/>
      <c r="B40" s="232"/>
      <c r="C40" s="274"/>
      <c r="D40" s="260"/>
      <c r="E40" s="260"/>
      <c r="F40" s="260"/>
      <c r="G40" s="260"/>
      <c r="H40" s="260"/>
      <c r="I40" s="260"/>
      <c r="J40" s="260"/>
      <c r="K40" s="260"/>
      <c r="L40" s="260"/>
      <c r="M40" s="275"/>
      <c r="N40" s="232"/>
      <c r="O40" s="232"/>
      <c r="P40" s="274"/>
      <c r="Q40" s="260"/>
      <c r="R40" s="260"/>
      <c r="S40" s="260"/>
      <c r="T40" s="260"/>
      <c r="U40" s="260"/>
      <c r="V40" s="260"/>
      <c r="W40" s="260"/>
      <c r="X40" s="260"/>
      <c r="Y40" s="260"/>
      <c r="Z40" s="260"/>
    </row>
    <row r="41" spans="1:26" ht="11.25" customHeight="1">
      <c r="A41" s="231"/>
      <c r="B41" s="232"/>
      <c r="C41" s="274"/>
      <c r="D41" s="260"/>
      <c r="E41" s="260"/>
      <c r="F41" s="260"/>
      <c r="G41" s="260"/>
      <c r="H41" s="260"/>
      <c r="I41" s="260"/>
      <c r="J41" s="260"/>
      <c r="K41" s="260"/>
      <c r="L41" s="260"/>
      <c r="M41" s="275"/>
      <c r="N41" s="232"/>
      <c r="O41" s="232"/>
      <c r="P41" s="233"/>
      <c r="Q41" s="233"/>
      <c r="R41" s="233"/>
      <c r="S41" s="233"/>
      <c r="T41" s="233"/>
      <c r="U41" s="233"/>
      <c r="V41" s="233"/>
      <c r="W41" s="233"/>
      <c r="X41" s="233"/>
      <c r="Y41" s="233"/>
      <c r="Z41" s="233"/>
    </row>
    <row r="42" spans="1:26" ht="11.25" customHeight="1">
      <c r="A42" s="231"/>
      <c r="B42" s="232"/>
      <c r="C42" s="274"/>
      <c r="D42" s="260"/>
      <c r="E42" s="260"/>
      <c r="F42" s="260"/>
      <c r="G42" s="260"/>
      <c r="H42" s="260"/>
      <c r="I42" s="260"/>
      <c r="J42" s="260"/>
      <c r="K42" s="260"/>
      <c r="L42" s="260"/>
      <c r="M42" s="275"/>
      <c r="N42" s="232"/>
      <c r="O42" s="232"/>
      <c r="P42" s="233"/>
      <c r="Q42" s="233"/>
      <c r="R42" s="233"/>
      <c r="S42" s="233"/>
      <c r="T42" s="233"/>
      <c r="U42" s="233"/>
      <c r="V42" s="233"/>
      <c r="W42" s="233"/>
      <c r="X42" s="233"/>
      <c r="Y42" s="233"/>
      <c r="Z42" s="233"/>
    </row>
    <row r="43" spans="1:26" ht="11.25" customHeight="1">
      <c r="A43" s="231"/>
      <c r="B43" s="232"/>
      <c r="C43" s="274"/>
      <c r="D43" s="260"/>
      <c r="E43" s="260"/>
      <c r="F43" s="260"/>
      <c r="G43" s="260"/>
      <c r="H43" s="260"/>
      <c r="I43" s="260"/>
      <c r="J43" s="260"/>
      <c r="K43" s="260"/>
      <c r="L43" s="260"/>
      <c r="M43" s="275"/>
      <c r="N43" s="232"/>
      <c r="O43" s="232"/>
      <c r="P43" s="233"/>
      <c r="Q43" s="233"/>
      <c r="R43" s="233"/>
      <c r="S43" s="233"/>
      <c r="T43" s="233"/>
      <c r="U43" s="233"/>
      <c r="V43" s="233"/>
      <c r="W43" s="233"/>
      <c r="X43" s="233"/>
      <c r="Y43" s="233"/>
      <c r="Z43" s="233"/>
    </row>
    <row r="44" spans="1:26" ht="11.25" customHeight="1">
      <c r="A44" s="231"/>
      <c r="B44" s="232"/>
      <c r="C44" s="274"/>
      <c r="D44" s="260"/>
      <c r="E44" s="260"/>
      <c r="F44" s="260"/>
      <c r="G44" s="260"/>
      <c r="H44" s="260"/>
      <c r="I44" s="260"/>
      <c r="J44" s="260"/>
      <c r="K44" s="260"/>
      <c r="L44" s="260"/>
      <c r="M44" s="275"/>
      <c r="N44" s="232"/>
      <c r="O44" s="232"/>
      <c r="P44" s="233"/>
      <c r="Q44" s="233"/>
      <c r="R44" s="233"/>
      <c r="S44" s="233"/>
      <c r="T44" s="233"/>
      <c r="U44" s="233"/>
      <c r="V44" s="233"/>
      <c r="W44" s="233"/>
      <c r="X44" s="233"/>
      <c r="Y44" s="233"/>
      <c r="Z44" s="233"/>
    </row>
    <row r="45" spans="1:26" ht="11.25" customHeight="1">
      <c r="A45" s="231"/>
      <c r="B45" s="232"/>
      <c r="C45" s="274"/>
      <c r="D45" s="260"/>
      <c r="E45" s="260"/>
      <c r="F45" s="260"/>
      <c r="G45" s="260"/>
      <c r="H45" s="260"/>
      <c r="I45" s="260"/>
      <c r="J45" s="260"/>
      <c r="K45" s="260"/>
      <c r="L45" s="260"/>
      <c r="M45" s="275"/>
      <c r="N45" s="232"/>
      <c r="O45" s="232"/>
      <c r="P45" s="233"/>
      <c r="Q45" s="233"/>
      <c r="R45" s="233"/>
      <c r="S45" s="233"/>
      <c r="T45" s="233"/>
      <c r="U45" s="233"/>
      <c r="V45" s="233"/>
      <c r="W45" s="233"/>
      <c r="X45" s="233"/>
      <c r="Y45" s="233"/>
      <c r="Z45" s="233"/>
    </row>
    <row r="46" spans="1:26" ht="11.25" customHeight="1">
      <c r="A46" s="231"/>
      <c r="B46" s="232"/>
      <c r="C46" s="274"/>
      <c r="D46" s="260"/>
      <c r="E46" s="260"/>
      <c r="F46" s="260"/>
      <c r="G46" s="260"/>
      <c r="H46" s="260"/>
      <c r="I46" s="260"/>
      <c r="J46" s="260"/>
      <c r="K46" s="260"/>
      <c r="L46" s="260"/>
      <c r="M46" s="275"/>
      <c r="N46" s="232"/>
      <c r="O46" s="232"/>
      <c r="P46" s="233"/>
      <c r="Q46" s="233"/>
      <c r="R46" s="233"/>
      <c r="S46" s="233"/>
      <c r="T46" s="233"/>
      <c r="U46" s="233"/>
      <c r="V46" s="233"/>
      <c r="W46" s="233"/>
      <c r="X46" s="233"/>
      <c r="Y46" s="233"/>
      <c r="Z46" s="233"/>
    </row>
    <row r="47" spans="1:26" ht="11.25" customHeight="1">
      <c r="A47" s="231"/>
      <c r="B47" s="232"/>
      <c r="C47" s="274"/>
      <c r="D47" s="260"/>
      <c r="E47" s="260"/>
      <c r="F47" s="260"/>
      <c r="G47" s="260"/>
      <c r="H47" s="260"/>
      <c r="I47" s="260"/>
      <c r="J47" s="260"/>
      <c r="K47" s="260"/>
      <c r="L47" s="260"/>
      <c r="M47" s="275"/>
      <c r="N47" s="232"/>
      <c r="O47" s="232"/>
      <c r="P47" s="233"/>
      <c r="Q47" s="233"/>
      <c r="R47" s="233"/>
      <c r="S47" s="233"/>
      <c r="T47" s="233"/>
      <c r="U47" s="233"/>
      <c r="V47" s="233"/>
      <c r="W47" s="233"/>
      <c r="X47" s="233"/>
      <c r="Y47" s="233"/>
      <c r="Z47" s="233"/>
    </row>
    <row r="48" spans="1:26" ht="11.25" customHeight="1">
      <c r="A48" s="231"/>
      <c r="B48" s="232"/>
      <c r="C48" s="274"/>
      <c r="D48" s="260"/>
      <c r="E48" s="260"/>
      <c r="F48" s="260"/>
      <c r="G48" s="260"/>
      <c r="H48" s="260"/>
      <c r="I48" s="260"/>
      <c r="J48" s="260"/>
      <c r="K48" s="260"/>
      <c r="L48" s="260"/>
      <c r="M48" s="275"/>
      <c r="N48" s="232"/>
      <c r="O48" s="232"/>
      <c r="P48" s="233"/>
      <c r="Q48" s="233"/>
      <c r="R48" s="233"/>
      <c r="S48" s="233"/>
      <c r="T48" s="233"/>
      <c r="U48" s="233"/>
      <c r="V48" s="233"/>
      <c r="W48" s="233"/>
      <c r="X48" s="233"/>
      <c r="Y48" s="233"/>
      <c r="Z48" s="233"/>
    </row>
    <row r="49" spans="1:26" ht="11.25" customHeight="1">
      <c r="A49" s="231"/>
      <c r="B49" s="232"/>
      <c r="C49" s="274"/>
      <c r="D49" s="260"/>
      <c r="E49" s="260"/>
      <c r="F49" s="260"/>
      <c r="G49" s="260"/>
      <c r="H49" s="260"/>
      <c r="I49" s="260"/>
      <c r="J49" s="260"/>
      <c r="K49" s="260"/>
      <c r="L49" s="260"/>
      <c r="M49" s="275"/>
      <c r="N49" s="232"/>
      <c r="O49" s="232"/>
      <c r="P49" s="233"/>
      <c r="Q49" s="233"/>
      <c r="R49" s="233"/>
      <c r="S49" s="233"/>
      <c r="T49" s="233"/>
      <c r="U49" s="233"/>
      <c r="V49" s="233"/>
      <c r="W49" s="233"/>
      <c r="X49" s="233"/>
      <c r="Y49" s="233"/>
      <c r="Z49" s="233"/>
    </row>
    <row r="50" spans="1:26" ht="11.25" customHeight="1">
      <c r="A50" s="231"/>
      <c r="B50" s="232"/>
      <c r="C50" s="274"/>
      <c r="D50" s="260"/>
      <c r="E50" s="260"/>
      <c r="F50" s="260"/>
      <c r="G50" s="260"/>
      <c r="H50" s="260"/>
      <c r="I50" s="260"/>
      <c r="J50" s="260"/>
      <c r="K50" s="260"/>
      <c r="L50" s="260"/>
      <c r="M50" s="275"/>
      <c r="N50" s="7"/>
      <c r="O50" s="7"/>
      <c r="P50" s="7"/>
      <c r="Q50" s="7"/>
      <c r="R50" s="7"/>
      <c r="S50" s="7"/>
      <c r="T50" s="7"/>
      <c r="U50" s="7"/>
      <c r="V50" s="7"/>
      <c r="W50" s="7"/>
      <c r="X50" s="7"/>
      <c r="Y50" s="7"/>
      <c r="Z50" s="7"/>
    </row>
    <row r="51" spans="1:26" ht="11.25" customHeight="1">
      <c r="A51" s="231"/>
      <c r="B51" s="232"/>
      <c r="C51" s="274"/>
      <c r="D51" s="260"/>
      <c r="E51" s="260"/>
      <c r="F51" s="260"/>
      <c r="G51" s="260"/>
      <c r="H51" s="260"/>
      <c r="I51" s="260"/>
      <c r="J51" s="260"/>
      <c r="K51" s="260"/>
      <c r="L51" s="260"/>
      <c r="M51" s="275"/>
      <c r="N51" s="7"/>
      <c r="O51" s="7"/>
      <c r="P51" s="7"/>
      <c r="Q51" s="7"/>
      <c r="R51" s="7"/>
      <c r="S51" s="7"/>
      <c r="T51" s="7"/>
      <c r="U51" s="7"/>
      <c r="V51" s="7"/>
      <c r="W51" s="7"/>
      <c r="X51" s="7"/>
      <c r="Y51" s="7"/>
      <c r="Z51" s="7"/>
    </row>
    <row r="52" spans="1:26" ht="11.25" customHeight="1">
      <c r="A52" s="231"/>
      <c r="B52" s="232"/>
      <c r="C52" s="274"/>
      <c r="D52" s="260"/>
      <c r="E52" s="260"/>
      <c r="F52" s="260"/>
      <c r="G52" s="260"/>
      <c r="H52" s="260"/>
      <c r="I52" s="260"/>
      <c r="J52" s="260"/>
      <c r="K52" s="260"/>
      <c r="L52" s="260"/>
      <c r="M52" s="275"/>
      <c r="N52" s="7"/>
      <c r="O52" s="7"/>
      <c r="P52" s="7"/>
      <c r="Q52" s="7"/>
      <c r="R52" s="7"/>
      <c r="S52" s="7"/>
      <c r="T52" s="7"/>
      <c r="U52" s="7"/>
      <c r="V52" s="7"/>
      <c r="W52" s="7"/>
      <c r="X52" s="7"/>
      <c r="Y52" s="7"/>
      <c r="Z52" s="7"/>
    </row>
    <row r="53" spans="1:26" ht="11.25" customHeight="1">
      <c r="A53" s="231"/>
      <c r="B53" s="232"/>
      <c r="C53" s="274"/>
      <c r="D53" s="260"/>
      <c r="E53" s="260"/>
      <c r="F53" s="260"/>
      <c r="G53" s="260"/>
      <c r="H53" s="260"/>
      <c r="I53" s="260"/>
      <c r="J53" s="260"/>
      <c r="K53" s="260"/>
      <c r="L53" s="260"/>
      <c r="M53" s="275"/>
      <c r="N53" s="7"/>
      <c r="O53" s="7"/>
      <c r="P53" s="7"/>
      <c r="Q53" s="7"/>
      <c r="R53" s="7"/>
      <c r="S53" s="7"/>
      <c r="T53" s="7"/>
      <c r="U53" s="7"/>
      <c r="V53" s="7"/>
      <c r="W53" s="7"/>
      <c r="X53" s="7"/>
      <c r="Y53" s="7"/>
      <c r="Z53" s="7"/>
    </row>
    <row r="54" spans="1:26" ht="11.25" customHeight="1">
      <c r="A54" s="231"/>
      <c r="B54" s="232"/>
      <c r="C54" s="274"/>
      <c r="D54" s="260"/>
      <c r="E54" s="260"/>
      <c r="F54" s="260"/>
      <c r="G54" s="260"/>
      <c r="H54" s="260"/>
      <c r="I54" s="260"/>
      <c r="J54" s="260"/>
      <c r="K54" s="260"/>
      <c r="L54" s="260"/>
      <c r="M54" s="275"/>
      <c r="N54" s="7"/>
      <c r="O54" s="7"/>
      <c r="P54" s="7"/>
      <c r="Q54" s="7"/>
      <c r="R54" s="7"/>
      <c r="S54" s="7"/>
      <c r="T54" s="7"/>
      <c r="U54" s="7"/>
      <c r="V54" s="7"/>
      <c r="W54" s="7"/>
      <c r="X54" s="7"/>
      <c r="Y54" s="7"/>
      <c r="Z54" s="7"/>
    </row>
    <row r="55" spans="1:26" ht="11.25" customHeight="1">
      <c r="A55" s="231"/>
      <c r="B55" s="232"/>
      <c r="C55" s="274"/>
      <c r="D55" s="260"/>
      <c r="E55" s="260"/>
      <c r="F55" s="260"/>
      <c r="G55" s="260"/>
      <c r="H55" s="260"/>
      <c r="I55" s="260"/>
      <c r="J55" s="260"/>
      <c r="K55" s="260"/>
      <c r="L55" s="260"/>
      <c r="M55" s="275"/>
      <c r="N55" s="7"/>
      <c r="O55" s="7"/>
      <c r="P55" s="7"/>
      <c r="Q55" s="7"/>
      <c r="R55" s="7"/>
      <c r="S55" s="7"/>
      <c r="T55" s="7"/>
      <c r="U55" s="7"/>
      <c r="V55" s="7"/>
      <c r="W55" s="7"/>
      <c r="X55" s="7"/>
      <c r="Y55" s="7"/>
      <c r="Z55" s="7"/>
    </row>
    <row r="56" spans="1:26" ht="11.25" customHeight="1">
      <c r="A56" s="231"/>
      <c r="B56" s="232"/>
      <c r="C56" s="274"/>
      <c r="D56" s="260"/>
      <c r="E56" s="260"/>
      <c r="F56" s="260"/>
      <c r="G56" s="260"/>
      <c r="H56" s="260"/>
      <c r="I56" s="260"/>
      <c r="J56" s="260"/>
      <c r="K56" s="260"/>
      <c r="L56" s="260"/>
      <c r="M56" s="275"/>
      <c r="N56" s="7"/>
      <c r="O56" s="7"/>
      <c r="P56" s="7"/>
      <c r="Q56" s="7"/>
      <c r="R56" s="7"/>
      <c r="S56" s="7"/>
      <c r="T56" s="7"/>
      <c r="U56" s="7"/>
      <c r="V56" s="7"/>
      <c r="W56" s="7"/>
      <c r="X56" s="7"/>
      <c r="Y56" s="7"/>
      <c r="Z56" s="7"/>
    </row>
    <row r="57" spans="1:26" ht="11.25" customHeight="1">
      <c r="A57" s="231"/>
      <c r="B57" s="232"/>
      <c r="C57" s="274"/>
      <c r="D57" s="260"/>
      <c r="E57" s="260"/>
      <c r="F57" s="260"/>
      <c r="G57" s="260"/>
      <c r="H57" s="260"/>
      <c r="I57" s="260"/>
      <c r="J57" s="260"/>
      <c r="K57" s="260"/>
      <c r="L57" s="260"/>
      <c r="M57" s="275"/>
      <c r="N57" s="7"/>
      <c r="O57" s="7"/>
      <c r="P57" s="7"/>
      <c r="Q57" s="7"/>
      <c r="R57" s="7"/>
      <c r="S57" s="7"/>
      <c r="T57" s="7"/>
      <c r="U57" s="7"/>
      <c r="V57" s="7"/>
      <c r="W57" s="7"/>
      <c r="X57" s="7"/>
      <c r="Y57" s="7"/>
      <c r="Z57" s="7"/>
    </row>
    <row r="58" spans="1:26" ht="11.25" customHeight="1">
      <c r="A58" s="231"/>
      <c r="B58" s="232"/>
      <c r="C58" s="274"/>
      <c r="D58" s="260"/>
      <c r="E58" s="260"/>
      <c r="F58" s="260"/>
      <c r="G58" s="260"/>
      <c r="H58" s="260"/>
      <c r="I58" s="260"/>
      <c r="J58" s="260"/>
      <c r="K58" s="260"/>
      <c r="L58" s="260"/>
      <c r="M58" s="275"/>
      <c r="N58" s="7"/>
      <c r="O58" s="7"/>
      <c r="P58" s="7"/>
      <c r="Q58" s="7"/>
      <c r="R58" s="7"/>
      <c r="S58" s="7"/>
      <c r="T58" s="7"/>
      <c r="U58" s="7"/>
      <c r="V58" s="7"/>
      <c r="W58" s="7"/>
      <c r="X58" s="7"/>
      <c r="Y58" s="7"/>
      <c r="Z58" s="7"/>
    </row>
    <row r="59" spans="1:26" ht="11.25" customHeight="1">
      <c r="A59" s="231"/>
      <c r="B59" s="232"/>
      <c r="C59" s="274"/>
      <c r="D59" s="260"/>
      <c r="E59" s="260"/>
      <c r="F59" s="260"/>
      <c r="G59" s="260"/>
      <c r="H59" s="260"/>
      <c r="I59" s="260"/>
      <c r="J59" s="260"/>
      <c r="K59" s="260"/>
      <c r="L59" s="260"/>
      <c r="M59" s="275"/>
    </row>
    <row r="60" spans="1:26" ht="11.25" customHeight="1">
      <c r="A60" s="231"/>
      <c r="B60" s="232"/>
      <c r="C60" s="274"/>
      <c r="D60" s="260"/>
      <c r="E60" s="260"/>
      <c r="F60" s="260"/>
      <c r="G60" s="260"/>
      <c r="H60" s="260"/>
      <c r="I60" s="260"/>
      <c r="J60" s="260"/>
      <c r="K60" s="260"/>
      <c r="L60" s="260"/>
      <c r="M60" s="275"/>
    </row>
    <row r="61" spans="1:26" ht="11.25" customHeight="1">
      <c r="A61" s="231"/>
      <c r="B61" s="232"/>
      <c r="C61" s="274"/>
      <c r="D61" s="260"/>
      <c r="E61" s="260"/>
      <c r="F61" s="260"/>
      <c r="G61" s="260"/>
      <c r="H61" s="260"/>
      <c r="I61" s="260"/>
      <c r="J61" s="260"/>
      <c r="K61" s="260"/>
      <c r="L61" s="260"/>
      <c r="M61" s="275"/>
    </row>
    <row r="62" spans="1:26" ht="11.25" customHeight="1">
      <c r="A62" s="231"/>
      <c r="B62" s="232"/>
      <c r="C62" s="274"/>
      <c r="D62" s="260"/>
      <c r="E62" s="260"/>
      <c r="F62" s="260"/>
      <c r="G62" s="260"/>
      <c r="H62" s="260"/>
      <c r="I62" s="260"/>
      <c r="J62" s="260"/>
      <c r="K62" s="260"/>
      <c r="L62" s="260"/>
      <c r="M62" s="275"/>
    </row>
    <row r="63" spans="1:26" ht="11.25" customHeight="1">
      <c r="A63" s="231"/>
      <c r="B63" s="232"/>
      <c r="C63" s="274"/>
      <c r="D63" s="260"/>
      <c r="E63" s="260"/>
      <c r="F63" s="260"/>
      <c r="G63" s="260"/>
      <c r="H63" s="260"/>
      <c r="I63" s="260"/>
      <c r="J63" s="260"/>
      <c r="K63" s="260"/>
      <c r="L63" s="260"/>
      <c r="M63" s="275"/>
    </row>
    <row r="64" spans="1:26" ht="11.25" customHeight="1">
      <c r="A64" s="231"/>
      <c r="B64" s="232"/>
      <c r="C64" s="274"/>
      <c r="D64" s="260"/>
      <c r="E64" s="260"/>
      <c r="F64" s="260"/>
      <c r="G64" s="260"/>
      <c r="H64" s="260"/>
      <c r="I64" s="260"/>
      <c r="J64" s="260"/>
      <c r="K64" s="260"/>
      <c r="L64" s="260"/>
      <c r="M64" s="275"/>
    </row>
    <row r="65" spans="1:13" ht="11.25" customHeight="1">
      <c r="A65" s="231"/>
      <c r="B65" s="232"/>
      <c r="C65" s="274"/>
      <c r="D65" s="260"/>
      <c r="E65" s="260"/>
      <c r="F65" s="260"/>
      <c r="G65" s="260"/>
      <c r="H65" s="260"/>
      <c r="I65" s="260"/>
      <c r="J65" s="260"/>
      <c r="K65" s="260"/>
      <c r="L65" s="260"/>
      <c r="M65" s="275"/>
    </row>
    <row r="66" spans="1:13" ht="11.25" customHeight="1">
      <c r="A66" s="231"/>
      <c r="B66" s="232"/>
      <c r="C66" s="274"/>
      <c r="D66" s="260"/>
      <c r="E66" s="260"/>
      <c r="F66" s="260"/>
      <c r="G66" s="260"/>
      <c r="H66" s="260"/>
      <c r="I66" s="260"/>
      <c r="J66" s="260"/>
      <c r="K66" s="260"/>
      <c r="L66" s="260"/>
      <c r="M66" s="275"/>
    </row>
    <row r="67" spans="1:13" ht="11.25" customHeight="1">
      <c r="A67" s="231"/>
      <c r="B67" s="232"/>
      <c r="C67" s="274"/>
      <c r="D67" s="260"/>
      <c r="E67" s="260"/>
      <c r="F67" s="260"/>
      <c r="G67" s="260"/>
      <c r="H67" s="260"/>
      <c r="I67" s="260"/>
      <c r="J67" s="260"/>
      <c r="K67" s="260"/>
      <c r="L67" s="260"/>
      <c r="M67" s="275"/>
    </row>
    <row r="68" spans="1:13" ht="11.25" customHeight="1">
      <c r="A68" s="231"/>
      <c r="B68" s="232"/>
      <c r="C68" s="274"/>
      <c r="D68" s="260"/>
      <c r="E68" s="260"/>
      <c r="F68" s="260"/>
      <c r="G68" s="260"/>
      <c r="H68" s="260"/>
      <c r="I68" s="260"/>
      <c r="J68" s="260"/>
      <c r="K68" s="260"/>
      <c r="L68" s="260"/>
      <c r="M68" s="275"/>
    </row>
    <row r="69" spans="1:13" ht="11.25" customHeight="1">
      <c r="A69" s="231"/>
      <c r="B69" s="232"/>
      <c r="C69" s="274"/>
      <c r="D69" s="260"/>
      <c r="E69" s="260"/>
      <c r="F69" s="260"/>
      <c r="G69" s="260"/>
      <c r="H69" s="260"/>
      <c r="I69" s="260"/>
      <c r="J69" s="260"/>
      <c r="K69" s="260"/>
      <c r="L69" s="260"/>
      <c r="M69" s="275"/>
    </row>
    <row r="70" spans="1:13" ht="11.25" customHeight="1">
      <c r="A70" s="234"/>
      <c r="B70" s="235"/>
      <c r="C70" s="280"/>
      <c r="D70" s="281"/>
      <c r="E70" s="281"/>
      <c r="F70" s="281"/>
      <c r="G70" s="281"/>
      <c r="H70" s="281"/>
      <c r="I70" s="281"/>
      <c r="J70" s="281"/>
      <c r="K70" s="281"/>
      <c r="L70" s="281"/>
      <c r="M70" s="282"/>
    </row>
    <row r="71" spans="1:13" ht="11.25" customHeight="1">
      <c r="A71" s="236"/>
      <c r="B71" s="236"/>
      <c r="C71" s="237"/>
      <c r="D71" s="237"/>
      <c r="E71" s="237"/>
      <c r="F71" s="237"/>
      <c r="G71" s="237"/>
      <c r="H71" s="237"/>
      <c r="I71" s="237"/>
      <c r="J71" s="237"/>
      <c r="K71" s="237"/>
      <c r="L71" s="237"/>
    </row>
    <row r="72" spans="1:13" ht="11.25" customHeight="1">
      <c r="A72" s="283" t="s">
        <v>1001</v>
      </c>
      <c r="B72" s="260"/>
      <c r="C72" s="260"/>
      <c r="D72" s="260"/>
      <c r="E72" s="260"/>
      <c r="F72" s="7"/>
      <c r="G72" s="7"/>
      <c r="H72" s="7"/>
      <c r="I72" s="7"/>
      <c r="J72" s="7"/>
      <c r="K72" s="7"/>
      <c r="L72" s="7"/>
      <c r="M72" s="7"/>
    </row>
    <row r="73" spans="1:13" ht="11.25" customHeight="1">
      <c r="A73" s="27" t="s">
        <v>999</v>
      </c>
      <c r="B73" s="27" t="s">
        <v>1000</v>
      </c>
      <c r="C73" s="262"/>
      <c r="D73" s="260"/>
      <c r="E73" s="260"/>
      <c r="F73" s="260"/>
      <c r="G73" s="260"/>
      <c r="H73" s="260"/>
      <c r="I73" s="260"/>
      <c r="J73" s="260"/>
      <c r="K73" s="260"/>
      <c r="L73" s="260"/>
      <c r="M73" s="260"/>
    </row>
    <row r="74" spans="1:13" ht="11.25" customHeight="1">
      <c r="A74" s="232"/>
      <c r="B74" s="232"/>
      <c r="C74" s="262"/>
      <c r="D74" s="260"/>
      <c r="E74" s="260"/>
      <c r="F74" s="260"/>
      <c r="G74" s="260"/>
      <c r="H74" s="260"/>
      <c r="I74" s="260"/>
      <c r="J74" s="260"/>
      <c r="K74" s="260"/>
      <c r="L74" s="260"/>
      <c r="M74" s="260"/>
    </row>
    <row r="75" spans="1:13" ht="11.25" customHeight="1">
      <c r="A75" s="232"/>
      <c r="B75" s="232"/>
      <c r="C75" s="262"/>
      <c r="D75" s="260"/>
      <c r="E75" s="260"/>
      <c r="F75" s="260"/>
      <c r="G75" s="260"/>
      <c r="H75" s="260"/>
      <c r="I75" s="260"/>
      <c r="J75" s="260"/>
      <c r="K75" s="260"/>
      <c r="L75" s="260"/>
      <c r="M75" s="260"/>
    </row>
    <row r="76" spans="1:13" ht="11.25" customHeight="1">
      <c r="A76" s="232"/>
      <c r="B76" s="232"/>
      <c r="C76" s="262"/>
      <c r="D76" s="260"/>
      <c r="E76" s="260"/>
      <c r="F76" s="260"/>
      <c r="G76" s="260"/>
      <c r="H76" s="260"/>
      <c r="I76" s="260"/>
      <c r="J76" s="260"/>
      <c r="K76" s="260"/>
      <c r="L76" s="260"/>
      <c r="M76" s="260"/>
    </row>
    <row r="77" spans="1:13" ht="11.25" customHeight="1">
      <c r="A77" s="232"/>
      <c r="B77" s="232"/>
      <c r="C77" s="262"/>
      <c r="D77" s="260"/>
      <c r="E77" s="260"/>
      <c r="F77" s="260"/>
      <c r="G77" s="260"/>
      <c r="H77" s="260"/>
      <c r="I77" s="260"/>
      <c r="J77" s="260"/>
      <c r="K77" s="260"/>
      <c r="L77" s="260"/>
      <c r="M77" s="260"/>
    </row>
    <row r="78" spans="1:13" ht="11.25" customHeight="1">
      <c r="A78" s="232"/>
      <c r="B78" s="232"/>
      <c r="C78" s="262"/>
      <c r="D78" s="260"/>
      <c r="E78" s="260"/>
      <c r="F78" s="260"/>
      <c r="G78" s="260"/>
      <c r="H78" s="260"/>
      <c r="I78" s="260"/>
      <c r="J78" s="260"/>
      <c r="K78" s="260"/>
      <c r="L78" s="260"/>
      <c r="M78" s="260"/>
    </row>
    <row r="79" spans="1:13" ht="11.25" customHeight="1">
      <c r="A79" s="232"/>
      <c r="B79" s="232"/>
      <c r="C79" s="262"/>
      <c r="D79" s="260"/>
      <c r="E79" s="260"/>
      <c r="F79" s="260"/>
      <c r="G79" s="260"/>
      <c r="H79" s="260"/>
      <c r="I79" s="260"/>
      <c r="J79" s="260"/>
      <c r="K79" s="260"/>
      <c r="L79" s="260"/>
      <c r="M79" s="260"/>
    </row>
    <row r="80" spans="1:13" ht="11.25" customHeight="1">
      <c r="A80" s="232"/>
      <c r="B80" s="232"/>
      <c r="C80" s="262"/>
      <c r="D80" s="260"/>
      <c r="E80" s="260"/>
      <c r="F80" s="260"/>
      <c r="G80" s="260"/>
      <c r="H80" s="260"/>
      <c r="I80" s="260"/>
      <c r="J80" s="260"/>
      <c r="K80" s="260"/>
      <c r="L80" s="260"/>
      <c r="M80" s="260"/>
    </row>
    <row r="81" spans="1:13" ht="11.25" customHeight="1">
      <c r="A81" s="232"/>
      <c r="B81" s="232"/>
      <c r="C81" s="262"/>
      <c r="D81" s="260"/>
      <c r="E81" s="260"/>
      <c r="F81" s="260"/>
      <c r="G81" s="260"/>
      <c r="H81" s="260"/>
      <c r="I81" s="260"/>
      <c r="J81" s="260"/>
      <c r="K81" s="260"/>
      <c r="L81" s="260"/>
      <c r="M81" s="260"/>
    </row>
    <row r="82" spans="1:13" ht="11.25" customHeight="1">
      <c r="A82" s="232"/>
      <c r="B82" s="232"/>
      <c r="C82" s="262"/>
      <c r="D82" s="260"/>
      <c r="E82" s="260"/>
      <c r="F82" s="260"/>
      <c r="G82" s="260"/>
      <c r="H82" s="260"/>
      <c r="I82" s="260"/>
      <c r="J82" s="260"/>
      <c r="K82" s="260"/>
      <c r="L82" s="260"/>
      <c r="M82" s="260"/>
    </row>
    <row r="83" spans="1:13" ht="11.25" customHeight="1">
      <c r="A83" s="232"/>
      <c r="B83" s="232"/>
      <c r="C83" s="262"/>
      <c r="D83" s="260"/>
      <c r="E83" s="260"/>
      <c r="F83" s="260"/>
      <c r="G83" s="260"/>
      <c r="H83" s="260"/>
      <c r="I83" s="260"/>
      <c r="J83" s="260"/>
      <c r="K83" s="260"/>
      <c r="L83" s="260"/>
      <c r="M83" s="260"/>
    </row>
    <row r="84" spans="1:13" ht="11.25" customHeight="1">
      <c r="A84" s="232"/>
      <c r="B84" s="232"/>
      <c r="C84" s="262"/>
      <c r="D84" s="260"/>
      <c r="E84" s="260"/>
      <c r="F84" s="260"/>
      <c r="G84" s="260"/>
      <c r="H84" s="260"/>
      <c r="I84" s="260"/>
      <c r="J84" s="260"/>
      <c r="K84" s="260"/>
      <c r="L84" s="260"/>
      <c r="M84" s="260"/>
    </row>
    <row r="85" spans="1:13" ht="11.25" customHeight="1">
      <c r="A85" s="232"/>
      <c r="B85" s="232"/>
      <c r="C85" s="262"/>
      <c r="D85" s="260"/>
      <c r="E85" s="260"/>
      <c r="F85" s="260"/>
      <c r="G85" s="260"/>
      <c r="H85" s="260"/>
      <c r="I85" s="260"/>
      <c r="J85" s="260"/>
      <c r="K85" s="260"/>
      <c r="L85" s="260"/>
      <c r="M85" s="260"/>
    </row>
    <row r="86" spans="1:13" ht="11.25" customHeight="1">
      <c r="A86" s="232"/>
      <c r="B86" s="232"/>
      <c r="C86" s="262"/>
      <c r="D86" s="260"/>
      <c r="E86" s="260"/>
      <c r="F86" s="260"/>
      <c r="G86" s="260"/>
      <c r="H86" s="260"/>
      <c r="I86" s="260"/>
      <c r="J86" s="260"/>
      <c r="K86" s="260"/>
      <c r="L86" s="260"/>
      <c r="M86" s="260"/>
    </row>
    <row r="87" spans="1:13" ht="11.25" customHeight="1">
      <c r="A87" s="232"/>
      <c r="B87" s="232"/>
      <c r="C87" s="262"/>
      <c r="D87" s="260"/>
      <c r="E87" s="260"/>
      <c r="F87" s="260"/>
      <c r="G87" s="260"/>
      <c r="H87" s="260"/>
      <c r="I87" s="260"/>
      <c r="J87" s="260"/>
      <c r="K87" s="260"/>
      <c r="L87" s="260"/>
      <c r="M87" s="260"/>
    </row>
    <row r="88" spans="1:13" ht="11.25" customHeight="1">
      <c r="A88" s="232"/>
      <c r="B88" s="232"/>
      <c r="C88" s="262"/>
      <c r="D88" s="260"/>
      <c r="E88" s="260"/>
      <c r="F88" s="260"/>
      <c r="G88" s="260"/>
      <c r="H88" s="260"/>
      <c r="I88" s="260"/>
      <c r="J88" s="260"/>
      <c r="K88" s="260"/>
      <c r="L88" s="260"/>
      <c r="M88" s="260"/>
    </row>
    <row r="89" spans="1:13" ht="11.25" customHeight="1">
      <c r="A89" s="232"/>
      <c r="B89" s="232"/>
      <c r="C89" s="262"/>
      <c r="D89" s="260"/>
      <c r="E89" s="260"/>
      <c r="F89" s="260"/>
      <c r="G89" s="260"/>
      <c r="H89" s="260"/>
      <c r="I89" s="260"/>
      <c r="J89" s="260"/>
      <c r="K89" s="260"/>
      <c r="L89" s="260"/>
      <c r="M89" s="260"/>
    </row>
    <row r="90" spans="1:13" ht="11.25" customHeight="1">
      <c r="A90" s="232"/>
      <c r="B90" s="232"/>
      <c r="C90" s="262"/>
      <c r="D90" s="260"/>
      <c r="E90" s="260"/>
      <c r="F90" s="260"/>
      <c r="G90" s="260"/>
      <c r="H90" s="260"/>
      <c r="I90" s="260"/>
      <c r="J90" s="260"/>
      <c r="K90" s="260"/>
      <c r="L90" s="260"/>
      <c r="M90" s="260"/>
    </row>
    <row r="91" spans="1:13" ht="11.25" customHeight="1"/>
    <row r="92" spans="1:13" ht="11.25" customHeight="1"/>
    <row r="93" spans="1:13" ht="11.25" customHeight="1"/>
    <row r="94" spans="1:13" ht="11.25" customHeight="1"/>
    <row r="95" spans="1:13" ht="11.25" customHeight="1"/>
    <row r="96" spans="1:13"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97">
    <mergeCell ref="C40:M40"/>
    <mergeCell ref="C41:M41"/>
    <mergeCell ref="C42:M42"/>
    <mergeCell ref="C43:M43"/>
    <mergeCell ref="C44:M44"/>
    <mergeCell ref="C45:M45"/>
    <mergeCell ref="C46:M46"/>
    <mergeCell ref="C47:M47"/>
    <mergeCell ref="C48:M48"/>
    <mergeCell ref="C49:M49"/>
    <mergeCell ref="C50:M50"/>
    <mergeCell ref="C51:M51"/>
    <mergeCell ref="C52:M52"/>
    <mergeCell ref="C53:M53"/>
    <mergeCell ref="C54:M54"/>
    <mergeCell ref="C55:M55"/>
    <mergeCell ref="C56:M56"/>
    <mergeCell ref="C57:M57"/>
    <mergeCell ref="C58:M58"/>
    <mergeCell ref="C59:M59"/>
    <mergeCell ref="C60:M60"/>
    <mergeCell ref="C61:M61"/>
    <mergeCell ref="C62:M62"/>
    <mergeCell ref="C63:M63"/>
    <mergeCell ref="C64:M64"/>
    <mergeCell ref="C65:M65"/>
    <mergeCell ref="C66:M66"/>
    <mergeCell ref="C67:M67"/>
    <mergeCell ref="C68:M68"/>
    <mergeCell ref="C69:M69"/>
    <mergeCell ref="C70:M70"/>
    <mergeCell ref="A72:E72"/>
    <mergeCell ref="C73:M73"/>
    <mergeCell ref="C74:M74"/>
    <mergeCell ref="C75:M75"/>
    <mergeCell ref="C88:M88"/>
    <mergeCell ref="C89:M89"/>
    <mergeCell ref="C90:M90"/>
    <mergeCell ref="C76:M76"/>
    <mergeCell ref="C77:M77"/>
    <mergeCell ref="C78:M78"/>
    <mergeCell ref="C79:M79"/>
    <mergeCell ref="C80:M80"/>
    <mergeCell ref="C81:M81"/>
    <mergeCell ref="C82:M82"/>
    <mergeCell ref="C83:M83"/>
    <mergeCell ref="C84:M84"/>
    <mergeCell ref="C85:M85"/>
    <mergeCell ref="C86:M86"/>
    <mergeCell ref="C87:M87"/>
    <mergeCell ref="A1:I1"/>
    <mergeCell ref="A2:E2"/>
    <mergeCell ref="F2:I2"/>
    <mergeCell ref="C3:M3"/>
    <mergeCell ref="C4:M4"/>
    <mergeCell ref="C5:M5"/>
    <mergeCell ref="C6:M6"/>
    <mergeCell ref="C7:M7"/>
    <mergeCell ref="C8:M8"/>
    <mergeCell ref="C9:M9"/>
    <mergeCell ref="C10:M10"/>
    <mergeCell ref="C11:M11"/>
    <mergeCell ref="C12:M12"/>
    <mergeCell ref="C13:M13"/>
    <mergeCell ref="C14:M14"/>
    <mergeCell ref="C15:M15"/>
    <mergeCell ref="C16:M16"/>
    <mergeCell ref="C17:M17"/>
    <mergeCell ref="C18:M18"/>
    <mergeCell ref="C19:M19"/>
    <mergeCell ref="C20:M20"/>
    <mergeCell ref="C21:M21"/>
    <mergeCell ref="C22:M22"/>
    <mergeCell ref="C23:M23"/>
    <mergeCell ref="C24:M24"/>
    <mergeCell ref="C38:M38"/>
    <mergeCell ref="C25:M25"/>
    <mergeCell ref="C26:M26"/>
    <mergeCell ref="C27:M27"/>
    <mergeCell ref="P31:Z31"/>
    <mergeCell ref="P32:Z32"/>
    <mergeCell ref="C39:M39"/>
    <mergeCell ref="P38:Z38"/>
    <mergeCell ref="P39:Z39"/>
    <mergeCell ref="P40:Z40"/>
    <mergeCell ref="C28:M28"/>
    <mergeCell ref="C29:M29"/>
    <mergeCell ref="P29:Z29"/>
    <mergeCell ref="C30:M30"/>
    <mergeCell ref="P30:Z30"/>
    <mergeCell ref="C31:M31"/>
    <mergeCell ref="C32:M32"/>
    <mergeCell ref="C33:M33"/>
    <mergeCell ref="C34:M34"/>
    <mergeCell ref="C35:M35"/>
    <mergeCell ref="C36:M36"/>
    <mergeCell ref="C37:M37"/>
  </mergeCells>
  <printOptions gridLines="1"/>
  <pageMargins left="0.75" right="0.75" top="1" bottom="1" header="0" footer="0"/>
  <pageSetup scale="85" orientation="portrait"/>
  <headerFooter>
    <oddHeader>&amp;LDistrict Notes</oddHeader>
    <oddFooter>&amp;CPage &amp;P of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1000"/>
  <sheetViews>
    <sheetView workbookViewId="0"/>
  </sheetViews>
  <sheetFormatPr defaultColWidth="16.83203125" defaultRowHeight="15" customHeight="1"/>
  <cols>
    <col min="1" max="1" width="8.83203125" customWidth="1"/>
    <col min="2" max="2" width="35.1640625" customWidth="1"/>
    <col min="3" max="3" width="34" customWidth="1"/>
    <col min="4" max="4" width="10.33203125" customWidth="1"/>
    <col min="5" max="5" width="13.1640625" customWidth="1"/>
    <col min="6" max="6" width="8.83203125" customWidth="1"/>
    <col min="7" max="10" width="15.1640625" customWidth="1"/>
    <col min="11" max="11" width="16.6640625" customWidth="1"/>
    <col min="12" max="12" width="16" customWidth="1"/>
    <col min="13" max="13" width="17.5" customWidth="1"/>
    <col min="14" max="14" width="13.83203125" customWidth="1"/>
    <col min="15" max="16" width="8.83203125" customWidth="1"/>
    <col min="17" max="17" width="15.33203125" customWidth="1"/>
    <col min="18" max="21" width="17.5" customWidth="1"/>
    <col min="22" max="22" width="13" customWidth="1"/>
    <col min="23" max="23" width="8.83203125" customWidth="1"/>
    <col min="24" max="24" width="17.6640625" customWidth="1"/>
    <col min="25" max="25" width="16.1640625" customWidth="1"/>
    <col min="26" max="26" width="14.33203125" customWidth="1"/>
    <col min="27" max="28" width="8.83203125" customWidth="1"/>
    <col min="29" max="32" width="15.33203125" customWidth="1"/>
    <col min="33" max="35" width="8.83203125" customWidth="1"/>
    <col min="36" max="36" width="19.6640625" customWidth="1"/>
    <col min="37" max="37" width="8.83203125" customWidth="1"/>
    <col min="38" max="38" width="13.83203125" customWidth="1"/>
  </cols>
  <sheetData>
    <row r="1" spans="1:38" ht="11.25" customHeight="1">
      <c r="A1" s="238" t="s">
        <v>304</v>
      </c>
      <c r="B1" s="239"/>
      <c r="C1" s="239"/>
      <c r="D1" s="239"/>
      <c r="E1" s="239"/>
      <c r="F1" s="239"/>
      <c r="G1" s="239"/>
      <c r="H1" s="239"/>
      <c r="I1" s="239"/>
      <c r="J1" s="239"/>
      <c r="K1" s="240"/>
      <c r="L1" s="241" t="s">
        <v>773</v>
      </c>
      <c r="M1" s="242"/>
      <c r="N1" s="242"/>
      <c r="O1" s="242"/>
      <c r="P1" s="242"/>
      <c r="Q1" s="242"/>
      <c r="R1" s="242"/>
      <c r="S1" s="242"/>
      <c r="T1" s="242"/>
      <c r="U1" s="242"/>
      <c r="V1" s="243"/>
      <c r="W1" s="244" t="s">
        <v>306</v>
      </c>
      <c r="X1" s="245"/>
      <c r="Y1" s="245"/>
      <c r="Z1" s="245"/>
      <c r="AA1" s="245"/>
      <c r="AB1" s="245"/>
      <c r="AC1" s="245"/>
      <c r="AD1" s="245"/>
      <c r="AE1" s="245"/>
      <c r="AF1" s="245"/>
      <c r="AG1" s="246"/>
      <c r="AH1" s="156" t="s">
        <v>1002</v>
      </c>
    </row>
    <row r="2" spans="1:38" ht="11.25" customHeight="1">
      <c r="A2" s="247" t="s">
        <v>1003</v>
      </c>
      <c r="B2" s="248" t="s">
        <v>1004</v>
      </c>
      <c r="C2" s="248" t="s">
        <v>1005</v>
      </c>
      <c r="D2" s="247" t="s">
        <v>1006</v>
      </c>
      <c r="E2" s="248" t="s">
        <v>1007</v>
      </c>
      <c r="F2" s="247" t="s">
        <v>1008</v>
      </c>
      <c r="G2" s="248" t="s">
        <v>1009</v>
      </c>
      <c r="H2" s="249" t="s">
        <v>1010</v>
      </c>
      <c r="I2" s="249" t="s">
        <v>1011</v>
      </c>
      <c r="J2" s="249" t="s">
        <v>1012</v>
      </c>
      <c r="K2" s="249" t="s">
        <v>1013</v>
      </c>
      <c r="L2" s="247" t="s">
        <v>1003</v>
      </c>
      <c r="M2" s="248" t="s">
        <v>1004</v>
      </c>
      <c r="N2" s="248" t="s">
        <v>1005</v>
      </c>
      <c r="O2" s="247" t="s">
        <v>1006</v>
      </c>
      <c r="P2" s="248" t="s">
        <v>1007</v>
      </c>
      <c r="Q2" s="247" t="s">
        <v>1008</v>
      </c>
      <c r="R2" s="248" t="s">
        <v>1009</v>
      </c>
      <c r="S2" s="249" t="s">
        <v>1010</v>
      </c>
      <c r="T2" s="249" t="s">
        <v>1011</v>
      </c>
      <c r="U2" s="249" t="s">
        <v>1012</v>
      </c>
      <c r="V2" s="249" t="s">
        <v>1014</v>
      </c>
      <c r="W2" s="247" t="s">
        <v>1003</v>
      </c>
      <c r="X2" s="248" t="s">
        <v>1004</v>
      </c>
      <c r="Y2" s="248" t="s">
        <v>1005</v>
      </c>
      <c r="Z2" s="247" t="s">
        <v>1006</v>
      </c>
      <c r="AA2" s="248" t="s">
        <v>1007</v>
      </c>
      <c r="AB2" s="247" t="s">
        <v>1008</v>
      </c>
      <c r="AC2" s="248" t="s">
        <v>1009</v>
      </c>
      <c r="AD2" s="249" t="s">
        <v>1010</v>
      </c>
      <c r="AE2" s="249" t="s">
        <v>1011</v>
      </c>
      <c r="AF2" s="249" t="s">
        <v>1012</v>
      </c>
      <c r="AG2" s="249" t="s">
        <v>1014</v>
      </c>
      <c r="AH2" s="247" t="s">
        <v>1003</v>
      </c>
      <c r="AI2" s="248" t="s">
        <v>1015</v>
      </c>
      <c r="AJ2" s="248" t="s">
        <v>1004</v>
      </c>
      <c r="AK2" s="247" t="s">
        <v>1008</v>
      </c>
      <c r="AL2" s="248" t="s">
        <v>1009</v>
      </c>
    </row>
    <row r="3" spans="1:38" ht="11.25" customHeight="1">
      <c r="A3" s="250">
        <v>999</v>
      </c>
      <c r="B3" s="250" t="s">
        <v>777</v>
      </c>
      <c r="C3" s="250" t="s">
        <v>777</v>
      </c>
      <c r="D3" s="250">
        <v>99999</v>
      </c>
      <c r="E3" s="250" t="s">
        <v>505</v>
      </c>
      <c r="F3" s="247"/>
      <c r="G3" s="248"/>
      <c r="H3" s="249"/>
      <c r="I3" s="249"/>
      <c r="J3" s="249"/>
      <c r="K3" s="251"/>
      <c r="L3" s="250">
        <v>999</v>
      </c>
      <c r="M3" s="250" t="s">
        <v>777</v>
      </c>
      <c r="N3" s="250" t="s">
        <v>777</v>
      </c>
      <c r="O3" s="250">
        <v>99999</v>
      </c>
      <c r="P3" s="250" t="s">
        <v>1016</v>
      </c>
      <c r="Q3" s="247"/>
      <c r="R3" s="248"/>
      <c r="S3" s="249"/>
      <c r="T3" s="249"/>
      <c r="U3" s="249"/>
      <c r="V3" s="252"/>
      <c r="W3" s="250">
        <v>999</v>
      </c>
      <c r="X3" s="250" t="s">
        <v>777</v>
      </c>
      <c r="Y3" s="250" t="s">
        <v>777</v>
      </c>
      <c r="Z3" s="250">
        <v>99999</v>
      </c>
      <c r="AA3" s="250" t="s">
        <v>1017</v>
      </c>
      <c r="AB3" s="247"/>
      <c r="AC3" s="248"/>
      <c r="AD3" s="249"/>
      <c r="AE3" s="249"/>
      <c r="AF3" s="249"/>
      <c r="AH3" s="253">
        <v>725</v>
      </c>
      <c r="AI3" s="253">
        <v>725</v>
      </c>
      <c r="AJ3" s="253" t="s">
        <v>1018</v>
      </c>
      <c r="AK3" s="253">
        <v>411</v>
      </c>
      <c r="AL3" s="253" t="s">
        <v>1018</v>
      </c>
    </row>
    <row r="4" spans="1:38" ht="11.25" customHeight="1">
      <c r="A4" s="250">
        <v>111</v>
      </c>
      <c r="B4" s="250" t="s">
        <v>1019</v>
      </c>
      <c r="C4" s="250" t="s">
        <v>1020</v>
      </c>
      <c r="D4" s="250">
        <v>20240</v>
      </c>
      <c r="E4" s="250" t="s">
        <v>505</v>
      </c>
      <c r="F4" s="250">
        <v>8</v>
      </c>
      <c r="G4" s="250" t="s">
        <v>1021</v>
      </c>
      <c r="H4" s="253">
        <f t="shared" ref="H4:H258" si="0">ROWS($G$4:G4)</f>
        <v>1</v>
      </c>
      <c r="I4" s="253" t="str">
        <f>IF('School Level Expenditures'!$B$2=A4,'School Tables'!H4,"")</f>
        <v/>
      </c>
      <c r="J4" s="253">
        <f t="shared" ref="J4:J258" si="1">IFERROR(SMALL($I$4:$I$325,ROWS($I$4:I4)),"")</f>
        <v>178</v>
      </c>
      <c r="K4" s="254" t="b">
        <f t="shared" ref="K4:K258" si="2">C4=C5</f>
        <v>0</v>
      </c>
      <c r="L4" s="250">
        <v>113</v>
      </c>
      <c r="M4" s="250" t="s">
        <v>1022</v>
      </c>
      <c r="N4" s="250" t="s">
        <v>1023</v>
      </c>
      <c r="O4" s="250">
        <v>27010</v>
      </c>
      <c r="P4" s="250" t="s">
        <v>1016</v>
      </c>
      <c r="Q4" s="250">
        <v>9</v>
      </c>
      <c r="R4" s="250" t="s">
        <v>1024</v>
      </c>
      <c r="S4" s="253">
        <f t="shared" ref="S4:S75" si="3">ROWS($Q$4:Q4)</f>
        <v>1</v>
      </c>
      <c r="T4" s="253" t="str">
        <f>IF('School Level Expenditures'!$B$2='School Tables'!L4,'School Tables'!S4,"")</f>
        <v/>
      </c>
      <c r="U4" s="253" t="str">
        <f t="shared" ref="U4:U75" si="4">IFERROR(SMALL($T$4:$T$75,ROWS($T$4:T4)),"")</f>
        <v/>
      </c>
      <c r="V4" s="254" t="b">
        <f t="shared" ref="V4:V75" si="5">N4=N5</f>
        <v>0</v>
      </c>
      <c r="W4" s="250">
        <v>725</v>
      </c>
      <c r="X4" s="250" t="s">
        <v>1018</v>
      </c>
      <c r="Y4" s="250" t="s">
        <v>1025</v>
      </c>
      <c r="Z4" s="250">
        <v>28615</v>
      </c>
      <c r="AA4" s="250" t="s">
        <v>1017</v>
      </c>
      <c r="AB4" s="250">
        <v>411</v>
      </c>
      <c r="AC4" s="250" t="s">
        <v>1018</v>
      </c>
      <c r="AD4" s="253">
        <f t="shared" ref="AD4:AD100" si="6">ROWS($AC$4:AC4)</f>
        <v>1</v>
      </c>
      <c r="AE4" s="253" t="str">
        <f>IF('School Level Expenditures'!$B$2='School Tables'!W4,'School Tables'!AD4,"")</f>
        <v/>
      </c>
      <c r="AF4" s="253" t="str">
        <f t="shared" ref="AF4:AF100" si="7">IFERROR(SMALL($AE4:AE$100,ROWS($AE$4:AE4)),"")</f>
        <v/>
      </c>
      <c r="AG4" s="254" t="b">
        <f t="shared" ref="AG4:AG30" si="8">Y4=Y5</f>
        <v>0</v>
      </c>
      <c r="AH4" s="135">
        <v>5</v>
      </c>
      <c r="AI4" s="135">
        <v>5</v>
      </c>
      <c r="AJ4" s="135" t="s">
        <v>1026</v>
      </c>
      <c r="AK4" s="135">
        <v>9</v>
      </c>
      <c r="AL4" s="135" t="s">
        <v>1024</v>
      </c>
    </row>
    <row r="5" spans="1:38" ht="11.25" customHeight="1">
      <c r="A5" s="250">
        <v>174</v>
      </c>
      <c r="B5" s="250" t="s">
        <v>1027</v>
      </c>
      <c r="C5" s="250" t="s">
        <v>1028</v>
      </c>
      <c r="D5" s="250">
        <v>22960</v>
      </c>
      <c r="E5" s="250" t="s">
        <v>505</v>
      </c>
      <c r="F5" s="250">
        <v>60</v>
      </c>
      <c r="G5" s="250" t="s">
        <v>1029</v>
      </c>
      <c r="H5" s="253">
        <f t="shared" si="0"/>
        <v>2</v>
      </c>
      <c r="I5" s="253" t="str">
        <f>IF('School Level Expenditures'!$B$2=A5,'School Tables'!H5,"")</f>
        <v/>
      </c>
      <c r="J5" s="253" t="str">
        <f t="shared" si="1"/>
        <v/>
      </c>
      <c r="K5" s="254" t="b">
        <f t="shared" si="2"/>
        <v>0</v>
      </c>
      <c r="L5" s="250">
        <v>725</v>
      </c>
      <c r="M5" s="250" t="s">
        <v>1018</v>
      </c>
      <c r="N5" s="250" t="s">
        <v>1030</v>
      </c>
      <c r="O5" s="250">
        <v>28580</v>
      </c>
      <c r="P5" s="250" t="s">
        <v>1016</v>
      </c>
      <c r="Q5" s="250">
        <v>411</v>
      </c>
      <c r="R5" s="250" t="s">
        <v>1018</v>
      </c>
      <c r="S5" s="253">
        <f t="shared" si="3"/>
        <v>2</v>
      </c>
      <c r="T5" s="253" t="str">
        <f>IF('School Level Expenditures'!$B$2='School Tables'!L5,'School Tables'!S5,"")</f>
        <v/>
      </c>
      <c r="U5" s="253" t="str">
        <f t="shared" si="4"/>
        <v/>
      </c>
      <c r="V5" s="254" t="b">
        <f t="shared" si="5"/>
        <v>0</v>
      </c>
      <c r="W5" s="250">
        <v>267</v>
      </c>
      <c r="X5" s="250" t="s">
        <v>1031</v>
      </c>
      <c r="Y5" s="250" t="s">
        <v>1032</v>
      </c>
      <c r="Z5" s="250">
        <v>21050</v>
      </c>
      <c r="AA5" s="250" t="s">
        <v>1017</v>
      </c>
      <c r="AB5" s="250">
        <v>81</v>
      </c>
      <c r="AC5" s="250" t="s">
        <v>1033</v>
      </c>
      <c r="AD5" s="253">
        <f t="shared" si="6"/>
        <v>2</v>
      </c>
      <c r="AE5" s="253" t="str">
        <f>IF('School Level Expenditures'!$B$2='School Tables'!W5,'School Tables'!AD5,"")</f>
        <v/>
      </c>
      <c r="AF5" s="253" t="str">
        <f t="shared" si="7"/>
        <v/>
      </c>
      <c r="AG5" s="254" t="b">
        <f t="shared" si="8"/>
        <v>0</v>
      </c>
      <c r="AH5" s="135">
        <v>9</v>
      </c>
      <c r="AI5" s="135">
        <v>9</v>
      </c>
      <c r="AJ5" s="135" t="s">
        <v>1034</v>
      </c>
      <c r="AK5" s="135">
        <v>53</v>
      </c>
      <c r="AL5" s="135" t="s">
        <v>1035</v>
      </c>
    </row>
    <row r="6" spans="1:38" ht="11.25" customHeight="1">
      <c r="A6" s="250">
        <v>225</v>
      </c>
      <c r="B6" s="250" t="s">
        <v>1036</v>
      </c>
      <c r="C6" s="250" t="s">
        <v>1037</v>
      </c>
      <c r="D6" s="250">
        <v>20795</v>
      </c>
      <c r="E6" s="250" t="s">
        <v>505</v>
      </c>
      <c r="F6" s="250">
        <v>90</v>
      </c>
      <c r="G6" s="250" t="s">
        <v>1038</v>
      </c>
      <c r="H6" s="253">
        <f t="shared" si="0"/>
        <v>3</v>
      </c>
      <c r="I6" s="253" t="str">
        <f>IF('School Level Expenditures'!$B$2=A6,'School Tables'!H6,"")</f>
        <v/>
      </c>
      <c r="J6" s="253" t="str">
        <f t="shared" si="1"/>
        <v/>
      </c>
      <c r="K6" s="254" t="b">
        <f t="shared" si="2"/>
        <v>0</v>
      </c>
      <c r="L6" s="250">
        <v>17</v>
      </c>
      <c r="M6" s="250" t="s">
        <v>1039</v>
      </c>
      <c r="N6" s="250" t="s">
        <v>1040</v>
      </c>
      <c r="O6" s="250">
        <v>21745</v>
      </c>
      <c r="P6" s="250" t="s">
        <v>1016</v>
      </c>
      <c r="Q6" s="250">
        <v>39</v>
      </c>
      <c r="R6" s="250" t="s">
        <v>1041</v>
      </c>
      <c r="S6" s="253">
        <f t="shared" si="3"/>
        <v>3</v>
      </c>
      <c r="T6" s="253" t="str">
        <f>IF('School Level Expenditures'!$B$2='School Tables'!L6,'School Tables'!S6,"")</f>
        <v/>
      </c>
      <c r="U6" s="253" t="str">
        <f t="shared" si="4"/>
        <v/>
      </c>
      <c r="V6" s="254" t="b">
        <f t="shared" si="5"/>
        <v>0</v>
      </c>
      <c r="W6" s="250">
        <v>41</v>
      </c>
      <c r="X6" s="250" t="s">
        <v>1042</v>
      </c>
      <c r="Y6" s="250" t="s">
        <v>1043</v>
      </c>
      <c r="Z6" s="250">
        <v>28555</v>
      </c>
      <c r="AA6" s="250" t="s">
        <v>1017</v>
      </c>
      <c r="AB6" s="250">
        <v>25</v>
      </c>
      <c r="AC6" s="250" t="s">
        <v>1044</v>
      </c>
      <c r="AD6" s="253">
        <f t="shared" si="6"/>
        <v>3</v>
      </c>
      <c r="AE6" s="253" t="str">
        <f>IF('School Level Expenditures'!$B$2='School Tables'!W6,'School Tables'!AD6,"")</f>
        <v/>
      </c>
      <c r="AF6" s="253" t="str">
        <f t="shared" si="7"/>
        <v/>
      </c>
      <c r="AG6" s="254" t="b">
        <f t="shared" si="8"/>
        <v>0</v>
      </c>
      <c r="AH6" s="135">
        <v>15</v>
      </c>
      <c r="AI6" s="135">
        <v>15</v>
      </c>
      <c r="AJ6" s="135" t="s">
        <v>1045</v>
      </c>
      <c r="AK6" s="135">
        <v>72</v>
      </c>
      <c r="AL6" s="135" t="s">
        <v>1046</v>
      </c>
    </row>
    <row r="7" spans="1:38" ht="11.25" customHeight="1">
      <c r="A7" s="250">
        <v>9</v>
      </c>
      <c r="B7" s="250" t="s">
        <v>1034</v>
      </c>
      <c r="C7" s="250" t="s">
        <v>1047</v>
      </c>
      <c r="D7" s="250">
        <v>22580</v>
      </c>
      <c r="E7" s="250" t="s">
        <v>505</v>
      </c>
      <c r="F7" s="250">
        <v>53</v>
      </c>
      <c r="G7" s="250" t="s">
        <v>1035</v>
      </c>
      <c r="H7" s="253">
        <f t="shared" si="0"/>
        <v>4</v>
      </c>
      <c r="I7" s="253" t="str">
        <f>IF('School Level Expenditures'!$B$2=A7,'School Tables'!H7,"")</f>
        <v/>
      </c>
      <c r="J7" s="253" t="str">
        <f t="shared" si="1"/>
        <v/>
      </c>
      <c r="K7" s="254" t="b">
        <f t="shared" si="2"/>
        <v>0</v>
      </c>
      <c r="L7" s="250">
        <v>33</v>
      </c>
      <c r="M7" s="250" t="s">
        <v>1048</v>
      </c>
      <c r="N7" s="250" t="s">
        <v>1049</v>
      </c>
      <c r="O7" s="250">
        <v>22030</v>
      </c>
      <c r="P7" s="250" t="s">
        <v>1016</v>
      </c>
      <c r="Q7" s="250">
        <v>74</v>
      </c>
      <c r="R7" s="250" t="s">
        <v>1050</v>
      </c>
      <c r="S7" s="253">
        <f t="shared" si="3"/>
        <v>4</v>
      </c>
      <c r="T7" s="253" t="str">
        <f>IF('School Level Expenditures'!$B$2='School Tables'!L7,'School Tables'!S7,"")</f>
        <v/>
      </c>
      <c r="U7" s="253" t="str">
        <f t="shared" si="4"/>
        <v/>
      </c>
      <c r="V7" s="254" t="b">
        <f t="shared" si="5"/>
        <v>0</v>
      </c>
      <c r="W7" s="250">
        <v>486</v>
      </c>
      <c r="X7" s="250" t="s">
        <v>1051</v>
      </c>
      <c r="Y7" s="250" t="s">
        <v>1052</v>
      </c>
      <c r="Z7" s="250">
        <v>22145</v>
      </c>
      <c r="AA7" s="250" t="s">
        <v>1017</v>
      </c>
      <c r="AB7" s="250">
        <v>80</v>
      </c>
      <c r="AC7" s="250" t="s">
        <v>1053</v>
      </c>
      <c r="AD7" s="253">
        <f t="shared" si="6"/>
        <v>4</v>
      </c>
      <c r="AE7" s="253" t="str">
        <f>IF('School Level Expenditures'!$B$2='School Tables'!W7,'School Tables'!AD7,"")</f>
        <v/>
      </c>
      <c r="AF7" s="253" t="str">
        <f t="shared" si="7"/>
        <v/>
      </c>
      <c r="AG7" s="254" t="b">
        <f t="shared" si="8"/>
        <v>0</v>
      </c>
      <c r="AH7" s="135">
        <v>17</v>
      </c>
      <c r="AI7" s="135">
        <v>17</v>
      </c>
      <c r="AJ7" s="135" t="s">
        <v>1039</v>
      </c>
      <c r="AK7" s="135">
        <v>39</v>
      </c>
      <c r="AL7" s="135" t="s">
        <v>1041</v>
      </c>
    </row>
    <row r="8" spans="1:38" ht="11.25" customHeight="1">
      <c r="A8" s="250">
        <v>174</v>
      </c>
      <c r="B8" s="250" t="s">
        <v>1027</v>
      </c>
      <c r="C8" s="250" t="s">
        <v>1054</v>
      </c>
      <c r="D8" s="250">
        <v>22965</v>
      </c>
      <c r="E8" s="250" t="s">
        <v>505</v>
      </c>
      <c r="F8" s="250">
        <v>60</v>
      </c>
      <c r="G8" s="250" t="s">
        <v>1029</v>
      </c>
      <c r="H8" s="253">
        <f t="shared" si="0"/>
        <v>5</v>
      </c>
      <c r="I8" s="253" t="str">
        <f>IF('School Level Expenditures'!$B$2=A8,'School Tables'!H8,"")</f>
        <v/>
      </c>
      <c r="J8" s="253" t="str">
        <f t="shared" si="1"/>
        <v/>
      </c>
      <c r="K8" s="254" t="b">
        <f t="shared" si="2"/>
        <v>0</v>
      </c>
      <c r="L8" s="250">
        <v>486</v>
      </c>
      <c r="M8" s="250" t="s">
        <v>1051</v>
      </c>
      <c r="N8" s="250" t="s">
        <v>1055</v>
      </c>
      <c r="O8" s="250">
        <v>22150</v>
      </c>
      <c r="P8" s="250" t="s">
        <v>1016</v>
      </c>
      <c r="Q8" s="250">
        <v>80</v>
      </c>
      <c r="R8" s="250" t="s">
        <v>1053</v>
      </c>
      <c r="S8" s="253">
        <f t="shared" si="3"/>
        <v>5</v>
      </c>
      <c r="T8" s="253" t="str">
        <f>IF('School Level Expenditures'!$B$2='School Tables'!L8,'School Tables'!S8,"")</f>
        <v/>
      </c>
      <c r="U8" s="253" t="str">
        <f t="shared" si="4"/>
        <v/>
      </c>
      <c r="V8" s="254" t="b">
        <f t="shared" si="5"/>
        <v>0</v>
      </c>
      <c r="W8" s="250">
        <v>51</v>
      </c>
      <c r="X8" s="250" t="s">
        <v>1056</v>
      </c>
      <c r="Y8" s="250" t="s">
        <v>1057</v>
      </c>
      <c r="Z8" s="250">
        <v>20050</v>
      </c>
      <c r="AA8" s="250" t="s">
        <v>1017</v>
      </c>
      <c r="AB8" s="250">
        <v>3</v>
      </c>
      <c r="AC8" s="250" t="s">
        <v>1058</v>
      </c>
      <c r="AD8" s="253">
        <f t="shared" si="6"/>
        <v>5</v>
      </c>
      <c r="AE8" s="253" t="str">
        <f>IF('School Level Expenditures'!$B$2='School Tables'!W8,'School Tables'!AD8,"")</f>
        <v/>
      </c>
      <c r="AF8" s="253" t="str">
        <f t="shared" si="7"/>
        <v/>
      </c>
      <c r="AG8" s="254" t="b">
        <f t="shared" si="8"/>
        <v>0</v>
      </c>
      <c r="AH8" s="135">
        <v>19</v>
      </c>
      <c r="AI8" s="135">
        <v>19</v>
      </c>
      <c r="AJ8" s="135" t="s">
        <v>1059</v>
      </c>
      <c r="AK8" s="135">
        <v>46</v>
      </c>
      <c r="AL8" s="135" t="s">
        <v>1060</v>
      </c>
    </row>
    <row r="9" spans="1:38" ht="11.25" customHeight="1">
      <c r="A9" s="250">
        <v>15</v>
      </c>
      <c r="B9" s="250" t="s">
        <v>1045</v>
      </c>
      <c r="C9" s="250" t="s">
        <v>1061</v>
      </c>
      <c r="D9" s="250">
        <v>22480</v>
      </c>
      <c r="E9" s="250" t="s">
        <v>505</v>
      </c>
      <c r="F9" s="250">
        <v>72</v>
      </c>
      <c r="G9" s="250" t="s">
        <v>1046</v>
      </c>
      <c r="H9" s="253">
        <f t="shared" si="0"/>
        <v>6</v>
      </c>
      <c r="I9" s="253" t="str">
        <f>IF('School Level Expenditures'!$B$2=A9,'School Tables'!H9,"")</f>
        <v/>
      </c>
      <c r="J9" s="253" t="str">
        <f t="shared" si="1"/>
        <v/>
      </c>
      <c r="K9" s="254" t="b">
        <f t="shared" si="2"/>
        <v>0</v>
      </c>
      <c r="L9" s="250">
        <v>51</v>
      </c>
      <c r="M9" s="250" t="s">
        <v>1056</v>
      </c>
      <c r="N9" s="250" t="s">
        <v>1062</v>
      </c>
      <c r="O9" s="250">
        <v>20045</v>
      </c>
      <c r="P9" s="250" t="s">
        <v>1016</v>
      </c>
      <c r="Q9" s="250">
        <v>3</v>
      </c>
      <c r="R9" s="250" t="s">
        <v>1058</v>
      </c>
      <c r="S9" s="253">
        <f t="shared" si="3"/>
        <v>6</v>
      </c>
      <c r="T9" s="253" t="str">
        <f>IF('School Level Expenditures'!$B$2='School Tables'!L9,'School Tables'!S9,"")</f>
        <v/>
      </c>
      <c r="U9" s="253" t="str">
        <f t="shared" si="4"/>
        <v/>
      </c>
      <c r="V9" s="254" t="b">
        <f t="shared" si="5"/>
        <v>0</v>
      </c>
      <c r="W9" s="250">
        <v>57</v>
      </c>
      <c r="X9" s="250" t="s">
        <v>1063</v>
      </c>
      <c r="Y9" s="250" t="s">
        <v>1064</v>
      </c>
      <c r="Z9" s="250">
        <v>27375</v>
      </c>
      <c r="AA9" s="250" t="s">
        <v>1017</v>
      </c>
      <c r="AB9" s="250">
        <v>67</v>
      </c>
      <c r="AC9" s="250" t="s">
        <v>1065</v>
      </c>
      <c r="AD9" s="253">
        <f t="shared" si="6"/>
        <v>6</v>
      </c>
      <c r="AE9" s="253" t="str">
        <f>IF('School Level Expenditures'!$B$2='School Tables'!W9,'School Tables'!AD9,"")</f>
        <v/>
      </c>
      <c r="AF9" s="253" t="str">
        <f t="shared" si="7"/>
        <v/>
      </c>
      <c r="AG9" s="254" t="b">
        <f t="shared" si="8"/>
        <v>0</v>
      </c>
      <c r="AH9" s="135">
        <v>23</v>
      </c>
      <c r="AI9" s="135">
        <v>23</v>
      </c>
      <c r="AJ9" s="135" t="s">
        <v>1066</v>
      </c>
      <c r="AK9" s="135">
        <v>2</v>
      </c>
      <c r="AL9" s="135" t="s">
        <v>1067</v>
      </c>
    </row>
    <row r="10" spans="1:38" ht="11.25" customHeight="1">
      <c r="A10" s="250">
        <v>371</v>
      </c>
      <c r="B10" s="250" t="s">
        <v>1068</v>
      </c>
      <c r="C10" s="250" t="s">
        <v>1069</v>
      </c>
      <c r="D10" s="250">
        <v>21940</v>
      </c>
      <c r="E10" s="250" t="s">
        <v>505</v>
      </c>
      <c r="F10" s="250">
        <v>42</v>
      </c>
      <c r="G10" s="250" t="s">
        <v>1070</v>
      </c>
      <c r="H10" s="253">
        <f t="shared" si="0"/>
        <v>7</v>
      </c>
      <c r="I10" s="253" t="str">
        <f>IF('School Level Expenditures'!$B$2=A10,'School Tables'!H10,"")</f>
        <v/>
      </c>
      <c r="J10" s="253" t="str">
        <f t="shared" si="1"/>
        <v/>
      </c>
      <c r="K10" s="254" t="b">
        <f t="shared" si="2"/>
        <v>0</v>
      </c>
      <c r="L10" s="250">
        <v>57</v>
      </c>
      <c r="M10" s="250" t="s">
        <v>1063</v>
      </c>
      <c r="N10" s="250" t="s">
        <v>1071</v>
      </c>
      <c r="O10" s="250">
        <v>20675</v>
      </c>
      <c r="P10" s="250" t="s">
        <v>1016</v>
      </c>
      <c r="Q10" s="250">
        <v>67</v>
      </c>
      <c r="R10" s="250" t="s">
        <v>1065</v>
      </c>
      <c r="S10" s="253">
        <f t="shared" si="3"/>
        <v>7</v>
      </c>
      <c r="T10" s="253" t="str">
        <f>IF('School Level Expenditures'!$B$2='School Tables'!L10,'School Tables'!S10,"")</f>
        <v/>
      </c>
      <c r="U10" s="253" t="str">
        <f t="shared" si="4"/>
        <v/>
      </c>
      <c r="V10" s="254" t="b">
        <f t="shared" si="5"/>
        <v>0</v>
      </c>
      <c r="W10" s="250">
        <v>461</v>
      </c>
      <c r="X10" s="250" t="s">
        <v>1072</v>
      </c>
      <c r="Y10" s="250" t="s">
        <v>1073</v>
      </c>
      <c r="Z10" s="250">
        <v>22675</v>
      </c>
      <c r="AA10" s="250" t="s">
        <v>1017</v>
      </c>
      <c r="AB10" s="250">
        <v>54</v>
      </c>
      <c r="AC10" s="250" t="s">
        <v>1074</v>
      </c>
      <c r="AD10" s="253">
        <f t="shared" si="6"/>
        <v>7</v>
      </c>
      <c r="AE10" s="253" t="str">
        <f>IF('School Level Expenditures'!$B$2='School Tables'!W10,'School Tables'!AD10,"")</f>
        <v/>
      </c>
      <c r="AF10" s="253" t="str">
        <f t="shared" si="7"/>
        <v/>
      </c>
      <c r="AG10" s="254" t="b">
        <f t="shared" si="8"/>
        <v>0</v>
      </c>
      <c r="AH10" s="135">
        <v>29</v>
      </c>
      <c r="AI10" s="135">
        <v>29</v>
      </c>
      <c r="AJ10" s="135" t="s">
        <v>1075</v>
      </c>
      <c r="AK10" s="135">
        <v>15</v>
      </c>
      <c r="AL10" s="135" t="s">
        <v>1076</v>
      </c>
    </row>
    <row r="11" spans="1:38" ht="11.25" customHeight="1">
      <c r="A11" s="250">
        <v>19</v>
      </c>
      <c r="B11" s="250" t="s">
        <v>1059</v>
      </c>
      <c r="C11" s="250" t="s">
        <v>1077</v>
      </c>
      <c r="D11" s="250">
        <v>22130</v>
      </c>
      <c r="E11" s="250" t="s">
        <v>505</v>
      </c>
      <c r="F11" s="250">
        <v>46</v>
      </c>
      <c r="G11" s="250" t="s">
        <v>1060</v>
      </c>
      <c r="H11" s="253">
        <f t="shared" si="0"/>
        <v>8</v>
      </c>
      <c r="I11" s="253" t="str">
        <f>IF('School Level Expenditures'!$B$2=A11,'School Tables'!H11,"")</f>
        <v/>
      </c>
      <c r="J11" s="253" t="str">
        <f t="shared" si="1"/>
        <v/>
      </c>
      <c r="K11" s="254" t="b">
        <f t="shared" si="2"/>
        <v>0</v>
      </c>
      <c r="L11" s="250">
        <v>342</v>
      </c>
      <c r="M11" s="250" t="s">
        <v>1078</v>
      </c>
      <c r="N11" s="250" t="s">
        <v>1079</v>
      </c>
      <c r="O11" s="250">
        <v>26685</v>
      </c>
      <c r="P11" s="250" t="s">
        <v>1016</v>
      </c>
      <c r="Q11" s="250">
        <v>87</v>
      </c>
      <c r="R11" s="250" t="s">
        <v>1080</v>
      </c>
      <c r="S11" s="253">
        <f t="shared" si="3"/>
        <v>8</v>
      </c>
      <c r="T11" s="253" t="str">
        <f>IF('School Level Expenditures'!$B$2='School Tables'!L11,'School Tables'!S11,"")</f>
        <v/>
      </c>
      <c r="U11" s="253" t="str">
        <f t="shared" si="4"/>
        <v/>
      </c>
      <c r="V11" s="254" t="b">
        <f t="shared" si="5"/>
        <v>0</v>
      </c>
      <c r="W11" s="250">
        <v>315</v>
      </c>
      <c r="X11" s="250" t="s">
        <v>1081</v>
      </c>
      <c r="Y11" s="250" t="s">
        <v>1082</v>
      </c>
      <c r="Z11" s="250">
        <v>27715</v>
      </c>
      <c r="AA11" s="250" t="s">
        <v>1017</v>
      </c>
      <c r="AB11" s="250">
        <v>27</v>
      </c>
      <c r="AC11" s="250" t="s">
        <v>1083</v>
      </c>
      <c r="AD11" s="253">
        <f t="shared" si="6"/>
        <v>8</v>
      </c>
      <c r="AE11" s="253" t="str">
        <f>IF('School Level Expenditures'!$B$2='School Tables'!W11,'School Tables'!AD11,"")</f>
        <v/>
      </c>
      <c r="AF11" s="253" t="str">
        <f t="shared" si="7"/>
        <v/>
      </c>
      <c r="AG11" s="254" t="b">
        <f t="shared" si="8"/>
        <v>0</v>
      </c>
      <c r="AH11" s="135">
        <v>31</v>
      </c>
      <c r="AI11" s="135">
        <v>31</v>
      </c>
      <c r="AJ11" s="135" t="s">
        <v>1084</v>
      </c>
      <c r="AK11" s="135">
        <v>86</v>
      </c>
      <c r="AL11" s="135" t="s">
        <v>1085</v>
      </c>
    </row>
    <row r="12" spans="1:38" ht="11.25" customHeight="1">
      <c r="A12" s="250">
        <v>112</v>
      </c>
      <c r="B12" s="250" t="s">
        <v>1086</v>
      </c>
      <c r="C12" s="250" t="s">
        <v>1087</v>
      </c>
      <c r="D12" s="250">
        <v>22215</v>
      </c>
      <c r="E12" s="250" t="s">
        <v>505</v>
      </c>
      <c r="F12" s="250">
        <v>1</v>
      </c>
      <c r="G12" s="250" t="s">
        <v>1088</v>
      </c>
      <c r="H12" s="253">
        <f t="shared" si="0"/>
        <v>9</v>
      </c>
      <c r="I12" s="253" t="str">
        <f>IF('School Level Expenditures'!$B$2=A12,'School Tables'!H12,"")</f>
        <v/>
      </c>
      <c r="J12" s="253" t="str">
        <f t="shared" si="1"/>
        <v/>
      </c>
      <c r="K12" s="254" t="b">
        <f t="shared" si="2"/>
        <v>0</v>
      </c>
      <c r="L12" s="250">
        <v>101</v>
      </c>
      <c r="M12" s="250" t="s">
        <v>1089</v>
      </c>
      <c r="N12" s="250" t="s">
        <v>1090</v>
      </c>
      <c r="O12" s="250">
        <v>20115</v>
      </c>
      <c r="P12" s="250" t="s">
        <v>1016</v>
      </c>
      <c r="Q12" s="250">
        <v>6</v>
      </c>
      <c r="R12" s="250" t="s">
        <v>1091</v>
      </c>
      <c r="S12" s="253">
        <f t="shared" si="3"/>
        <v>9</v>
      </c>
      <c r="T12" s="253" t="str">
        <f>IF('School Level Expenditures'!$B$2='School Tables'!L12,'School Tables'!S12,"")</f>
        <v/>
      </c>
      <c r="U12" s="253" t="str">
        <f t="shared" si="4"/>
        <v/>
      </c>
      <c r="V12" s="254" t="b">
        <f t="shared" si="5"/>
        <v>0</v>
      </c>
      <c r="W12" s="250">
        <v>707</v>
      </c>
      <c r="X12" s="250" t="s">
        <v>1092</v>
      </c>
      <c r="Y12" s="250" t="s">
        <v>1092</v>
      </c>
      <c r="Z12" s="250">
        <v>28455</v>
      </c>
      <c r="AA12" s="250" t="s">
        <v>1017</v>
      </c>
      <c r="AB12" s="250">
        <v>405</v>
      </c>
      <c r="AC12" s="250" t="s">
        <v>1092</v>
      </c>
      <c r="AD12" s="253">
        <f t="shared" si="6"/>
        <v>9</v>
      </c>
      <c r="AE12" s="253" t="str">
        <f>IF('School Level Expenditures'!$B$2='School Tables'!W12,'School Tables'!AD12,"")</f>
        <v/>
      </c>
      <c r="AF12" s="253" t="str">
        <f t="shared" si="7"/>
        <v/>
      </c>
      <c r="AG12" s="254" t="b">
        <f t="shared" si="8"/>
        <v>0</v>
      </c>
      <c r="AH12" s="135">
        <v>33</v>
      </c>
      <c r="AI12" s="135">
        <v>33</v>
      </c>
      <c r="AJ12" s="135" t="s">
        <v>1048</v>
      </c>
      <c r="AK12" s="135">
        <v>74</v>
      </c>
      <c r="AL12" s="135" t="s">
        <v>1050</v>
      </c>
    </row>
    <row r="13" spans="1:38" ht="11.25" customHeight="1">
      <c r="A13" s="250">
        <v>9</v>
      </c>
      <c r="B13" s="250" t="s">
        <v>1034</v>
      </c>
      <c r="C13" s="250" t="s">
        <v>1093</v>
      </c>
      <c r="D13" s="250">
        <v>22575</v>
      </c>
      <c r="E13" s="250" t="s">
        <v>505</v>
      </c>
      <c r="F13" s="250">
        <v>53</v>
      </c>
      <c r="G13" s="250" t="s">
        <v>1035</v>
      </c>
      <c r="H13" s="253">
        <f t="shared" si="0"/>
        <v>10</v>
      </c>
      <c r="I13" s="253" t="str">
        <f>IF('School Level Expenditures'!$B$2=A13,'School Tables'!H13,"")</f>
        <v/>
      </c>
      <c r="J13" s="253" t="str">
        <f t="shared" si="1"/>
        <v/>
      </c>
      <c r="K13" s="254" t="b">
        <f t="shared" si="2"/>
        <v>0</v>
      </c>
      <c r="L13" s="250">
        <v>172</v>
      </c>
      <c r="M13" s="250" t="s">
        <v>1094</v>
      </c>
      <c r="N13" s="250" t="s">
        <v>1095</v>
      </c>
      <c r="O13" s="250">
        <v>20590</v>
      </c>
      <c r="P13" s="250" t="s">
        <v>1016</v>
      </c>
      <c r="Q13" s="250">
        <v>16</v>
      </c>
      <c r="R13" s="250" t="s">
        <v>1096</v>
      </c>
      <c r="S13" s="253">
        <f t="shared" si="3"/>
        <v>10</v>
      </c>
      <c r="T13" s="253" t="str">
        <f>IF('School Level Expenditures'!$B$2='School Tables'!L13,'School Tables'!S13,"")</f>
        <v/>
      </c>
      <c r="U13" s="253" t="str">
        <f t="shared" si="4"/>
        <v/>
      </c>
      <c r="V13" s="254" t="b">
        <f t="shared" si="5"/>
        <v>0</v>
      </c>
      <c r="W13" s="250">
        <v>998</v>
      </c>
      <c r="X13" s="250" t="s">
        <v>1097</v>
      </c>
      <c r="Y13" s="250" t="s">
        <v>1097</v>
      </c>
      <c r="Z13" s="250">
        <v>22025</v>
      </c>
      <c r="AA13" s="250" t="s">
        <v>1017</v>
      </c>
      <c r="AB13" s="250">
        <v>201</v>
      </c>
      <c r="AC13" s="250" t="s">
        <v>1097</v>
      </c>
      <c r="AD13" s="253">
        <f t="shared" si="6"/>
        <v>10</v>
      </c>
      <c r="AE13" s="253" t="str">
        <f>IF('School Level Expenditures'!$B$2='School Tables'!W13,'School Tables'!AD13,"")</f>
        <v/>
      </c>
      <c r="AF13" s="253" t="str">
        <f t="shared" si="7"/>
        <v/>
      </c>
      <c r="AG13" s="254" t="b">
        <f t="shared" si="8"/>
        <v>0</v>
      </c>
      <c r="AH13" s="135">
        <v>35</v>
      </c>
      <c r="AI13" s="135">
        <v>35</v>
      </c>
      <c r="AJ13" s="135" t="s">
        <v>1098</v>
      </c>
      <c r="AK13" s="135">
        <v>9</v>
      </c>
      <c r="AL13" s="135" t="s">
        <v>1024</v>
      </c>
    </row>
    <row r="14" spans="1:38" ht="11.25" customHeight="1">
      <c r="A14" s="250">
        <v>23</v>
      </c>
      <c r="B14" s="250" t="s">
        <v>1066</v>
      </c>
      <c r="C14" s="250" t="s">
        <v>1099</v>
      </c>
      <c r="D14" s="250">
        <v>20010</v>
      </c>
      <c r="E14" s="250" t="s">
        <v>505</v>
      </c>
      <c r="F14" s="250">
        <v>2</v>
      </c>
      <c r="G14" s="250" t="s">
        <v>1067</v>
      </c>
      <c r="H14" s="253">
        <f t="shared" si="0"/>
        <v>11</v>
      </c>
      <c r="I14" s="253" t="str">
        <f>IF('School Level Expenditures'!$B$2=A14,'School Tables'!H14,"")</f>
        <v/>
      </c>
      <c r="J14" s="253" t="str">
        <f t="shared" si="1"/>
        <v/>
      </c>
      <c r="K14" s="254" t="b">
        <f t="shared" si="2"/>
        <v>0</v>
      </c>
      <c r="L14" s="250">
        <v>317</v>
      </c>
      <c r="M14" s="250" t="s">
        <v>1100</v>
      </c>
      <c r="N14" s="250" t="s">
        <v>1101</v>
      </c>
      <c r="O14" s="250">
        <v>21440</v>
      </c>
      <c r="P14" s="250" t="s">
        <v>1016</v>
      </c>
      <c r="Q14" s="250">
        <v>84</v>
      </c>
      <c r="R14" s="250" t="s">
        <v>1102</v>
      </c>
      <c r="S14" s="253">
        <f t="shared" si="3"/>
        <v>11</v>
      </c>
      <c r="T14" s="253" t="str">
        <f>IF('School Level Expenditures'!$B$2='School Tables'!L14,'School Tables'!S14,"")</f>
        <v/>
      </c>
      <c r="U14" s="253" t="str">
        <f t="shared" si="4"/>
        <v/>
      </c>
      <c r="V14" s="254" t="b">
        <f t="shared" si="5"/>
        <v>0</v>
      </c>
      <c r="W14" s="250">
        <v>105</v>
      </c>
      <c r="X14" s="250" t="s">
        <v>1103</v>
      </c>
      <c r="Y14" s="250" t="s">
        <v>1104</v>
      </c>
      <c r="Z14" s="250">
        <v>20185</v>
      </c>
      <c r="AA14" s="250" t="s">
        <v>1017</v>
      </c>
      <c r="AB14" s="250">
        <v>7</v>
      </c>
      <c r="AC14" s="250" t="s">
        <v>1105</v>
      </c>
      <c r="AD14" s="253">
        <f t="shared" si="6"/>
        <v>11</v>
      </c>
      <c r="AE14" s="253" t="str">
        <f>IF('School Level Expenditures'!$B$2='School Tables'!W14,'School Tables'!AD14,"")</f>
        <v/>
      </c>
      <c r="AF14" s="253" t="str">
        <f t="shared" si="7"/>
        <v/>
      </c>
      <c r="AG14" s="254" t="b">
        <f t="shared" si="8"/>
        <v>0</v>
      </c>
      <c r="AH14" s="135">
        <v>39</v>
      </c>
      <c r="AI14" s="135">
        <v>39</v>
      </c>
      <c r="AJ14" s="135" t="s">
        <v>1106</v>
      </c>
      <c r="AK14" s="135">
        <v>23</v>
      </c>
      <c r="AL14" s="135" t="s">
        <v>1107</v>
      </c>
    </row>
    <row r="15" spans="1:38" ht="11.25" customHeight="1">
      <c r="A15" s="250">
        <v>534</v>
      </c>
      <c r="B15" s="250" t="s">
        <v>1108</v>
      </c>
      <c r="C15" s="250" t="s">
        <v>1109</v>
      </c>
      <c r="D15" s="250">
        <v>22740</v>
      </c>
      <c r="E15" s="250" t="s">
        <v>505</v>
      </c>
      <c r="F15" s="250">
        <v>106</v>
      </c>
      <c r="G15" s="250" t="s">
        <v>1110</v>
      </c>
      <c r="H15" s="253">
        <f t="shared" si="0"/>
        <v>12</v>
      </c>
      <c r="I15" s="253" t="str">
        <f>IF('School Level Expenditures'!$B$2=A15,'School Tables'!H15,"")</f>
        <v/>
      </c>
      <c r="J15" s="253" t="str">
        <f t="shared" si="1"/>
        <v/>
      </c>
      <c r="K15" s="254" t="b">
        <f t="shared" si="2"/>
        <v>0</v>
      </c>
      <c r="L15" s="250">
        <v>261</v>
      </c>
      <c r="M15" s="250" t="s">
        <v>1111</v>
      </c>
      <c r="N15" s="250" t="s">
        <v>1112</v>
      </c>
      <c r="O15" s="250">
        <v>28050</v>
      </c>
      <c r="P15" s="250" t="s">
        <v>1016</v>
      </c>
      <c r="Q15" s="250">
        <v>15</v>
      </c>
      <c r="R15" s="250" t="s">
        <v>1076</v>
      </c>
      <c r="S15" s="253">
        <f t="shared" si="3"/>
        <v>12</v>
      </c>
      <c r="T15" s="253" t="str">
        <f>IF('School Level Expenditures'!$B$2='School Tables'!L15,'School Tables'!S15,"")</f>
        <v/>
      </c>
      <c r="U15" s="253" t="str">
        <f t="shared" si="4"/>
        <v/>
      </c>
      <c r="V15" s="254" t="b">
        <f t="shared" si="5"/>
        <v>0</v>
      </c>
      <c r="W15" s="250">
        <v>743</v>
      </c>
      <c r="X15" s="250" t="s">
        <v>1113</v>
      </c>
      <c r="Y15" s="250" t="s">
        <v>1114</v>
      </c>
      <c r="Z15" s="250">
        <v>29224</v>
      </c>
      <c r="AA15" s="250" t="s">
        <v>1017</v>
      </c>
      <c r="AB15" s="250">
        <v>429</v>
      </c>
      <c r="AC15" s="250" t="s">
        <v>1113</v>
      </c>
      <c r="AD15" s="253">
        <f t="shared" si="6"/>
        <v>12</v>
      </c>
      <c r="AE15" s="253" t="str">
        <f>IF('School Level Expenditures'!$B$2='School Tables'!W15,'School Tables'!AD15,"")</f>
        <v/>
      </c>
      <c r="AF15" s="253" t="str">
        <f t="shared" si="7"/>
        <v/>
      </c>
      <c r="AG15" s="254" t="b">
        <f t="shared" si="8"/>
        <v>0</v>
      </c>
      <c r="AH15" s="135">
        <v>41</v>
      </c>
      <c r="AI15" s="135">
        <v>41</v>
      </c>
      <c r="AJ15" s="135" t="s">
        <v>1042</v>
      </c>
      <c r="AK15" s="135">
        <v>25</v>
      </c>
      <c r="AL15" s="135" t="s">
        <v>1044</v>
      </c>
    </row>
    <row r="16" spans="1:38" ht="11.25" customHeight="1">
      <c r="A16" s="250">
        <v>29</v>
      </c>
      <c r="B16" s="250" t="s">
        <v>1075</v>
      </c>
      <c r="C16" s="250" t="s">
        <v>1115</v>
      </c>
      <c r="D16" s="250">
        <v>20530</v>
      </c>
      <c r="E16" s="250" t="s">
        <v>505</v>
      </c>
      <c r="F16" s="250">
        <v>15</v>
      </c>
      <c r="G16" s="250" t="s">
        <v>1076</v>
      </c>
      <c r="H16" s="253">
        <f t="shared" si="0"/>
        <v>13</v>
      </c>
      <c r="I16" s="253" t="str">
        <f>IF('School Level Expenditures'!$B$2=A16,'School Tables'!H16,"")</f>
        <v/>
      </c>
      <c r="J16" s="253" t="str">
        <f t="shared" si="1"/>
        <v/>
      </c>
      <c r="K16" s="254" t="b">
        <f t="shared" si="2"/>
        <v>0</v>
      </c>
      <c r="L16" s="250">
        <v>141</v>
      </c>
      <c r="M16" s="250" t="s">
        <v>1116</v>
      </c>
      <c r="N16" s="250" t="s">
        <v>1117</v>
      </c>
      <c r="O16" s="250">
        <v>20435</v>
      </c>
      <c r="P16" s="250" t="s">
        <v>1016</v>
      </c>
      <c r="Q16" s="250">
        <v>11</v>
      </c>
      <c r="R16" s="250" t="s">
        <v>1118</v>
      </c>
      <c r="S16" s="253">
        <f t="shared" si="3"/>
        <v>13</v>
      </c>
      <c r="T16" s="253" t="str">
        <f>IF('School Level Expenditures'!$B$2='School Tables'!L16,'School Tables'!S16,"")</f>
        <v/>
      </c>
      <c r="U16" s="253" t="str">
        <f t="shared" si="4"/>
        <v/>
      </c>
      <c r="V16" s="254" t="b">
        <f t="shared" si="5"/>
        <v>0</v>
      </c>
      <c r="W16" s="250">
        <v>274</v>
      </c>
      <c r="X16" s="250" t="s">
        <v>1119</v>
      </c>
      <c r="Y16" s="250" t="s">
        <v>1120</v>
      </c>
      <c r="Z16" s="250">
        <v>22265</v>
      </c>
      <c r="AA16" s="250" t="s">
        <v>1017</v>
      </c>
      <c r="AB16" s="250">
        <v>47</v>
      </c>
      <c r="AC16" s="250" t="s">
        <v>1121</v>
      </c>
      <c r="AD16" s="253">
        <f t="shared" si="6"/>
        <v>13</v>
      </c>
      <c r="AE16" s="253" t="str">
        <f>IF('School Level Expenditures'!$B$2='School Tables'!W16,'School Tables'!AD16,"")</f>
        <v/>
      </c>
      <c r="AF16" s="253" t="str">
        <f t="shared" si="7"/>
        <v/>
      </c>
      <c r="AG16" s="254" t="b">
        <f t="shared" si="8"/>
        <v>0</v>
      </c>
      <c r="AH16" s="135">
        <v>47</v>
      </c>
      <c r="AI16" s="135">
        <v>47</v>
      </c>
      <c r="AJ16" s="135" t="s">
        <v>1122</v>
      </c>
      <c r="AK16" s="135">
        <v>23</v>
      </c>
      <c r="AL16" s="135" t="s">
        <v>1107</v>
      </c>
    </row>
    <row r="17" spans="1:38" ht="11.25" customHeight="1">
      <c r="A17" s="250">
        <v>335</v>
      </c>
      <c r="B17" s="250" t="s">
        <v>1123</v>
      </c>
      <c r="C17" s="250" t="s">
        <v>1124</v>
      </c>
      <c r="D17" s="250">
        <v>21545</v>
      </c>
      <c r="E17" s="250" t="s">
        <v>505</v>
      </c>
      <c r="F17" s="250">
        <v>37</v>
      </c>
      <c r="G17" s="250" t="s">
        <v>1125</v>
      </c>
      <c r="H17" s="253">
        <f t="shared" si="0"/>
        <v>14</v>
      </c>
      <c r="I17" s="253" t="str">
        <f>IF('School Level Expenditures'!$B$2=A17,'School Tables'!H17,"")</f>
        <v/>
      </c>
      <c r="J17" s="253" t="str">
        <f t="shared" si="1"/>
        <v/>
      </c>
      <c r="K17" s="254" t="b">
        <f t="shared" si="2"/>
        <v>0</v>
      </c>
      <c r="L17" s="250">
        <v>371</v>
      </c>
      <c r="M17" s="250" t="s">
        <v>1068</v>
      </c>
      <c r="N17" s="250" t="s">
        <v>1126</v>
      </c>
      <c r="O17" s="250">
        <v>21890</v>
      </c>
      <c r="P17" s="250" t="s">
        <v>1016</v>
      </c>
      <c r="Q17" s="250">
        <v>42</v>
      </c>
      <c r="R17" s="250" t="s">
        <v>1070</v>
      </c>
      <c r="S17" s="253">
        <f t="shared" si="3"/>
        <v>14</v>
      </c>
      <c r="T17" s="253" t="str">
        <f>IF('School Level Expenditures'!$B$2='School Tables'!L17,'School Tables'!S17,"")</f>
        <v/>
      </c>
      <c r="U17" s="253" t="str">
        <f t="shared" si="4"/>
        <v/>
      </c>
      <c r="V17" s="254" t="b">
        <f t="shared" si="5"/>
        <v>0</v>
      </c>
      <c r="W17" s="250">
        <v>111</v>
      </c>
      <c r="X17" s="250" t="s">
        <v>1019</v>
      </c>
      <c r="Y17" s="250" t="s">
        <v>1127</v>
      </c>
      <c r="Z17" s="250">
        <v>20285</v>
      </c>
      <c r="AA17" s="250" t="s">
        <v>1017</v>
      </c>
      <c r="AB17" s="250">
        <v>8</v>
      </c>
      <c r="AC17" s="250" t="s">
        <v>1021</v>
      </c>
      <c r="AD17" s="253">
        <f t="shared" si="6"/>
        <v>14</v>
      </c>
      <c r="AE17" s="253" t="str">
        <f>IF('School Level Expenditures'!$B$2='School Tables'!W17,'School Tables'!AD17,"")</f>
        <v/>
      </c>
      <c r="AF17" s="253" t="str">
        <f t="shared" si="7"/>
        <v/>
      </c>
      <c r="AG17" s="254" t="b">
        <f t="shared" si="8"/>
        <v>0</v>
      </c>
      <c r="AH17" s="135">
        <v>51</v>
      </c>
      <c r="AI17" s="135">
        <v>51</v>
      </c>
      <c r="AJ17" s="135" t="s">
        <v>1056</v>
      </c>
      <c r="AK17" s="135">
        <v>3</v>
      </c>
      <c r="AL17" s="135" t="s">
        <v>1058</v>
      </c>
    </row>
    <row r="18" spans="1:38" ht="11.25" customHeight="1">
      <c r="A18" s="250">
        <v>31</v>
      </c>
      <c r="B18" s="250" t="s">
        <v>1084</v>
      </c>
      <c r="C18" s="250" t="s">
        <v>1128</v>
      </c>
      <c r="D18" s="250">
        <v>22485</v>
      </c>
      <c r="E18" s="250" t="s">
        <v>505</v>
      </c>
      <c r="F18" s="250">
        <v>86</v>
      </c>
      <c r="G18" s="250" t="s">
        <v>1085</v>
      </c>
      <c r="H18" s="253">
        <f t="shared" si="0"/>
        <v>15</v>
      </c>
      <c r="I18" s="253" t="str">
        <f>IF('School Level Expenditures'!$B$2=A18,'School Tables'!H18,"")</f>
        <v/>
      </c>
      <c r="J18" s="253" t="str">
        <f t="shared" si="1"/>
        <v/>
      </c>
      <c r="K18" s="254" t="b">
        <f t="shared" si="2"/>
        <v>0</v>
      </c>
      <c r="L18" s="250">
        <v>371</v>
      </c>
      <c r="M18" s="250" t="s">
        <v>1068</v>
      </c>
      <c r="N18" s="250" t="s">
        <v>1129</v>
      </c>
      <c r="O18" s="250">
        <v>21875</v>
      </c>
      <c r="P18" s="250" t="s">
        <v>1016</v>
      </c>
      <c r="Q18" s="250">
        <v>42</v>
      </c>
      <c r="R18" s="250" t="s">
        <v>1070</v>
      </c>
      <c r="S18" s="253">
        <f t="shared" si="3"/>
        <v>15</v>
      </c>
      <c r="T18" s="253" t="str">
        <f>IF('School Level Expenditures'!$B$2='School Tables'!L18,'School Tables'!S18,"")</f>
        <v/>
      </c>
      <c r="U18" s="253" t="str">
        <f t="shared" si="4"/>
        <v/>
      </c>
      <c r="V18" s="254" t="b">
        <f t="shared" si="5"/>
        <v>0</v>
      </c>
      <c r="W18" s="250">
        <v>112</v>
      </c>
      <c r="X18" s="250" t="s">
        <v>1086</v>
      </c>
      <c r="Y18" s="250" t="s">
        <v>1130</v>
      </c>
      <c r="Z18" s="250">
        <v>22290</v>
      </c>
      <c r="AA18" s="250" t="s">
        <v>1017</v>
      </c>
      <c r="AB18" s="250">
        <v>1</v>
      </c>
      <c r="AC18" s="250" t="s">
        <v>1088</v>
      </c>
      <c r="AD18" s="253">
        <f t="shared" si="6"/>
        <v>15</v>
      </c>
      <c r="AE18" s="253" t="str">
        <f>IF('School Level Expenditures'!$B$2='School Tables'!W18,'School Tables'!AD18,"")</f>
        <v/>
      </c>
      <c r="AF18" s="253" t="str">
        <f t="shared" si="7"/>
        <v/>
      </c>
      <c r="AG18" s="254" t="b">
        <f t="shared" si="8"/>
        <v>0</v>
      </c>
      <c r="AH18" s="135">
        <v>53</v>
      </c>
      <c r="AI18" s="135">
        <v>53</v>
      </c>
      <c r="AJ18" s="135" t="s">
        <v>1131</v>
      </c>
      <c r="AK18" s="135">
        <v>35</v>
      </c>
      <c r="AL18" s="135" t="s">
        <v>1132</v>
      </c>
    </row>
    <row r="19" spans="1:38" ht="11.25" customHeight="1">
      <c r="A19" s="250">
        <v>33</v>
      </c>
      <c r="B19" s="250" t="s">
        <v>1048</v>
      </c>
      <c r="C19" s="250" t="s">
        <v>1133</v>
      </c>
      <c r="D19" s="250">
        <v>22045</v>
      </c>
      <c r="E19" s="250" t="s">
        <v>505</v>
      </c>
      <c r="F19" s="250">
        <v>74</v>
      </c>
      <c r="G19" s="250" t="s">
        <v>1050</v>
      </c>
      <c r="H19" s="253">
        <f t="shared" si="0"/>
        <v>16</v>
      </c>
      <c r="I19" s="253" t="str">
        <f>IF('School Level Expenditures'!$B$2=A19,'School Tables'!H19,"")</f>
        <v/>
      </c>
      <c r="J19" s="253" t="str">
        <f t="shared" si="1"/>
        <v/>
      </c>
      <c r="K19" s="254" t="b">
        <f t="shared" si="2"/>
        <v>0</v>
      </c>
      <c r="L19" s="250">
        <v>131</v>
      </c>
      <c r="M19" s="250" t="s">
        <v>1134</v>
      </c>
      <c r="N19" s="250" t="s">
        <v>1135</v>
      </c>
      <c r="O19" s="250">
        <v>20420</v>
      </c>
      <c r="P19" s="250" t="s">
        <v>1016</v>
      </c>
      <c r="Q19" s="250">
        <v>10</v>
      </c>
      <c r="R19" s="250" t="s">
        <v>1136</v>
      </c>
      <c r="S19" s="253">
        <f t="shared" si="3"/>
        <v>16</v>
      </c>
      <c r="T19" s="253" t="str">
        <f>IF('School Level Expenditures'!$B$2='School Tables'!L19,'School Tables'!S19,"")</f>
        <v/>
      </c>
      <c r="U19" s="253" t="str">
        <f t="shared" si="4"/>
        <v/>
      </c>
      <c r="V19" s="254" t="b">
        <f t="shared" si="5"/>
        <v>0</v>
      </c>
      <c r="W19" s="250">
        <v>723</v>
      </c>
      <c r="X19" s="250" t="s">
        <v>1137</v>
      </c>
      <c r="Y19" s="250" t="s">
        <v>1137</v>
      </c>
      <c r="Z19" s="250">
        <v>28575</v>
      </c>
      <c r="AA19" s="250" t="s">
        <v>1017</v>
      </c>
      <c r="AB19" s="250">
        <v>410</v>
      </c>
      <c r="AC19" s="250" t="s">
        <v>1137</v>
      </c>
      <c r="AD19" s="253">
        <f t="shared" si="6"/>
        <v>16</v>
      </c>
      <c r="AE19" s="253" t="str">
        <f>IF('School Level Expenditures'!$B$2='School Tables'!W19,'School Tables'!AD19,"")</f>
        <v/>
      </c>
      <c r="AF19" s="253" t="str">
        <f t="shared" si="7"/>
        <v/>
      </c>
      <c r="AG19" s="254" t="b">
        <f t="shared" si="8"/>
        <v>0</v>
      </c>
      <c r="AH19" s="135">
        <v>57</v>
      </c>
      <c r="AI19" s="135">
        <v>57</v>
      </c>
      <c r="AJ19" s="135" t="s">
        <v>1063</v>
      </c>
      <c r="AK19" s="135">
        <v>67</v>
      </c>
      <c r="AL19" s="135" t="s">
        <v>1065</v>
      </c>
    </row>
    <row r="20" spans="1:38" ht="11.25" customHeight="1">
      <c r="A20" s="250">
        <v>199</v>
      </c>
      <c r="B20" s="250" t="s">
        <v>1138</v>
      </c>
      <c r="C20" s="250" t="s">
        <v>1139</v>
      </c>
      <c r="D20" s="250">
        <v>20695</v>
      </c>
      <c r="E20" s="250" t="s">
        <v>505</v>
      </c>
      <c r="F20" s="250">
        <v>19</v>
      </c>
      <c r="G20" s="250" t="s">
        <v>1140</v>
      </c>
      <c r="H20" s="253">
        <f t="shared" si="0"/>
        <v>17</v>
      </c>
      <c r="I20" s="253" t="str">
        <f>IF('School Level Expenditures'!$B$2=A20,'School Tables'!H20,"")</f>
        <v/>
      </c>
      <c r="J20" s="253" t="str">
        <f t="shared" si="1"/>
        <v/>
      </c>
      <c r="K20" s="254" t="b">
        <f t="shared" si="2"/>
        <v>0</v>
      </c>
      <c r="L20" s="250">
        <v>191</v>
      </c>
      <c r="M20" s="250" t="s">
        <v>1141</v>
      </c>
      <c r="N20" s="250" t="s">
        <v>1142</v>
      </c>
      <c r="O20" s="250">
        <v>26995</v>
      </c>
      <c r="P20" s="250" t="s">
        <v>1016</v>
      </c>
      <c r="Q20" s="250">
        <v>73</v>
      </c>
      <c r="R20" s="250" t="s">
        <v>1143</v>
      </c>
      <c r="S20" s="253">
        <f t="shared" si="3"/>
        <v>17</v>
      </c>
      <c r="T20" s="253" t="str">
        <f>IF('School Level Expenditures'!$B$2='School Tables'!L20,'School Tables'!S20,"")</f>
        <v/>
      </c>
      <c r="U20" s="253" t="str">
        <f t="shared" si="4"/>
        <v/>
      </c>
      <c r="V20" s="254" t="b">
        <f t="shared" si="5"/>
        <v>0</v>
      </c>
      <c r="W20" s="250">
        <v>141</v>
      </c>
      <c r="X20" s="250" t="s">
        <v>1116</v>
      </c>
      <c r="Y20" s="250" t="s">
        <v>1144</v>
      </c>
      <c r="Z20" s="250">
        <v>20455</v>
      </c>
      <c r="AA20" s="250" t="s">
        <v>1017</v>
      </c>
      <c r="AB20" s="250">
        <v>11</v>
      </c>
      <c r="AC20" s="250" t="s">
        <v>1118</v>
      </c>
      <c r="AD20" s="253">
        <f t="shared" si="6"/>
        <v>17</v>
      </c>
      <c r="AE20" s="253" t="str">
        <f>IF('School Level Expenditures'!$B$2='School Tables'!W20,'School Tables'!AD20,"")</f>
        <v/>
      </c>
      <c r="AF20" s="253" t="str">
        <f t="shared" si="7"/>
        <v/>
      </c>
      <c r="AG20" s="254" t="b">
        <f t="shared" si="8"/>
        <v>0</v>
      </c>
      <c r="AH20" s="135">
        <v>63</v>
      </c>
      <c r="AI20" s="135">
        <v>63</v>
      </c>
      <c r="AJ20" s="135" t="s">
        <v>1145</v>
      </c>
      <c r="AK20" s="135">
        <v>16</v>
      </c>
      <c r="AL20" s="135" t="s">
        <v>1096</v>
      </c>
    </row>
    <row r="21" spans="1:38" ht="11.25" customHeight="1">
      <c r="A21" s="250">
        <v>39</v>
      </c>
      <c r="B21" s="250" t="s">
        <v>1106</v>
      </c>
      <c r="C21" s="250" t="s">
        <v>1146</v>
      </c>
      <c r="D21" s="250">
        <v>20860</v>
      </c>
      <c r="E21" s="250" t="s">
        <v>505</v>
      </c>
      <c r="F21" s="250">
        <v>23</v>
      </c>
      <c r="G21" s="250" t="s">
        <v>1107</v>
      </c>
      <c r="H21" s="253">
        <f t="shared" si="0"/>
        <v>18</v>
      </c>
      <c r="I21" s="253" t="str">
        <f>IF('School Level Expenditures'!$B$2=A21,'School Tables'!H21,"")</f>
        <v/>
      </c>
      <c r="J21" s="253" t="str">
        <f t="shared" si="1"/>
        <v/>
      </c>
      <c r="K21" s="254" t="b">
        <f t="shared" si="2"/>
        <v>0</v>
      </c>
      <c r="L21" s="250">
        <v>203</v>
      </c>
      <c r="M21" s="250" t="s">
        <v>1147</v>
      </c>
      <c r="N21" s="250" t="s">
        <v>1148</v>
      </c>
      <c r="O21" s="250">
        <v>27005</v>
      </c>
      <c r="P21" s="250" t="s">
        <v>1016</v>
      </c>
      <c r="Q21" s="250">
        <v>20</v>
      </c>
      <c r="R21" s="250" t="s">
        <v>1149</v>
      </c>
      <c r="S21" s="253">
        <f t="shared" si="3"/>
        <v>18</v>
      </c>
      <c r="T21" s="253" t="str">
        <f>IF('School Level Expenditures'!$B$2='School Tables'!L21,'School Tables'!S21,"")</f>
        <v/>
      </c>
      <c r="U21" s="253" t="str">
        <f t="shared" si="4"/>
        <v/>
      </c>
      <c r="V21" s="254" t="b">
        <f t="shared" si="5"/>
        <v>0</v>
      </c>
      <c r="W21" s="250">
        <v>172</v>
      </c>
      <c r="X21" s="250" t="s">
        <v>1094</v>
      </c>
      <c r="Y21" s="250" t="s">
        <v>1150</v>
      </c>
      <c r="Z21" s="250">
        <v>20600</v>
      </c>
      <c r="AA21" s="250" t="s">
        <v>1017</v>
      </c>
      <c r="AB21" s="250">
        <v>16</v>
      </c>
      <c r="AC21" s="250" t="s">
        <v>1096</v>
      </c>
      <c r="AD21" s="253">
        <f t="shared" si="6"/>
        <v>18</v>
      </c>
      <c r="AE21" s="253" t="str">
        <f>IF('School Level Expenditures'!$B$2='School Tables'!W21,'School Tables'!AD21,"")</f>
        <v/>
      </c>
      <c r="AF21" s="253" t="str">
        <f t="shared" si="7"/>
        <v/>
      </c>
      <c r="AG21" s="254" t="b">
        <f t="shared" si="8"/>
        <v>0</v>
      </c>
      <c r="AH21" s="135">
        <v>71</v>
      </c>
      <c r="AI21" s="135">
        <v>71</v>
      </c>
      <c r="AJ21" s="135" t="s">
        <v>1151</v>
      </c>
      <c r="AK21" s="135">
        <v>41</v>
      </c>
      <c r="AL21" s="135" t="s">
        <v>1152</v>
      </c>
    </row>
    <row r="22" spans="1:38" ht="11.25" customHeight="1">
      <c r="A22" s="250">
        <v>111</v>
      </c>
      <c r="B22" s="250" t="s">
        <v>1019</v>
      </c>
      <c r="C22" s="250" t="s">
        <v>1153</v>
      </c>
      <c r="D22" s="250">
        <v>26490</v>
      </c>
      <c r="E22" s="250" t="s">
        <v>505</v>
      </c>
      <c r="F22" s="250">
        <v>8</v>
      </c>
      <c r="G22" s="250" t="s">
        <v>1021</v>
      </c>
      <c r="H22" s="253">
        <f t="shared" si="0"/>
        <v>19</v>
      </c>
      <c r="I22" s="253" t="str">
        <f>IF('School Level Expenditures'!$B$2=A22,'School Tables'!H22,"")</f>
        <v/>
      </c>
      <c r="J22" s="253" t="str">
        <f t="shared" si="1"/>
        <v/>
      </c>
      <c r="K22" s="254" t="b">
        <f t="shared" si="2"/>
        <v>0</v>
      </c>
      <c r="L22" s="250">
        <v>709</v>
      </c>
      <c r="M22" s="250" t="s">
        <v>1154</v>
      </c>
      <c r="N22" s="250" t="s">
        <v>1155</v>
      </c>
      <c r="O22" s="250">
        <v>28620</v>
      </c>
      <c r="P22" s="250" t="s">
        <v>1016</v>
      </c>
      <c r="Q22" s="250">
        <v>404</v>
      </c>
      <c r="R22" s="250" t="s">
        <v>1154</v>
      </c>
      <c r="S22" s="253">
        <f t="shared" si="3"/>
        <v>19</v>
      </c>
      <c r="T22" s="253" t="str">
        <f>IF('School Level Expenditures'!$B$2='School Tables'!L22,'School Tables'!S22,"")</f>
        <v/>
      </c>
      <c r="U22" s="253" t="str">
        <f t="shared" si="4"/>
        <v/>
      </c>
      <c r="V22" s="254" t="b">
        <f t="shared" si="5"/>
        <v>0</v>
      </c>
      <c r="W22" s="250">
        <v>174</v>
      </c>
      <c r="X22" s="250" t="s">
        <v>1027</v>
      </c>
      <c r="Y22" s="250" t="s">
        <v>1156</v>
      </c>
      <c r="Z22" s="250">
        <v>22990</v>
      </c>
      <c r="AA22" s="250" t="s">
        <v>1017</v>
      </c>
      <c r="AB22" s="250">
        <v>60</v>
      </c>
      <c r="AC22" s="250" t="s">
        <v>1029</v>
      </c>
      <c r="AD22" s="253">
        <f t="shared" si="6"/>
        <v>19</v>
      </c>
      <c r="AE22" s="253" t="str">
        <f>IF('School Level Expenditures'!$B$2='School Tables'!W22,'School Tables'!AD22,"")</f>
        <v/>
      </c>
      <c r="AF22" s="253" t="str">
        <f t="shared" si="7"/>
        <v/>
      </c>
      <c r="AG22" s="254" t="b">
        <f t="shared" si="8"/>
        <v>0</v>
      </c>
      <c r="AH22" s="135">
        <v>75</v>
      </c>
      <c r="AI22" s="135">
        <v>75</v>
      </c>
      <c r="AJ22" s="135" t="s">
        <v>1157</v>
      </c>
      <c r="AK22" s="135">
        <v>48</v>
      </c>
      <c r="AL22" s="135" t="s">
        <v>1158</v>
      </c>
    </row>
    <row r="23" spans="1:38" ht="11.25" customHeight="1">
      <c r="A23" s="250">
        <v>335</v>
      </c>
      <c r="B23" s="250" t="s">
        <v>1123</v>
      </c>
      <c r="C23" s="250" t="s">
        <v>1159</v>
      </c>
      <c r="D23" s="250">
        <v>21600</v>
      </c>
      <c r="E23" s="250" t="s">
        <v>505</v>
      </c>
      <c r="F23" s="250">
        <v>37</v>
      </c>
      <c r="G23" s="250" t="s">
        <v>1125</v>
      </c>
      <c r="H23" s="253">
        <f t="shared" si="0"/>
        <v>20</v>
      </c>
      <c r="I23" s="253" t="str">
        <f>IF('School Level Expenditures'!$B$2=A23,'School Tables'!H23,"")</f>
        <v/>
      </c>
      <c r="J23" s="253" t="str">
        <f t="shared" si="1"/>
        <v/>
      </c>
      <c r="K23" s="254" t="b">
        <f t="shared" si="2"/>
        <v>0</v>
      </c>
      <c r="L23" s="250">
        <v>112</v>
      </c>
      <c r="M23" s="250" t="s">
        <v>1086</v>
      </c>
      <c r="N23" s="250" t="s">
        <v>1160</v>
      </c>
      <c r="O23" s="250">
        <v>22210</v>
      </c>
      <c r="P23" s="250" t="s">
        <v>1016</v>
      </c>
      <c r="Q23" s="250">
        <v>1</v>
      </c>
      <c r="R23" s="250" t="s">
        <v>1088</v>
      </c>
      <c r="S23" s="253">
        <f t="shared" si="3"/>
        <v>20</v>
      </c>
      <c r="T23" s="253" t="str">
        <f>IF('School Level Expenditures'!$B$2='School Tables'!L23,'School Tables'!S23,"")</f>
        <v/>
      </c>
      <c r="U23" s="253" t="str">
        <f t="shared" si="4"/>
        <v/>
      </c>
      <c r="V23" s="254" t="b">
        <f t="shared" si="5"/>
        <v>0</v>
      </c>
      <c r="W23" s="250">
        <v>175</v>
      </c>
      <c r="X23" s="250" t="s">
        <v>1161</v>
      </c>
      <c r="Y23" s="250" t="s">
        <v>1162</v>
      </c>
      <c r="Z23" s="250">
        <v>22050</v>
      </c>
      <c r="AA23" s="250" t="s">
        <v>1017</v>
      </c>
      <c r="AB23" s="250">
        <v>61</v>
      </c>
      <c r="AC23" s="250" t="s">
        <v>1163</v>
      </c>
      <c r="AD23" s="253">
        <f t="shared" si="6"/>
        <v>20</v>
      </c>
      <c r="AE23" s="253" t="str">
        <f>IF('School Level Expenditures'!$B$2='School Tables'!W23,'School Tables'!AD23,"")</f>
        <v/>
      </c>
      <c r="AF23" s="253" t="str">
        <f t="shared" si="7"/>
        <v/>
      </c>
      <c r="AG23" s="254" t="b">
        <f t="shared" si="8"/>
        <v>0</v>
      </c>
      <c r="AH23" s="135">
        <v>79</v>
      </c>
      <c r="AI23" s="135">
        <v>79</v>
      </c>
      <c r="AJ23" s="135" t="s">
        <v>1164</v>
      </c>
      <c r="AK23" s="135">
        <v>15</v>
      </c>
      <c r="AL23" s="135" t="s">
        <v>1076</v>
      </c>
    </row>
    <row r="24" spans="1:38" ht="11.25" customHeight="1">
      <c r="A24" s="250">
        <v>486</v>
      </c>
      <c r="B24" s="250" t="s">
        <v>1051</v>
      </c>
      <c r="C24" s="250" t="s">
        <v>1165</v>
      </c>
      <c r="D24" s="250">
        <v>22135</v>
      </c>
      <c r="E24" s="250" t="s">
        <v>505</v>
      </c>
      <c r="F24" s="250">
        <v>80</v>
      </c>
      <c r="G24" s="250" t="s">
        <v>1053</v>
      </c>
      <c r="H24" s="253">
        <f t="shared" si="0"/>
        <v>21</v>
      </c>
      <c r="I24" s="253" t="str">
        <f>IF('School Level Expenditures'!$B$2=A24,'School Tables'!H24,"")</f>
        <v/>
      </c>
      <c r="J24" s="253" t="str">
        <f t="shared" si="1"/>
        <v/>
      </c>
      <c r="K24" s="254" t="b">
        <f t="shared" si="2"/>
        <v>0</v>
      </c>
      <c r="L24" s="250">
        <v>223</v>
      </c>
      <c r="M24" s="250" t="s">
        <v>1166</v>
      </c>
      <c r="N24" s="250" t="s">
        <v>1167</v>
      </c>
      <c r="O24" s="250">
        <v>22750</v>
      </c>
      <c r="P24" s="250" t="s">
        <v>1016</v>
      </c>
      <c r="Q24" s="250">
        <v>55</v>
      </c>
      <c r="R24" s="250" t="s">
        <v>1168</v>
      </c>
      <c r="S24" s="253">
        <f t="shared" si="3"/>
        <v>21</v>
      </c>
      <c r="T24" s="253" t="str">
        <f>IF('School Level Expenditures'!$B$2='School Tables'!L24,'School Tables'!S24,"")</f>
        <v/>
      </c>
      <c r="U24" s="253" t="str">
        <f t="shared" si="4"/>
        <v/>
      </c>
      <c r="V24" s="254" t="b">
        <f t="shared" si="5"/>
        <v>0</v>
      </c>
      <c r="W24" s="250">
        <v>185</v>
      </c>
      <c r="X24" s="250" t="s">
        <v>1169</v>
      </c>
      <c r="Y24" s="250" t="s">
        <v>1170</v>
      </c>
      <c r="Z24" s="250">
        <v>20660</v>
      </c>
      <c r="AA24" s="250" t="s">
        <v>1017</v>
      </c>
      <c r="AB24" s="250">
        <v>18</v>
      </c>
      <c r="AC24" s="250" t="s">
        <v>1171</v>
      </c>
      <c r="AD24" s="253">
        <f t="shared" si="6"/>
        <v>21</v>
      </c>
      <c r="AE24" s="253" t="str">
        <f>IF('School Level Expenditures'!$B$2='School Tables'!W24,'School Tables'!AD24,"")</f>
        <v/>
      </c>
      <c r="AF24" s="253" t="str">
        <f t="shared" si="7"/>
        <v/>
      </c>
      <c r="AG24" s="254" t="b">
        <f t="shared" si="8"/>
        <v>0</v>
      </c>
      <c r="AH24" s="135">
        <v>91</v>
      </c>
      <c r="AI24" s="135">
        <v>91</v>
      </c>
      <c r="AJ24" s="135" t="s">
        <v>1172</v>
      </c>
      <c r="AK24" s="135">
        <v>9</v>
      </c>
      <c r="AL24" s="135" t="s">
        <v>1024</v>
      </c>
    </row>
    <row r="25" spans="1:38" ht="11.25" customHeight="1">
      <c r="A25" s="250">
        <v>51</v>
      </c>
      <c r="B25" s="250" t="s">
        <v>1056</v>
      </c>
      <c r="C25" s="250" t="s">
        <v>1173</v>
      </c>
      <c r="D25" s="250">
        <v>27035</v>
      </c>
      <c r="E25" s="250" t="s">
        <v>505</v>
      </c>
      <c r="F25" s="250">
        <v>3</v>
      </c>
      <c r="G25" s="250" t="s">
        <v>1058</v>
      </c>
      <c r="H25" s="253">
        <f t="shared" si="0"/>
        <v>22</v>
      </c>
      <c r="I25" s="253" t="str">
        <f>IF('School Level Expenditures'!$B$2=A25,'School Tables'!H25,"")</f>
        <v/>
      </c>
      <c r="J25" s="253" t="str">
        <f t="shared" si="1"/>
        <v/>
      </c>
      <c r="K25" s="254" t="b">
        <f t="shared" si="2"/>
        <v>0</v>
      </c>
      <c r="L25" s="250">
        <v>238</v>
      </c>
      <c r="M25" s="250" t="s">
        <v>1174</v>
      </c>
      <c r="N25" s="250" t="s">
        <v>1175</v>
      </c>
      <c r="O25" s="250">
        <v>26875</v>
      </c>
      <c r="P25" s="250" t="s">
        <v>1016</v>
      </c>
      <c r="Q25" s="250">
        <v>23</v>
      </c>
      <c r="R25" s="250" t="s">
        <v>1107</v>
      </c>
      <c r="S25" s="253">
        <f t="shared" si="3"/>
        <v>22</v>
      </c>
      <c r="T25" s="253" t="str">
        <f>IF('School Level Expenditures'!$B$2='School Tables'!L25,'School Tables'!S25,"")</f>
        <v/>
      </c>
      <c r="U25" s="253" t="str">
        <f t="shared" si="4"/>
        <v/>
      </c>
      <c r="V25" s="254" t="b">
        <f t="shared" si="5"/>
        <v>0</v>
      </c>
      <c r="W25" s="250">
        <v>750</v>
      </c>
      <c r="X25" s="250" t="s">
        <v>1176</v>
      </c>
      <c r="Y25" s="250" t="s">
        <v>1177</v>
      </c>
      <c r="Z25" s="250">
        <v>29239</v>
      </c>
      <c r="AA25" s="250" t="s">
        <v>1017</v>
      </c>
      <c r="AB25" s="250">
        <v>450</v>
      </c>
      <c r="AC25" s="250" t="s">
        <v>1178</v>
      </c>
      <c r="AD25" s="253">
        <f t="shared" si="6"/>
        <v>22</v>
      </c>
      <c r="AE25" s="253" t="str">
        <f>IF('School Level Expenditures'!$B$2='School Tables'!W25,'School Tables'!AD25,"")</f>
        <v/>
      </c>
      <c r="AF25" s="253" t="str">
        <f t="shared" si="7"/>
        <v/>
      </c>
      <c r="AG25" s="254" t="b">
        <f t="shared" si="8"/>
        <v>0</v>
      </c>
      <c r="AH25" s="135">
        <v>93</v>
      </c>
      <c r="AI25" s="135">
        <v>93</v>
      </c>
      <c r="AJ25" s="135" t="s">
        <v>1179</v>
      </c>
      <c r="AK25" s="135">
        <v>82</v>
      </c>
      <c r="AL25" s="135" t="s">
        <v>1180</v>
      </c>
    </row>
    <row r="26" spans="1:38" ht="11.25" customHeight="1">
      <c r="A26" s="250">
        <v>233</v>
      </c>
      <c r="B26" s="250" t="s">
        <v>1181</v>
      </c>
      <c r="C26" s="250" t="s">
        <v>1182</v>
      </c>
      <c r="D26" s="250">
        <v>20830</v>
      </c>
      <c r="E26" s="250" t="s">
        <v>505</v>
      </c>
      <c r="F26" s="250">
        <v>70</v>
      </c>
      <c r="G26" s="250" t="s">
        <v>1183</v>
      </c>
      <c r="H26" s="253">
        <f t="shared" si="0"/>
        <v>23</v>
      </c>
      <c r="I26" s="253" t="str">
        <f>IF('School Level Expenditures'!$B$2=A26,'School Tables'!H26,"")</f>
        <v/>
      </c>
      <c r="J26" s="253" t="str">
        <f t="shared" si="1"/>
        <v/>
      </c>
      <c r="K26" s="254" t="b">
        <f t="shared" si="2"/>
        <v>0</v>
      </c>
      <c r="L26" s="250">
        <v>335</v>
      </c>
      <c r="M26" s="250" t="s">
        <v>1123</v>
      </c>
      <c r="N26" s="250" t="s">
        <v>1184</v>
      </c>
      <c r="O26" s="250">
        <v>27595</v>
      </c>
      <c r="P26" s="250" t="s">
        <v>1016</v>
      </c>
      <c r="Q26" s="250">
        <v>37</v>
      </c>
      <c r="R26" s="250" t="s">
        <v>1125</v>
      </c>
      <c r="S26" s="253">
        <f t="shared" si="3"/>
        <v>23</v>
      </c>
      <c r="T26" s="253" t="str">
        <f>IF('School Level Expenditures'!$B$2='School Tables'!L26,'School Tables'!S26,"")</f>
        <v/>
      </c>
      <c r="U26" s="253" t="str">
        <f t="shared" si="4"/>
        <v/>
      </c>
      <c r="V26" s="254" t="b">
        <f t="shared" si="5"/>
        <v>0</v>
      </c>
      <c r="W26" s="250">
        <v>191</v>
      </c>
      <c r="X26" s="250" t="s">
        <v>1141</v>
      </c>
      <c r="Y26" s="250" t="s">
        <v>1185</v>
      </c>
      <c r="Z26" s="250">
        <v>21240</v>
      </c>
      <c r="AA26" s="250" t="s">
        <v>1017</v>
      </c>
      <c r="AB26" s="250">
        <v>73</v>
      </c>
      <c r="AC26" s="250" t="s">
        <v>1143</v>
      </c>
      <c r="AD26" s="253">
        <f t="shared" si="6"/>
        <v>23</v>
      </c>
      <c r="AE26" s="253" t="str">
        <f>IF('School Level Expenditures'!$B$2='School Tables'!W26,'School Tables'!AD26,"")</f>
        <v/>
      </c>
      <c r="AF26" s="253" t="str">
        <f t="shared" si="7"/>
        <v/>
      </c>
      <c r="AG26" s="254" t="b">
        <f t="shared" si="8"/>
        <v>0</v>
      </c>
      <c r="AH26" s="135">
        <v>95</v>
      </c>
      <c r="AI26" s="135">
        <v>95</v>
      </c>
      <c r="AJ26" s="135" t="s">
        <v>1186</v>
      </c>
      <c r="AK26" s="135">
        <v>29</v>
      </c>
      <c r="AL26" s="135" t="s">
        <v>1187</v>
      </c>
    </row>
    <row r="27" spans="1:38" ht="11.25" customHeight="1">
      <c r="A27" s="250">
        <v>53</v>
      </c>
      <c r="B27" s="250" t="s">
        <v>1131</v>
      </c>
      <c r="C27" s="250" t="s">
        <v>1188</v>
      </c>
      <c r="D27" s="250">
        <v>21400</v>
      </c>
      <c r="E27" s="250" t="s">
        <v>505</v>
      </c>
      <c r="F27" s="250">
        <v>35</v>
      </c>
      <c r="G27" s="250" t="s">
        <v>1132</v>
      </c>
      <c r="H27" s="253">
        <f t="shared" si="0"/>
        <v>24</v>
      </c>
      <c r="I27" s="253" t="str">
        <f>IF('School Level Expenditures'!$B$2=A27,'School Tables'!H27,"")</f>
        <v/>
      </c>
      <c r="J27" s="253" t="str">
        <f t="shared" si="1"/>
        <v/>
      </c>
      <c r="K27" s="254" t="b">
        <f t="shared" si="2"/>
        <v>0</v>
      </c>
      <c r="L27" s="250">
        <v>251</v>
      </c>
      <c r="M27" s="250" t="s">
        <v>1189</v>
      </c>
      <c r="N27" s="250" t="s">
        <v>1190</v>
      </c>
      <c r="O27" s="250">
        <v>20960</v>
      </c>
      <c r="P27" s="250" t="s">
        <v>1016</v>
      </c>
      <c r="Q27" s="250">
        <v>34</v>
      </c>
      <c r="R27" s="250" t="s">
        <v>1191</v>
      </c>
      <c r="S27" s="253">
        <f t="shared" si="3"/>
        <v>24</v>
      </c>
      <c r="T27" s="253" t="str">
        <f>IF('School Level Expenditures'!$B$2='School Tables'!L27,'School Tables'!S27,"")</f>
        <v/>
      </c>
      <c r="U27" s="253" t="str">
        <f t="shared" si="4"/>
        <v/>
      </c>
      <c r="V27" s="254" t="b">
        <f t="shared" si="5"/>
        <v>0</v>
      </c>
      <c r="W27" s="250">
        <v>199</v>
      </c>
      <c r="X27" s="250" t="s">
        <v>1138</v>
      </c>
      <c r="Y27" s="250" t="s">
        <v>1192</v>
      </c>
      <c r="Z27" s="250">
        <v>20700</v>
      </c>
      <c r="AA27" s="250" t="s">
        <v>1017</v>
      </c>
      <c r="AB27" s="250">
        <v>19</v>
      </c>
      <c r="AC27" s="250" t="s">
        <v>1140</v>
      </c>
      <c r="AD27" s="253">
        <f t="shared" si="6"/>
        <v>24</v>
      </c>
      <c r="AE27" s="253" t="str">
        <f>IF('School Level Expenditures'!$B$2='School Tables'!W27,'School Tables'!AD27,"")</f>
        <v/>
      </c>
      <c r="AF27" s="253" t="str">
        <f t="shared" si="7"/>
        <v/>
      </c>
      <c r="AG27" s="254" t="b">
        <f t="shared" si="8"/>
        <v>0</v>
      </c>
      <c r="AH27" s="135">
        <v>99</v>
      </c>
      <c r="AI27" s="135">
        <v>99</v>
      </c>
      <c r="AJ27" s="135" t="s">
        <v>1193</v>
      </c>
      <c r="AK27" s="135">
        <v>53</v>
      </c>
      <c r="AL27" s="135" t="s">
        <v>1035</v>
      </c>
    </row>
    <row r="28" spans="1:38" ht="11.25" customHeight="1">
      <c r="A28" s="250">
        <v>371</v>
      </c>
      <c r="B28" s="250" t="s">
        <v>1068</v>
      </c>
      <c r="C28" s="250" t="s">
        <v>1194</v>
      </c>
      <c r="D28" s="250">
        <v>21865</v>
      </c>
      <c r="E28" s="250" t="s">
        <v>505</v>
      </c>
      <c r="F28" s="250">
        <v>42</v>
      </c>
      <c r="G28" s="250" t="s">
        <v>1070</v>
      </c>
      <c r="H28" s="253">
        <f t="shared" si="0"/>
        <v>25</v>
      </c>
      <c r="I28" s="253" t="str">
        <f>IF('School Level Expenditures'!$B$2=A28,'School Tables'!H28,"")</f>
        <v/>
      </c>
      <c r="J28" s="253" t="str">
        <f t="shared" si="1"/>
        <v/>
      </c>
      <c r="K28" s="254" t="b">
        <f t="shared" si="2"/>
        <v>0</v>
      </c>
      <c r="L28" s="250">
        <v>335</v>
      </c>
      <c r="M28" s="250" t="s">
        <v>1123</v>
      </c>
      <c r="N28" s="250" t="s">
        <v>1195</v>
      </c>
      <c r="O28" s="250">
        <v>21520</v>
      </c>
      <c r="P28" s="250" t="s">
        <v>1016</v>
      </c>
      <c r="Q28" s="250">
        <v>37</v>
      </c>
      <c r="R28" s="250" t="s">
        <v>1125</v>
      </c>
      <c r="S28" s="253">
        <f t="shared" si="3"/>
        <v>25</v>
      </c>
      <c r="T28" s="253" t="str">
        <f>IF('School Level Expenditures'!$B$2='School Tables'!L28,'School Tables'!S28,"")</f>
        <v/>
      </c>
      <c r="U28" s="253" t="str">
        <f t="shared" si="4"/>
        <v/>
      </c>
      <c r="V28" s="254" t="b">
        <f t="shared" si="5"/>
        <v>0</v>
      </c>
      <c r="W28" s="250">
        <v>203</v>
      </c>
      <c r="X28" s="250" t="s">
        <v>1147</v>
      </c>
      <c r="Y28" s="250" t="s">
        <v>1196</v>
      </c>
      <c r="Z28" s="250">
        <v>20750</v>
      </c>
      <c r="AA28" s="250" t="s">
        <v>1017</v>
      </c>
      <c r="AB28" s="250">
        <v>20</v>
      </c>
      <c r="AC28" s="250" t="s">
        <v>1149</v>
      </c>
      <c r="AD28" s="253">
        <f t="shared" si="6"/>
        <v>25</v>
      </c>
      <c r="AE28" s="253" t="str">
        <f>IF('School Level Expenditures'!$B$2='School Tables'!W28,'School Tables'!AD28,"")</f>
        <v/>
      </c>
      <c r="AF28" s="253" t="str">
        <f t="shared" si="7"/>
        <v/>
      </c>
      <c r="AG28" s="254" t="b">
        <f t="shared" si="8"/>
        <v>0</v>
      </c>
      <c r="AH28" s="135">
        <v>101</v>
      </c>
      <c r="AI28" s="135">
        <v>101</v>
      </c>
      <c r="AJ28" s="135" t="s">
        <v>1089</v>
      </c>
      <c r="AK28" s="135">
        <v>6</v>
      </c>
      <c r="AL28" s="135" t="s">
        <v>1091</v>
      </c>
    </row>
    <row r="29" spans="1:38" ht="11.25" customHeight="1">
      <c r="A29" s="250">
        <v>371</v>
      </c>
      <c r="B29" s="250" t="s">
        <v>1068</v>
      </c>
      <c r="C29" s="250" t="s">
        <v>1197</v>
      </c>
      <c r="D29" s="250">
        <v>21895</v>
      </c>
      <c r="E29" s="250" t="s">
        <v>505</v>
      </c>
      <c r="F29" s="250">
        <v>42</v>
      </c>
      <c r="G29" s="250" t="s">
        <v>1070</v>
      </c>
      <c r="H29" s="253">
        <f t="shared" si="0"/>
        <v>26</v>
      </c>
      <c r="I29" s="253" t="str">
        <f>IF('School Level Expenditures'!$B$2=A29,'School Tables'!H29,"")</f>
        <v/>
      </c>
      <c r="J29" s="253" t="str">
        <f t="shared" si="1"/>
        <v/>
      </c>
      <c r="K29" s="254" t="b">
        <f t="shared" si="2"/>
        <v>0</v>
      </c>
      <c r="L29" s="250">
        <v>255</v>
      </c>
      <c r="M29" s="250" t="s">
        <v>1198</v>
      </c>
      <c r="N29" s="250" t="s">
        <v>1199</v>
      </c>
      <c r="O29" s="250">
        <v>26985</v>
      </c>
      <c r="P29" s="250" t="s">
        <v>1016</v>
      </c>
      <c r="Q29" s="250">
        <v>92</v>
      </c>
      <c r="R29" s="250" t="s">
        <v>1200</v>
      </c>
      <c r="S29" s="253">
        <f t="shared" si="3"/>
        <v>26</v>
      </c>
      <c r="T29" s="253" t="str">
        <f>IF('School Level Expenditures'!$B$2='School Tables'!L29,'School Tables'!S29,"")</f>
        <v/>
      </c>
      <c r="U29" s="253" t="str">
        <f t="shared" si="4"/>
        <v/>
      </c>
      <c r="V29" s="254" t="b">
        <f t="shared" si="5"/>
        <v>0</v>
      </c>
      <c r="W29" s="250">
        <v>702</v>
      </c>
      <c r="X29" s="250" t="s">
        <v>1201</v>
      </c>
      <c r="Y29" s="250" t="s">
        <v>1201</v>
      </c>
      <c r="Z29" s="250">
        <v>29153</v>
      </c>
      <c r="AA29" s="250" t="s">
        <v>1017</v>
      </c>
      <c r="AB29" s="250">
        <v>426</v>
      </c>
      <c r="AC29" s="250" t="s">
        <v>1201</v>
      </c>
      <c r="AD29" s="253">
        <f t="shared" si="6"/>
        <v>26</v>
      </c>
      <c r="AE29" s="253" t="str">
        <f>IF('School Level Expenditures'!$B$2='School Tables'!W29,'School Tables'!AD29,"")</f>
        <v/>
      </c>
      <c r="AF29" s="253" t="str">
        <f t="shared" si="7"/>
        <v/>
      </c>
      <c r="AG29" s="254" t="b">
        <f t="shared" si="8"/>
        <v>0</v>
      </c>
      <c r="AH29" s="135">
        <v>103</v>
      </c>
      <c r="AI29" s="135">
        <v>103</v>
      </c>
      <c r="AJ29" s="135" t="s">
        <v>1202</v>
      </c>
      <c r="AK29" s="135">
        <v>7</v>
      </c>
      <c r="AL29" s="135" t="s">
        <v>1105</v>
      </c>
    </row>
    <row r="30" spans="1:38" ht="11.25" customHeight="1">
      <c r="A30" s="250">
        <v>101</v>
      </c>
      <c r="B30" s="250" t="s">
        <v>1089</v>
      </c>
      <c r="C30" s="250" t="s">
        <v>1203</v>
      </c>
      <c r="D30" s="250">
        <v>20145</v>
      </c>
      <c r="E30" s="250" t="s">
        <v>505</v>
      </c>
      <c r="F30" s="250">
        <v>6</v>
      </c>
      <c r="G30" s="250" t="s">
        <v>1091</v>
      </c>
      <c r="H30" s="253">
        <f t="shared" si="0"/>
        <v>27</v>
      </c>
      <c r="I30" s="253" t="str">
        <f>IF('School Level Expenditures'!$B$2=A30,'School Tables'!H30,"")</f>
        <v/>
      </c>
      <c r="J30" s="253" t="str">
        <f t="shared" si="1"/>
        <v/>
      </c>
      <c r="K30" s="254" t="b">
        <f t="shared" si="2"/>
        <v>0</v>
      </c>
      <c r="L30" s="250">
        <v>260</v>
      </c>
      <c r="M30" s="250" t="s">
        <v>1204</v>
      </c>
      <c r="N30" s="250" t="s">
        <v>1205</v>
      </c>
      <c r="O30" s="250">
        <v>21805</v>
      </c>
      <c r="P30" s="250" t="s">
        <v>1016</v>
      </c>
      <c r="Q30" s="250">
        <v>41</v>
      </c>
      <c r="R30" s="250" t="s">
        <v>1152</v>
      </c>
      <c r="S30" s="253">
        <f t="shared" si="3"/>
        <v>27</v>
      </c>
      <c r="T30" s="253" t="str">
        <f>IF('School Level Expenditures'!$B$2='School Tables'!L30,'School Tables'!S30,"")</f>
        <v/>
      </c>
      <c r="U30" s="253" t="str">
        <f t="shared" si="4"/>
        <v/>
      </c>
      <c r="V30" s="254" t="b">
        <f t="shared" si="5"/>
        <v>0</v>
      </c>
      <c r="W30" s="250">
        <v>709</v>
      </c>
      <c r="X30" s="250" t="s">
        <v>1154</v>
      </c>
      <c r="Y30" s="250" t="s">
        <v>1206</v>
      </c>
      <c r="Z30" s="250">
        <v>28445</v>
      </c>
      <c r="AA30" s="250" t="s">
        <v>1017</v>
      </c>
      <c r="AB30" s="250">
        <v>404</v>
      </c>
      <c r="AC30" s="250" t="s">
        <v>1154</v>
      </c>
      <c r="AD30" s="253">
        <f t="shared" si="6"/>
        <v>27</v>
      </c>
      <c r="AE30" s="253" t="str">
        <f>IF('School Level Expenditures'!$B$2='School Tables'!W30,'School Tables'!AD30,"")</f>
        <v/>
      </c>
      <c r="AF30" s="253" t="str">
        <f t="shared" si="7"/>
        <v/>
      </c>
      <c r="AG30" s="254" t="b">
        <f t="shared" si="8"/>
        <v>0</v>
      </c>
      <c r="AH30" s="253">
        <v>707</v>
      </c>
      <c r="AI30" s="253">
        <v>707</v>
      </c>
      <c r="AJ30" s="253" t="s">
        <v>1092</v>
      </c>
      <c r="AK30" s="253">
        <v>405</v>
      </c>
      <c r="AL30" s="253" t="s">
        <v>1092</v>
      </c>
    </row>
    <row r="31" spans="1:38" ht="11.25" customHeight="1">
      <c r="A31" s="250">
        <v>352</v>
      </c>
      <c r="B31" s="250" t="s">
        <v>1207</v>
      </c>
      <c r="C31" s="250" t="s">
        <v>1208</v>
      </c>
      <c r="D31" s="250">
        <v>22155</v>
      </c>
      <c r="E31" s="250" t="s">
        <v>505</v>
      </c>
      <c r="F31" s="250">
        <v>46</v>
      </c>
      <c r="G31" s="250" t="s">
        <v>1060</v>
      </c>
      <c r="H31" s="253">
        <f t="shared" si="0"/>
        <v>28</v>
      </c>
      <c r="I31" s="253" t="str">
        <f>IF('School Level Expenditures'!$B$2=A31,'School Tables'!H31,"")</f>
        <v/>
      </c>
      <c r="J31" s="253" t="str">
        <f t="shared" si="1"/>
        <v/>
      </c>
      <c r="K31" s="254" t="b">
        <f t="shared" si="2"/>
        <v>0</v>
      </c>
      <c r="L31" s="250">
        <v>263</v>
      </c>
      <c r="M31" s="250" t="s">
        <v>1209</v>
      </c>
      <c r="N31" s="250" t="s">
        <v>1210</v>
      </c>
      <c r="O31" s="250">
        <v>27000</v>
      </c>
      <c r="P31" s="250" t="s">
        <v>1016</v>
      </c>
      <c r="Q31" s="250">
        <v>66</v>
      </c>
      <c r="R31" s="250" t="s">
        <v>1211</v>
      </c>
      <c r="S31" s="253">
        <f t="shared" si="3"/>
        <v>28</v>
      </c>
      <c r="T31" s="253" t="str">
        <f>IF('School Level Expenditures'!$B$2='School Tables'!L31,'School Tables'!S31,"")</f>
        <v/>
      </c>
      <c r="U31" s="253" t="str">
        <f t="shared" si="4"/>
        <v/>
      </c>
      <c r="V31" s="254" t="b">
        <f t="shared" si="5"/>
        <v>0</v>
      </c>
      <c r="W31" s="250">
        <v>407</v>
      </c>
      <c r="X31" s="250" t="s">
        <v>1212</v>
      </c>
      <c r="Y31" s="250" t="s">
        <v>1213</v>
      </c>
      <c r="Z31" s="250">
        <v>22900</v>
      </c>
      <c r="AA31" s="250" t="s">
        <v>1017</v>
      </c>
      <c r="AB31" s="250">
        <v>58</v>
      </c>
      <c r="AC31" s="250" t="s">
        <v>1214</v>
      </c>
      <c r="AD31" s="253">
        <f t="shared" si="6"/>
        <v>28</v>
      </c>
      <c r="AE31" s="253" t="str">
        <f>IF('School Level Expenditures'!$B$2='School Tables'!W31,'School Tables'!AD31,"")</f>
        <v/>
      </c>
      <c r="AF31" s="253" t="str">
        <f t="shared" si="7"/>
        <v/>
      </c>
      <c r="AG31" s="254" t="b">
        <f t="shared" ref="AG31:AG99" si="9">Y32=Y33</f>
        <v>0</v>
      </c>
      <c r="AH31" s="135">
        <v>105</v>
      </c>
      <c r="AI31" s="135">
        <v>105</v>
      </c>
      <c r="AJ31" s="135" t="s">
        <v>1103</v>
      </c>
      <c r="AK31" s="135">
        <v>7</v>
      </c>
      <c r="AL31" s="135" t="s">
        <v>1105</v>
      </c>
    </row>
    <row r="32" spans="1:38" ht="11.25" customHeight="1">
      <c r="A32" s="250">
        <v>57</v>
      </c>
      <c r="B32" s="250" t="s">
        <v>1063</v>
      </c>
      <c r="C32" s="250" t="s">
        <v>1215</v>
      </c>
      <c r="D32" s="250">
        <v>20680</v>
      </c>
      <c r="E32" s="250" t="s">
        <v>505</v>
      </c>
      <c r="F32" s="250">
        <v>67</v>
      </c>
      <c r="G32" s="250" t="s">
        <v>1065</v>
      </c>
      <c r="H32" s="253">
        <f t="shared" si="0"/>
        <v>29</v>
      </c>
      <c r="I32" s="253" t="str">
        <f>IF('School Level Expenditures'!$B$2=A32,'School Tables'!H32,"")</f>
        <v/>
      </c>
      <c r="J32" s="253" t="str">
        <f t="shared" si="1"/>
        <v/>
      </c>
      <c r="K32" s="254" t="b">
        <f t="shared" si="2"/>
        <v>0</v>
      </c>
      <c r="L32" s="250">
        <v>267</v>
      </c>
      <c r="M32" s="250" t="s">
        <v>1031</v>
      </c>
      <c r="N32" s="250" t="s">
        <v>1216</v>
      </c>
      <c r="O32" s="250">
        <v>21060</v>
      </c>
      <c r="P32" s="250" t="s">
        <v>1016</v>
      </c>
      <c r="Q32" s="250">
        <v>81</v>
      </c>
      <c r="R32" s="250" t="s">
        <v>1033</v>
      </c>
      <c r="S32" s="253">
        <f t="shared" si="3"/>
        <v>29</v>
      </c>
      <c r="T32" s="253" t="str">
        <f>IF('School Level Expenditures'!$B$2='School Tables'!L32,'School Tables'!S32,"")</f>
        <v/>
      </c>
      <c r="U32" s="253" t="str">
        <f t="shared" si="4"/>
        <v/>
      </c>
      <c r="V32" s="254" t="b">
        <f t="shared" si="5"/>
        <v>0</v>
      </c>
      <c r="W32" s="250">
        <v>142</v>
      </c>
      <c r="X32" s="250" t="s">
        <v>1217</v>
      </c>
      <c r="Y32" s="250" t="s">
        <v>1218</v>
      </c>
      <c r="Z32" s="250">
        <v>20820</v>
      </c>
      <c r="AA32" s="250" t="s">
        <v>1017</v>
      </c>
      <c r="AB32" s="250">
        <v>70</v>
      </c>
      <c r="AC32" s="250" t="s">
        <v>1183</v>
      </c>
      <c r="AD32" s="253">
        <f t="shared" si="6"/>
        <v>29</v>
      </c>
      <c r="AE32" s="253" t="str">
        <f>IF('School Level Expenditures'!$B$2='School Tables'!W32,'School Tables'!AD32,"")</f>
        <v/>
      </c>
      <c r="AF32" s="253" t="str">
        <f t="shared" si="7"/>
        <v/>
      </c>
      <c r="AG32" s="254" t="b">
        <f t="shared" si="9"/>
        <v>0</v>
      </c>
      <c r="AH32" s="135">
        <v>107</v>
      </c>
      <c r="AI32" s="135">
        <v>107</v>
      </c>
      <c r="AJ32" s="135" t="s">
        <v>1219</v>
      </c>
      <c r="AK32" s="135">
        <v>7</v>
      </c>
      <c r="AL32" s="135" t="s">
        <v>1105</v>
      </c>
    </row>
    <row r="33" spans="1:38" ht="11.25" customHeight="1">
      <c r="A33" s="250">
        <v>388</v>
      </c>
      <c r="B33" s="250" t="s">
        <v>1220</v>
      </c>
      <c r="C33" s="250" t="s">
        <v>1221</v>
      </c>
      <c r="D33" s="250">
        <v>27685</v>
      </c>
      <c r="E33" s="250" t="s">
        <v>505</v>
      </c>
      <c r="F33" s="250">
        <v>4</v>
      </c>
      <c r="G33" s="250" t="s">
        <v>1222</v>
      </c>
      <c r="H33" s="253">
        <f t="shared" si="0"/>
        <v>30</v>
      </c>
      <c r="I33" s="253" t="str">
        <f>IF('School Level Expenditures'!$B$2=A33,'School Tables'!H33,"")</f>
        <v/>
      </c>
      <c r="J33" s="253" t="str">
        <f t="shared" si="1"/>
        <v/>
      </c>
      <c r="K33" s="254" t="b">
        <f t="shared" si="2"/>
        <v>0</v>
      </c>
      <c r="L33" s="250">
        <v>453</v>
      </c>
      <c r="M33" s="250" t="s">
        <v>1223</v>
      </c>
      <c r="N33" s="250" t="s">
        <v>1224</v>
      </c>
      <c r="O33" s="250">
        <v>26525</v>
      </c>
      <c r="P33" s="250" t="s">
        <v>1016</v>
      </c>
      <c r="Q33" s="250">
        <v>33</v>
      </c>
      <c r="R33" s="250" t="s">
        <v>1225</v>
      </c>
      <c r="S33" s="253">
        <f t="shared" si="3"/>
        <v>30</v>
      </c>
      <c r="T33" s="253" t="str">
        <f>IF('School Level Expenditures'!$B$2='School Tables'!L33,'School Tables'!S33,"")</f>
        <v/>
      </c>
      <c r="U33" s="253" t="str">
        <f t="shared" si="4"/>
        <v/>
      </c>
      <c r="V33" s="254" t="b">
        <f t="shared" si="5"/>
        <v>0</v>
      </c>
      <c r="W33" s="250">
        <v>251</v>
      </c>
      <c r="X33" s="250" t="s">
        <v>1189</v>
      </c>
      <c r="Y33" s="250" t="s">
        <v>1226</v>
      </c>
      <c r="Z33" s="250">
        <v>20950</v>
      </c>
      <c r="AA33" s="250" t="s">
        <v>1017</v>
      </c>
      <c r="AB33" s="250">
        <v>34</v>
      </c>
      <c r="AC33" s="250" t="s">
        <v>1191</v>
      </c>
      <c r="AD33" s="253">
        <f t="shared" si="6"/>
        <v>30</v>
      </c>
      <c r="AE33" s="253" t="str">
        <f>IF('School Level Expenditures'!$B$2='School Tables'!W33,'School Tables'!AD33,"")</f>
        <v/>
      </c>
      <c r="AF33" s="253" t="str">
        <f t="shared" si="7"/>
        <v/>
      </c>
      <c r="AG33" s="254" t="b">
        <f t="shared" si="9"/>
        <v>0</v>
      </c>
      <c r="AH33" s="253">
        <v>743</v>
      </c>
      <c r="AI33" s="253">
        <v>743</v>
      </c>
      <c r="AJ33" s="253" t="s">
        <v>1113</v>
      </c>
      <c r="AK33" s="253">
        <v>429</v>
      </c>
      <c r="AL33" s="253" t="s">
        <v>1113</v>
      </c>
    </row>
    <row r="34" spans="1:38" ht="11.25" customHeight="1">
      <c r="A34" s="250">
        <v>388</v>
      </c>
      <c r="B34" s="250" t="s">
        <v>1220</v>
      </c>
      <c r="C34" s="250" t="s">
        <v>1227</v>
      </c>
      <c r="D34" s="250">
        <v>20090</v>
      </c>
      <c r="E34" s="250" t="s">
        <v>505</v>
      </c>
      <c r="F34" s="250">
        <v>4</v>
      </c>
      <c r="G34" s="250" t="s">
        <v>1222</v>
      </c>
      <c r="H34" s="253">
        <f t="shared" si="0"/>
        <v>31</v>
      </c>
      <c r="I34" s="253" t="str">
        <f>IF('School Level Expenditures'!$B$2=A34,'School Tables'!H34,"")</f>
        <v/>
      </c>
      <c r="J34" s="253" t="str">
        <f t="shared" si="1"/>
        <v/>
      </c>
      <c r="K34" s="254" t="b">
        <f t="shared" si="2"/>
        <v>0</v>
      </c>
      <c r="L34" s="250">
        <v>274</v>
      </c>
      <c r="M34" s="250" t="s">
        <v>1119</v>
      </c>
      <c r="N34" s="250" t="s">
        <v>1228</v>
      </c>
      <c r="O34" s="250">
        <v>22280</v>
      </c>
      <c r="P34" s="250" t="s">
        <v>1016</v>
      </c>
      <c r="Q34" s="250">
        <v>47</v>
      </c>
      <c r="R34" s="250" t="s">
        <v>1121</v>
      </c>
      <c r="S34" s="253">
        <f t="shared" si="3"/>
        <v>31</v>
      </c>
      <c r="T34" s="253" t="str">
        <f>IF('School Level Expenditures'!$B$2='School Tables'!L34,'School Tables'!S34,"")</f>
        <v/>
      </c>
      <c r="U34" s="253" t="str">
        <f t="shared" si="4"/>
        <v/>
      </c>
      <c r="V34" s="254" t="b">
        <f t="shared" si="5"/>
        <v>0</v>
      </c>
      <c r="W34" s="250">
        <v>255</v>
      </c>
      <c r="X34" s="250" t="s">
        <v>1198</v>
      </c>
      <c r="Y34" s="250" t="s">
        <v>1229</v>
      </c>
      <c r="Z34" s="250">
        <v>21675</v>
      </c>
      <c r="AA34" s="250" t="s">
        <v>1017</v>
      </c>
      <c r="AB34" s="250">
        <v>92</v>
      </c>
      <c r="AC34" s="250" t="s">
        <v>1200</v>
      </c>
      <c r="AD34" s="253">
        <f t="shared" si="6"/>
        <v>31</v>
      </c>
      <c r="AE34" s="253" t="str">
        <f>IF('School Level Expenditures'!$B$2='School Tables'!W34,'School Tables'!AD34,"")</f>
        <v/>
      </c>
      <c r="AF34" s="253" t="str">
        <f t="shared" si="7"/>
        <v/>
      </c>
      <c r="AG34" s="254" t="b">
        <f t="shared" si="9"/>
        <v>0</v>
      </c>
      <c r="AH34" s="135">
        <v>111</v>
      </c>
      <c r="AI34" s="135">
        <v>111</v>
      </c>
      <c r="AJ34" s="135" t="s">
        <v>1019</v>
      </c>
      <c r="AK34" s="135">
        <v>8</v>
      </c>
      <c r="AL34" s="135" t="s">
        <v>1021</v>
      </c>
    </row>
    <row r="35" spans="1:38" ht="11.25" customHeight="1">
      <c r="A35" s="250">
        <v>371</v>
      </c>
      <c r="B35" s="250" t="s">
        <v>1068</v>
      </c>
      <c r="C35" s="250" t="s">
        <v>1230</v>
      </c>
      <c r="D35" s="250">
        <v>21925</v>
      </c>
      <c r="E35" s="250" t="s">
        <v>505</v>
      </c>
      <c r="F35" s="250">
        <v>42</v>
      </c>
      <c r="G35" s="250" t="s">
        <v>1070</v>
      </c>
      <c r="H35" s="253">
        <f t="shared" si="0"/>
        <v>32</v>
      </c>
      <c r="I35" s="253" t="str">
        <f>IF('School Level Expenditures'!$B$2=A35,'School Tables'!H35,"")</f>
        <v/>
      </c>
      <c r="J35" s="253" t="str">
        <f t="shared" si="1"/>
        <v/>
      </c>
      <c r="K35" s="254" t="b">
        <f t="shared" si="2"/>
        <v>0</v>
      </c>
      <c r="L35" s="250">
        <v>276</v>
      </c>
      <c r="M35" s="250" t="s">
        <v>1231</v>
      </c>
      <c r="N35" s="250" t="s">
        <v>1232</v>
      </c>
      <c r="O35" s="250">
        <v>26535</v>
      </c>
      <c r="P35" s="250" t="s">
        <v>1016</v>
      </c>
      <c r="Q35" s="250">
        <v>65</v>
      </c>
      <c r="R35" s="250" t="s">
        <v>1233</v>
      </c>
      <c r="S35" s="253">
        <f t="shared" si="3"/>
        <v>32</v>
      </c>
      <c r="T35" s="253" t="str">
        <f>IF('School Level Expenditures'!$B$2='School Tables'!L35,'School Tables'!S35,"")</f>
        <v/>
      </c>
      <c r="U35" s="253" t="str">
        <f t="shared" si="4"/>
        <v/>
      </c>
      <c r="V35" s="254" t="b">
        <f t="shared" si="5"/>
        <v>0</v>
      </c>
      <c r="W35" s="250">
        <v>260</v>
      </c>
      <c r="X35" s="250" t="s">
        <v>1204</v>
      </c>
      <c r="Y35" s="250" t="s">
        <v>1234</v>
      </c>
      <c r="Z35" s="250">
        <v>21810</v>
      </c>
      <c r="AA35" s="250" t="s">
        <v>1017</v>
      </c>
      <c r="AB35" s="250">
        <v>41</v>
      </c>
      <c r="AC35" s="250" t="s">
        <v>1152</v>
      </c>
      <c r="AD35" s="253">
        <f t="shared" si="6"/>
        <v>32</v>
      </c>
      <c r="AE35" s="253" t="str">
        <f>IF('School Level Expenditures'!$B$2='School Tables'!W35,'School Tables'!AD35,"")</f>
        <v/>
      </c>
      <c r="AF35" s="253" t="str">
        <f t="shared" si="7"/>
        <v/>
      </c>
      <c r="AG35" s="254" t="b">
        <f t="shared" si="9"/>
        <v>0</v>
      </c>
      <c r="AH35" s="135">
        <v>112</v>
      </c>
      <c r="AI35" s="135">
        <v>0</v>
      </c>
      <c r="AJ35" s="135" t="s">
        <v>1086</v>
      </c>
      <c r="AK35" s="135">
        <v>1</v>
      </c>
      <c r="AL35" s="135" t="s">
        <v>1088</v>
      </c>
    </row>
    <row r="36" spans="1:38" ht="11.25" customHeight="1">
      <c r="A36" s="250">
        <v>111</v>
      </c>
      <c r="B36" s="250" t="s">
        <v>1019</v>
      </c>
      <c r="C36" s="250" t="s">
        <v>1235</v>
      </c>
      <c r="D36" s="250">
        <v>20260</v>
      </c>
      <c r="E36" s="250" t="s">
        <v>505</v>
      </c>
      <c r="F36" s="250">
        <v>8</v>
      </c>
      <c r="G36" s="250" t="s">
        <v>1021</v>
      </c>
      <c r="H36" s="253">
        <f t="shared" si="0"/>
        <v>33</v>
      </c>
      <c r="I36" s="253" t="str">
        <f>IF('School Level Expenditures'!$B$2=A36,'School Tables'!H36,"")</f>
        <v/>
      </c>
      <c r="J36" s="253" t="str">
        <f t="shared" si="1"/>
        <v/>
      </c>
      <c r="K36" s="254" t="b">
        <f t="shared" si="2"/>
        <v>0</v>
      </c>
      <c r="L36" s="250">
        <v>279</v>
      </c>
      <c r="M36" s="250" t="s">
        <v>1236</v>
      </c>
      <c r="N36" s="250" t="s">
        <v>1237</v>
      </c>
      <c r="O36" s="250">
        <v>21185</v>
      </c>
      <c r="P36" s="250" t="s">
        <v>1016</v>
      </c>
      <c r="Q36" s="250">
        <v>29</v>
      </c>
      <c r="R36" s="250" t="s">
        <v>1187</v>
      </c>
      <c r="S36" s="253">
        <f t="shared" si="3"/>
        <v>33</v>
      </c>
      <c r="T36" s="253" t="str">
        <f>IF('School Level Expenditures'!$B$2='School Tables'!L36,'School Tables'!S36,"")</f>
        <v/>
      </c>
      <c r="U36" s="253" t="str">
        <f t="shared" si="4"/>
        <v/>
      </c>
      <c r="V36" s="254" t="b">
        <f t="shared" si="5"/>
        <v>0</v>
      </c>
      <c r="W36" s="250">
        <v>263</v>
      </c>
      <c r="X36" s="250" t="s">
        <v>1209</v>
      </c>
      <c r="Y36" s="250" t="s">
        <v>1238</v>
      </c>
      <c r="Z36" s="250">
        <v>20970</v>
      </c>
      <c r="AA36" s="250" t="s">
        <v>1017</v>
      </c>
      <c r="AB36" s="250">
        <v>66</v>
      </c>
      <c r="AC36" s="250" t="s">
        <v>1211</v>
      </c>
      <c r="AD36" s="253">
        <f t="shared" si="6"/>
        <v>33</v>
      </c>
      <c r="AE36" s="253" t="str">
        <f>IF('School Level Expenditures'!$B$2='School Tables'!W36,'School Tables'!AD36,"")</f>
        <v/>
      </c>
      <c r="AF36" s="253" t="str">
        <f t="shared" si="7"/>
        <v/>
      </c>
      <c r="AG36" s="254" t="b">
        <f t="shared" si="9"/>
        <v>0</v>
      </c>
      <c r="AH36" s="135">
        <v>113</v>
      </c>
      <c r="AI36" s="135">
        <v>113</v>
      </c>
      <c r="AJ36" s="135" t="s">
        <v>1022</v>
      </c>
      <c r="AK36" s="135">
        <v>9</v>
      </c>
      <c r="AL36" s="135" t="s">
        <v>1024</v>
      </c>
    </row>
    <row r="37" spans="1:38" ht="11.25" customHeight="1">
      <c r="A37" s="250">
        <v>75</v>
      </c>
      <c r="B37" s="250" t="s">
        <v>1157</v>
      </c>
      <c r="C37" s="250" t="s">
        <v>1239</v>
      </c>
      <c r="D37" s="250">
        <v>22335</v>
      </c>
      <c r="E37" s="250" t="s">
        <v>505</v>
      </c>
      <c r="F37" s="250">
        <v>48</v>
      </c>
      <c r="G37" s="250" t="s">
        <v>1158</v>
      </c>
      <c r="H37" s="253">
        <f t="shared" si="0"/>
        <v>34</v>
      </c>
      <c r="I37" s="253" t="str">
        <f>IF('School Level Expenditures'!$B$2=A37,'School Tables'!H37,"")</f>
        <v/>
      </c>
      <c r="J37" s="253" t="str">
        <f t="shared" si="1"/>
        <v/>
      </c>
      <c r="K37" s="254" t="b">
        <f t="shared" si="2"/>
        <v>0</v>
      </c>
      <c r="L37" s="250">
        <v>208</v>
      </c>
      <c r="M37" s="250" t="s">
        <v>1240</v>
      </c>
      <c r="N37" s="250" t="s">
        <v>1241</v>
      </c>
      <c r="O37" s="250">
        <v>22440</v>
      </c>
      <c r="P37" s="250" t="s">
        <v>1016</v>
      </c>
      <c r="Q37" s="250">
        <v>49</v>
      </c>
      <c r="R37" s="250" t="s">
        <v>1242</v>
      </c>
      <c r="S37" s="253">
        <f t="shared" si="3"/>
        <v>34</v>
      </c>
      <c r="T37" s="253" t="str">
        <f>IF('School Level Expenditures'!$B$2='School Tables'!L37,'School Tables'!S37,"")</f>
        <v/>
      </c>
      <c r="U37" s="253" t="str">
        <f t="shared" si="4"/>
        <v/>
      </c>
      <c r="V37" s="254" t="b">
        <f t="shared" si="5"/>
        <v>0</v>
      </c>
      <c r="W37" s="250">
        <v>269</v>
      </c>
      <c r="X37" s="250" t="s">
        <v>1243</v>
      </c>
      <c r="Y37" s="250" t="s">
        <v>1244</v>
      </c>
      <c r="Z37" s="250">
        <v>20035</v>
      </c>
      <c r="AA37" s="250" t="s">
        <v>1017</v>
      </c>
      <c r="AB37" s="250">
        <v>2</v>
      </c>
      <c r="AC37" s="250" t="s">
        <v>1067</v>
      </c>
      <c r="AD37" s="253">
        <f t="shared" si="6"/>
        <v>34</v>
      </c>
      <c r="AE37" s="253" t="str">
        <f>IF('School Level Expenditures'!$B$2='School Tables'!W37,'School Tables'!AD37,"")</f>
        <v/>
      </c>
      <c r="AF37" s="253" t="str">
        <f t="shared" si="7"/>
        <v/>
      </c>
      <c r="AG37" s="254" t="b">
        <f t="shared" si="9"/>
        <v>0</v>
      </c>
      <c r="AH37" s="135">
        <v>114</v>
      </c>
      <c r="AI37" s="135">
        <v>0</v>
      </c>
      <c r="AJ37" s="135" t="s">
        <v>1245</v>
      </c>
      <c r="AK37" s="135">
        <v>98</v>
      </c>
      <c r="AL37" s="135" t="s">
        <v>1246</v>
      </c>
    </row>
    <row r="38" spans="1:38" ht="11.25" customHeight="1">
      <c r="A38" s="250">
        <v>343</v>
      </c>
      <c r="B38" s="250" t="s">
        <v>1247</v>
      </c>
      <c r="C38" s="250" t="s">
        <v>1248</v>
      </c>
      <c r="D38" s="250">
        <v>21315</v>
      </c>
      <c r="E38" s="250" t="s">
        <v>505</v>
      </c>
      <c r="F38" s="250">
        <v>62</v>
      </c>
      <c r="G38" s="250" t="s">
        <v>1249</v>
      </c>
      <c r="H38" s="253">
        <f t="shared" si="0"/>
        <v>35</v>
      </c>
      <c r="I38" s="253" t="str">
        <f>IF('School Level Expenditures'!$B$2=A38,'School Tables'!H38,"")</f>
        <v/>
      </c>
      <c r="J38" s="253" t="str">
        <f t="shared" si="1"/>
        <v/>
      </c>
      <c r="K38" s="254" t="b">
        <f t="shared" si="2"/>
        <v>0</v>
      </c>
      <c r="L38" s="250">
        <v>708</v>
      </c>
      <c r="M38" s="250" t="s">
        <v>1250</v>
      </c>
      <c r="N38" s="250" t="s">
        <v>1251</v>
      </c>
      <c r="O38" s="250">
        <v>29191</v>
      </c>
      <c r="P38" s="250" t="s">
        <v>1016</v>
      </c>
      <c r="Q38" s="250">
        <v>432</v>
      </c>
      <c r="R38" s="250" t="s">
        <v>1250</v>
      </c>
      <c r="S38" s="253">
        <f t="shared" si="3"/>
        <v>35</v>
      </c>
      <c r="T38" s="253" t="str">
        <f>IF('School Level Expenditures'!$B$2='School Tables'!L38,'School Tables'!S38,"")</f>
        <v/>
      </c>
      <c r="U38" s="253" t="str">
        <f t="shared" si="4"/>
        <v/>
      </c>
      <c r="V38" s="254" t="b">
        <f t="shared" si="5"/>
        <v>0</v>
      </c>
      <c r="W38" s="250">
        <v>275</v>
      </c>
      <c r="X38" s="250" t="s">
        <v>1252</v>
      </c>
      <c r="Y38" s="250" t="s">
        <v>1253</v>
      </c>
      <c r="Z38" s="250">
        <v>26380</v>
      </c>
      <c r="AA38" s="250" t="s">
        <v>1017</v>
      </c>
      <c r="AB38" s="250">
        <v>24</v>
      </c>
      <c r="AC38" s="250" t="s">
        <v>1254</v>
      </c>
      <c r="AD38" s="253">
        <f t="shared" si="6"/>
        <v>35</v>
      </c>
      <c r="AE38" s="253" t="str">
        <f>IF('School Level Expenditures'!$B$2='School Tables'!W38,'School Tables'!AD38,"")</f>
        <v/>
      </c>
      <c r="AF38" s="253" t="str">
        <f t="shared" si="7"/>
        <v/>
      </c>
      <c r="AG38" s="254" t="b">
        <f t="shared" si="9"/>
        <v>0</v>
      </c>
      <c r="AH38" s="135">
        <v>115</v>
      </c>
      <c r="AI38" s="135">
        <v>115</v>
      </c>
      <c r="AJ38" s="135" t="s">
        <v>1255</v>
      </c>
      <c r="AK38" s="135">
        <v>100</v>
      </c>
      <c r="AL38" s="135" t="s">
        <v>1256</v>
      </c>
    </row>
    <row r="39" spans="1:38" ht="11.25" customHeight="1">
      <c r="A39" s="250">
        <v>486</v>
      </c>
      <c r="B39" s="250" t="s">
        <v>1051</v>
      </c>
      <c r="C39" s="250" t="s">
        <v>1257</v>
      </c>
      <c r="D39" s="250">
        <v>22165</v>
      </c>
      <c r="E39" s="250" t="s">
        <v>505</v>
      </c>
      <c r="F39" s="250">
        <v>80</v>
      </c>
      <c r="G39" s="250" t="s">
        <v>1053</v>
      </c>
      <c r="H39" s="253">
        <f t="shared" si="0"/>
        <v>36</v>
      </c>
      <c r="I39" s="253" t="str">
        <f>IF('School Level Expenditures'!$B$2=A39,'School Tables'!H39,"")</f>
        <v/>
      </c>
      <c r="J39" s="253" t="str">
        <f t="shared" si="1"/>
        <v/>
      </c>
      <c r="K39" s="254" t="b">
        <f t="shared" si="2"/>
        <v>0</v>
      </c>
      <c r="L39" s="250">
        <v>285</v>
      </c>
      <c r="M39" s="250" t="s">
        <v>1258</v>
      </c>
      <c r="N39" s="250" t="s">
        <v>1259</v>
      </c>
      <c r="O39" s="250">
        <v>21275</v>
      </c>
      <c r="P39" s="250" t="s">
        <v>1016</v>
      </c>
      <c r="Q39" s="250">
        <v>30</v>
      </c>
      <c r="R39" s="250" t="s">
        <v>1260</v>
      </c>
      <c r="S39" s="253">
        <f t="shared" si="3"/>
        <v>36</v>
      </c>
      <c r="T39" s="253" t="str">
        <f>IF('School Level Expenditures'!$B$2='School Tables'!L39,'School Tables'!S39,"")</f>
        <v/>
      </c>
      <c r="U39" s="253" t="str">
        <f t="shared" si="4"/>
        <v/>
      </c>
      <c r="V39" s="254" t="b">
        <f t="shared" si="5"/>
        <v>0</v>
      </c>
      <c r="W39" s="250">
        <v>276</v>
      </c>
      <c r="X39" s="250" t="s">
        <v>1231</v>
      </c>
      <c r="Y39" s="250" t="s">
        <v>1261</v>
      </c>
      <c r="Z39" s="250">
        <v>22015</v>
      </c>
      <c r="AA39" s="250" t="s">
        <v>1017</v>
      </c>
      <c r="AB39" s="250">
        <v>65</v>
      </c>
      <c r="AC39" s="250" t="s">
        <v>1233</v>
      </c>
      <c r="AD39" s="253">
        <f t="shared" si="6"/>
        <v>36</v>
      </c>
      <c r="AE39" s="253" t="str">
        <f>IF('School Level Expenditures'!$B$2='School Tables'!W39,'School Tables'!AD39,"")</f>
        <v/>
      </c>
      <c r="AF39" s="253" t="str">
        <f t="shared" si="7"/>
        <v/>
      </c>
      <c r="AG39" s="254" t="b">
        <f t="shared" si="9"/>
        <v>0</v>
      </c>
      <c r="AH39" s="135">
        <v>117</v>
      </c>
      <c r="AI39" s="135">
        <v>117</v>
      </c>
      <c r="AJ39" s="135" t="s">
        <v>1262</v>
      </c>
      <c r="AK39" s="135">
        <v>99</v>
      </c>
      <c r="AL39" s="135" t="s">
        <v>1263</v>
      </c>
    </row>
    <row r="40" spans="1:38" ht="11.25" customHeight="1">
      <c r="A40" s="250">
        <v>71</v>
      </c>
      <c r="B40" s="250" t="s">
        <v>1151</v>
      </c>
      <c r="C40" s="250" t="s">
        <v>1264</v>
      </c>
      <c r="D40" s="250">
        <v>27765</v>
      </c>
      <c r="E40" s="250" t="s">
        <v>505</v>
      </c>
      <c r="F40" s="250">
        <v>41</v>
      </c>
      <c r="G40" s="250" t="s">
        <v>1152</v>
      </c>
      <c r="H40" s="253">
        <f t="shared" si="0"/>
        <v>37</v>
      </c>
      <c r="I40" s="253" t="str">
        <f>IF('School Level Expenditures'!$B$2=A40,'School Tables'!H40,"")</f>
        <v/>
      </c>
      <c r="J40" s="253" t="str">
        <f t="shared" si="1"/>
        <v/>
      </c>
      <c r="K40" s="254" t="b">
        <f t="shared" si="2"/>
        <v>0</v>
      </c>
      <c r="L40" s="250">
        <v>295</v>
      </c>
      <c r="M40" s="250" t="s">
        <v>1265</v>
      </c>
      <c r="N40" s="250" t="s">
        <v>1266</v>
      </c>
      <c r="O40" s="250">
        <v>21370</v>
      </c>
      <c r="P40" s="250" t="s">
        <v>1016</v>
      </c>
      <c r="Q40" s="250">
        <v>88</v>
      </c>
      <c r="R40" s="250" t="s">
        <v>1267</v>
      </c>
      <c r="S40" s="253">
        <f t="shared" si="3"/>
        <v>37</v>
      </c>
      <c r="T40" s="253" t="str">
        <f>IF('School Level Expenditures'!$B$2='School Tables'!L40,'School Tables'!S40,"")</f>
        <v/>
      </c>
      <c r="U40" s="253" t="str">
        <f t="shared" si="4"/>
        <v/>
      </c>
      <c r="V40" s="254" t="b">
        <f t="shared" si="5"/>
        <v>0</v>
      </c>
      <c r="W40" s="250">
        <v>279</v>
      </c>
      <c r="X40" s="250" t="s">
        <v>1236</v>
      </c>
      <c r="Y40" s="250" t="s">
        <v>1268</v>
      </c>
      <c r="Z40" s="250">
        <v>21195</v>
      </c>
      <c r="AA40" s="250" t="s">
        <v>1017</v>
      </c>
      <c r="AB40" s="250">
        <v>29</v>
      </c>
      <c r="AC40" s="250" t="s">
        <v>1187</v>
      </c>
      <c r="AD40" s="253">
        <f t="shared" si="6"/>
        <v>37</v>
      </c>
      <c r="AE40" s="253" t="str">
        <f>IF('School Level Expenditures'!$B$2='School Tables'!W40,'School Tables'!AD40,"")</f>
        <v/>
      </c>
      <c r="AF40" s="253" t="str">
        <f t="shared" si="7"/>
        <v/>
      </c>
      <c r="AG40" s="254" t="b">
        <f t="shared" si="9"/>
        <v>0</v>
      </c>
      <c r="AH40" s="253">
        <v>723</v>
      </c>
      <c r="AI40" s="253">
        <v>723</v>
      </c>
      <c r="AJ40" s="253" t="s">
        <v>1137</v>
      </c>
      <c r="AK40" s="253">
        <v>410</v>
      </c>
      <c r="AL40" s="253" t="s">
        <v>1137</v>
      </c>
    </row>
    <row r="41" spans="1:38" ht="11.25" customHeight="1">
      <c r="A41" s="250">
        <v>208</v>
      </c>
      <c r="B41" s="250" t="s">
        <v>1240</v>
      </c>
      <c r="C41" s="250" t="s">
        <v>1269</v>
      </c>
      <c r="D41" s="250">
        <v>22430</v>
      </c>
      <c r="E41" s="250" t="s">
        <v>505</v>
      </c>
      <c r="F41" s="250">
        <v>49</v>
      </c>
      <c r="G41" s="250" t="s">
        <v>1242</v>
      </c>
      <c r="H41" s="253">
        <f t="shared" si="0"/>
        <v>38</v>
      </c>
      <c r="I41" s="253" t="str">
        <f>IF('School Level Expenditures'!$B$2=A41,'School Tables'!H41,"")</f>
        <v/>
      </c>
      <c r="J41" s="253" t="str">
        <f t="shared" si="1"/>
        <v/>
      </c>
      <c r="K41" s="254" t="b">
        <f t="shared" si="2"/>
        <v>0</v>
      </c>
      <c r="L41" s="250">
        <v>305</v>
      </c>
      <c r="M41" s="250" t="s">
        <v>1270</v>
      </c>
      <c r="N41" s="250" t="s">
        <v>1271</v>
      </c>
      <c r="O41" s="250">
        <v>23105</v>
      </c>
      <c r="P41" s="250" t="s">
        <v>1016</v>
      </c>
      <c r="Q41" s="250">
        <v>68</v>
      </c>
      <c r="R41" s="250" t="s">
        <v>1272</v>
      </c>
      <c r="S41" s="253">
        <f t="shared" si="3"/>
        <v>38</v>
      </c>
      <c r="T41" s="253" t="str">
        <f>IF('School Level Expenditures'!$B$2='School Tables'!L41,'School Tables'!S41,"")</f>
        <v/>
      </c>
      <c r="U41" s="253" t="str">
        <f t="shared" si="4"/>
        <v/>
      </c>
      <c r="V41" s="254" t="b">
        <f t="shared" si="5"/>
        <v>0</v>
      </c>
      <c r="W41" s="250">
        <v>113</v>
      </c>
      <c r="X41" s="250" t="s">
        <v>1022</v>
      </c>
      <c r="Y41" s="250" t="s">
        <v>1273</v>
      </c>
      <c r="Z41" s="250">
        <v>20345</v>
      </c>
      <c r="AA41" s="250" t="s">
        <v>1017</v>
      </c>
      <c r="AB41" s="250">
        <v>9</v>
      </c>
      <c r="AC41" s="250" t="s">
        <v>1024</v>
      </c>
      <c r="AD41" s="253">
        <f t="shared" si="6"/>
        <v>38</v>
      </c>
      <c r="AE41" s="253" t="str">
        <f>IF('School Level Expenditures'!$B$2='School Tables'!W41,'School Tables'!AD41,"")</f>
        <v/>
      </c>
      <c r="AF41" s="253" t="str">
        <f t="shared" si="7"/>
        <v/>
      </c>
      <c r="AG41" s="254" t="b">
        <f t="shared" si="9"/>
        <v>0</v>
      </c>
      <c r="AH41" s="135">
        <v>127</v>
      </c>
      <c r="AI41" s="135">
        <v>127</v>
      </c>
      <c r="AJ41" s="135" t="s">
        <v>1274</v>
      </c>
      <c r="AK41" s="135">
        <v>53</v>
      </c>
      <c r="AL41" s="135" t="s">
        <v>1035</v>
      </c>
    </row>
    <row r="42" spans="1:38" ht="11.25" customHeight="1">
      <c r="A42" s="250">
        <v>555</v>
      </c>
      <c r="B42" s="250" t="s">
        <v>1275</v>
      </c>
      <c r="C42" s="250" t="s">
        <v>1276</v>
      </c>
      <c r="D42" s="250">
        <v>26810</v>
      </c>
      <c r="E42" s="250" t="s">
        <v>505</v>
      </c>
      <c r="F42" s="250">
        <v>24</v>
      </c>
      <c r="G42" s="250" t="s">
        <v>1254</v>
      </c>
      <c r="H42" s="253">
        <f t="shared" si="0"/>
        <v>39</v>
      </c>
      <c r="I42" s="253" t="str">
        <f>IF('School Level Expenditures'!$B$2=A42,'School Tables'!H42,"")</f>
        <v/>
      </c>
      <c r="J42" s="253" t="str">
        <f t="shared" si="1"/>
        <v/>
      </c>
      <c r="K42" s="254" t="b">
        <f t="shared" si="2"/>
        <v>0</v>
      </c>
      <c r="L42" s="250">
        <v>306</v>
      </c>
      <c r="M42" s="250" t="s">
        <v>1277</v>
      </c>
      <c r="N42" s="250" t="s">
        <v>1278</v>
      </c>
      <c r="O42" s="250">
        <v>23095</v>
      </c>
      <c r="P42" s="250" t="s">
        <v>1016</v>
      </c>
      <c r="Q42" s="250">
        <v>35</v>
      </c>
      <c r="R42" s="250" t="s">
        <v>1132</v>
      </c>
      <c r="S42" s="253">
        <f t="shared" si="3"/>
        <v>39</v>
      </c>
      <c r="T42" s="253" t="str">
        <f>IF('School Level Expenditures'!$B$2='School Tables'!L42,'School Tables'!S42,"")</f>
        <v/>
      </c>
      <c r="U42" s="253" t="str">
        <f t="shared" si="4"/>
        <v/>
      </c>
      <c r="V42" s="254" t="b">
        <f t="shared" si="5"/>
        <v>0</v>
      </c>
      <c r="W42" s="250">
        <v>208</v>
      </c>
      <c r="X42" s="250" t="s">
        <v>1240</v>
      </c>
      <c r="Y42" s="250" t="s">
        <v>1279</v>
      </c>
      <c r="Z42" s="250">
        <v>22425</v>
      </c>
      <c r="AA42" s="250" t="s">
        <v>1017</v>
      </c>
      <c r="AB42" s="250">
        <v>49</v>
      </c>
      <c r="AC42" s="250" t="s">
        <v>1242</v>
      </c>
      <c r="AD42" s="253">
        <f t="shared" si="6"/>
        <v>39</v>
      </c>
      <c r="AE42" s="253" t="str">
        <f>IF('School Level Expenditures'!$B$2='School Tables'!W42,'School Tables'!AD42,"")</f>
        <v/>
      </c>
      <c r="AF42" s="253" t="str">
        <f t="shared" si="7"/>
        <v/>
      </c>
      <c r="AG42" s="254" t="b">
        <f t="shared" si="9"/>
        <v>0</v>
      </c>
      <c r="AH42" s="135">
        <v>131</v>
      </c>
      <c r="AI42" s="135">
        <v>131</v>
      </c>
      <c r="AJ42" s="135" t="s">
        <v>1134</v>
      </c>
      <c r="AK42" s="135">
        <v>10</v>
      </c>
      <c r="AL42" s="135" t="s">
        <v>1136</v>
      </c>
    </row>
    <row r="43" spans="1:38" ht="11.25" customHeight="1">
      <c r="A43" s="250">
        <v>461</v>
      </c>
      <c r="B43" s="250" t="s">
        <v>1072</v>
      </c>
      <c r="C43" s="250" t="s">
        <v>1280</v>
      </c>
      <c r="D43" s="250">
        <v>22695</v>
      </c>
      <c r="E43" s="250" t="s">
        <v>505</v>
      </c>
      <c r="F43" s="250">
        <v>54</v>
      </c>
      <c r="G43" s="250" t="s">
        <v>1074</v>
      </c>
      <c r="H43" s="253">
        <f t="shared" si="0"/>
        <v>40</v>
      </c>
      <c r="I43" s="253" t="str">
        <f>IF('School Level Expenditures'!$B$2=A43,'School Tables'!H43,"")</f>
        <v/>
      </c>
      <c r="J43" s="253" t="str">
        <f t="shared" si="1"/>
        <v/>
      </c>
      <c r="K43" s="254" t="b">
        <f t="shared" si="2"/>
        <v>0</v>
      </c>
      <c r="L43" s="250">
        <v>315</v>
      </c>
      <c r="M43" s="250" t="s">
        <v>1081</v>
      </c>
      <c r="N43" s="250" t="s">
        <v>1281</v>
      </c>
      <c r="O43" s="250">
        <v>26640</v>
      </c>
      <c r="P43" s="250" t="s">
        <v>1016</v>
      </c>
      <c r="Q43" s="250">
        <v>27</v>
      </c>
      <c r="R43" s="250" t="s">
        <v>1083</v>
      </c>
      <c r="S43" s="253">
        <f t="shared" si="3"/>
        <v>40</v>
      </c>
      <c r="T43" s="253" t="str">
        <f>IF('School Level Expenditures'!$B$2='School Tables'!L43,'School Tables'!S43,"")</f>
        <v/>
      </c>
      <c r="U43" s="253" t="str">
        <f t="shared" si="4"/>
        <v/>
      </c>
      <c r="V43" s="254" t="b">
        <f t="shared" si="5"/>
        <v>0</v>
      </c>
      <c r="W43" s="250">
        <v>708</v>
      </c>
      <c r="X43" s="250" t="s">
        <v>1250</v>
      </c>
      <c r="Y43" s="250" t="s">
        <v>1282</v>
      </c>
      <c r="Z43" s="250">
        <v>29192</v>
      </c>
      <c r="AA43" s="250" t="s">
        <v>1017</v>
      </c>
      <c r="AB43" s="250">
        <v>432</v>
      </c>
      <c r="AC43" s="250" t="s">
        <v>1250</v>
      </c>
      <c r="AD43" s="253">
        <f t="shared" si="6"/>
        <v>40</v>
      </c>
      <c r="AE43" s="253" t="str">
        <f>IF('School Level Expenditures'!$B$2='School Tables'!W43,'School Tables'!AD43,"")</f>
        <v/>
      </c>
      <c r="AF43" s="253" t="str">
        <f t="shared" si="7"/>
        <v/>
      </c>
      <c r="AG43" s="254" t="b">
        <f t="shared" si="9"/>
        <v>0</v>
      </c>
      <c r="AH43" s="135">
        <v>141</v>
      </c>
      <c r="AI43" s="135">
        <v>141</v>
      </c>
      <c r="AJ43" s="135" t="s">
        <v>1116</v>
      </c>
      <c r="AK43" s="135">
        <v>11</v>
      </c>
      <c r="AL43" s="135" t="s">
        <v>1118</v>
      </c>
    </row>
    <row r="44" spans="1:38" ht="11.25" customHeight="1">
      <c r="A44" s="250">
        <v>174</v>
      </c>
      <c r="B44" s="250" t="s">
        <v>1027</v>
      </c>
      <c r="C44" s="250" t="s">
        <v>1283</v>
      </c>
      <c r="D44" s="250">
        <v>22975</v>
      </c>
      <c r="E44" s="250" t="s">
        <v>505</v>
      </c>
      <c r="F44" s="250">
        <v>60</v>
      </c>
      <c r="G44" s="250" t="s">
        <v>1029</v>
      </c>
      <c r="H44" s="253">
        <f t="shared" si="0"/>
        <v>41</v>
      </c>
      <c r="I44" s="253" t="str">
        <f>IF('School Level Expenditures'!$B$2=A44,'School Tables'!H44,"")</f>
        <v/>
      </c>
      <c r="J44" s="253" t="str">
        <f t="shared" si="1"/>
        <v/>
      </c>
      <c r="K44" s="254" t="b">
        <f t="shared" si="2"/>
        <v>0</v>
      </c>
      <c r="L44" s="250">
        <v>319</v>
      </c>
      <c r="M44" s="250" t="s">
        <v>1284</v>
      </c>
      <c r="N44" s="250" t="s">
        <v>1285</v>
      </c>
      <c r="O44" s="250">
        <v>20480</v>
      </c>
      <c r="P44" s="250" t="s">
        <v>1016</v>
      </c>
      <c r="Q44" s="250">
        <v>12</v>
      </c>
      <c r="R44" s="250" t="s">
        <v>1286</v>
      </c>
      <c r="S44" s="253">
        <f t="shared" si="3"/>
        <v>41</v>
      </c>
      <c r="T44" s="253" t="str">
        <f>IF('School Level Expenditures'!$B$2='School Tables'!L44,'School Tables'!S44,"")</f>
        <v/>
      </c>
      <c r="U44" s="253" t="str">
        <f t="shared" si="4"/>
        <v/>
      </c>
      <c r="V44" s="254" t="b">
        <f t="shared" si="5"/>
        <v>0</v>
      </c>
      <c r="W44" s="250">
        <v>285</v>
      </c>
      <c r="X44" s="250" t="s">
        <v>1258</v>
      </c>
      <c r="Y44" s="250" t="s">
        <v>1287</v>
      </c>
      <c r="Z44" s="250">
        <v>21255</v>
      </c>
      <c r="AA44" s="250" t="s">
        <v>1017</v>
      </c>
      <c r="AB44" s="250">
        <v>30</v>
      </c>
      <c r="AC44" s="250" t="s">
        <v>1260</v>
      </c>
      <c r="AD44" s="253">
        <f t="shared" si="6"/>
        <v>41</v>
      </c>
      <c r="AE44" s="253" t="str">
        <f>IF('School Level Expenditures'!$B$2='School Tables'!W44,'School Tables'!AD44,"")</f>
        <v/>
      </c>
      <c r="AF44" s="253" t="str">
        <f t="shared" si="7"/>
        <v/>
      </c>
      <c r="AG44" s="254" t="b">
        <f t="shared" si="9"/>
        <v>0</v>
      </c>
      <c r="AH44" s="135">
        <v>142</v>
      </c>
      <c r="AI44" s="135">
        <v>0</v>
      </c>
      <c r="AJ44" s="135" t="s">
        <v>1217</v>
      </c>
      <c r="AK44" s="135">
        <v>70</v>
      </c>
      <c r="AL44" s="135" t="s">
        <v>1183</v>
      </c>
    </row>
    <row r="45" spans="1:38" ht="11.25" customHeight="1">
      <c r="A45" s="250">
        <v>174</v>
      </c>
      <c r="B45" s="250" t="s">
        <v>1027</v>
      </c>
      <c r="C45" s="250" t="s">
        <v>1288</v>
      </c>
      <c r="D45" s="250">
        <v>22985</v>
      </c>
      <c r="E45" s="250" t="s">
        <v>505</v>
      </c>
      <c r="F45" s="250">
        <v>60</v>
      </c>
      <c r="G45" s="250" t="s">
        <v>1029</v>
      </c>
      <c r="H45" s="253">
        <f t="shared" si="0"/>
        <v>42</v>
      </c>
      <c r="I45" s="253" t="str">
        <f>IF('School Level Expenditures'!$B$2=A45,'School Tables'!H45,"")</f>
        <v/>
      </c>
      <c r="J45" s="253" t="str">
        <f t="shared" si="1"/>
        <v/>
      </c>
      <c r="K45" s="254" t="b">
        <f t="shared" si="2"/>
        <v>0</v>
      </c>
      <c r="L45" s="250">
        <v>351</v>
      </c>
      <c r="M45" s="250" t="s">
        <v>1289</v>
      </c>
      <c r="N45" s="250" t="s">
        <v>1290</v>
      </c>
      <c r="O45" s="250">
        <v>28375</v>
      </c>
      <c r="P45" s="250" t="s">
        <v>1016</v>
      </c>
      <c r="Q45" s="250">
        <v>26</v>
      </c>
      <c r="R45" s="250" t="s">
        <v>1291</v>
      </c>
      <c r="S45" s="253">
        <f t="shared" si="3"/>
        <v>42</v>
      </c>
      <c r="T45" s="253" t="str">
        <f>IF('School Level Expenditures'!$B$2='School Tables'!L45,'School Tables'!S45,"")</f>
        <v/>
      </c>
      <c r="U45" s="253" t="str">
        <f t="shared" si="4"/>
        <v/>
      </c>
      <c r="V45" s="254" t="b">
        <f t="shared" si="5"/>
        <v>0</v>
      </c>
      <c r="W45" s="250">
        <v>706</v>
      </c>
      <c r="X45" s="250" t="s">
        <v>1292</v>
      </c>
      <c r="Y45" s="250" t="s">
        <v>1292</v>
      </c>
      <c r="Z45" s="250">
        <v>29189</v>
      </c>
      <c r="AA45" s="250" t="s">
        <v>1017</v>
      </c>
      <c r="AB45" s="250">
        <v>431</v>
      </c>
      <c r="AC45" s="250" t="s">
        <v>1292</v>
      </c>
      <c r="AD45" s="253">
        <f t="shared" si="6"/>
        <v>42</v>
      </c>
      <c r="AE45" s="253" t="str">
        <f>IF('School Level Expenditures'!$B$2='School Tables'!W45,'School Tables'!AD45,"")</f>
        <v/>
      </c>
      <c r="AF45" s="253" t="str">
        <f t="shared" si="7"/>
        <v/>
      </c>
      <c r="AG45" s="254" t="b">
        <f t="shared" si="9"/>
        <v>0</v>
      </c>
      <c r="AH45" s="135">
        <v>147</v>
      </c>
      <c r="AI45" s="135">
        <v>147</v>
      </c>
      <c r="AJ45" s="135" t="s">
        <v>1293</v>
      </c>
      <c r="AK45" s="135">
        <v>20</v>
      </c>
      <c r="AL45" s="135" t="s">
        <v>1149</v>
      </c>
    </row>
    <row r="46" spans="1:38" ht="11.25" customHeight="1">
      <c r="A46" s="250">
        <v>371</v>
      </c>
      <c r="B46" s="250" t="s">
        <v>1068</v>
      </c>
      <c r="C46" s="250" t="s">
        <v>1294</v>
      </c>
      <c r="D46" s="250">
        <v>21930</v>
      </c>
      <c r="E46" s="250" t="s">
        <v>505</v>
      </c>
      <c r="F46" s="250">
        <v>42</v>
      </c>
      <c r="G46" s="250" t="s">
        <v>1070</v>
      </c>
      <c r="H46" s="253">
        <f t="shared" si="0"/>
        <v>43</v>
      </c>
      <c r="I46" s="253" t="str">
        <f>IF('School Level Expenditures'!$B$2=A46,'School Tables'!H46,"")</f>
        <v/>
      </c>
      <c r="J46" s="253" t="str">
        <f t="shared" si="1"/>
        <v/>
      </c>
      <c r="K46" s="254" t="b">
        <f t="shared" si="2"/>
        <v>0</v>
      </c>
      <c r="L46" s="250">
        <v>352</v>
      </c>
      <c r="M46" s="250" t="s">
        <v>1207</v>
      </c>
      <c r="N46" s="250" t="s">
        <v>1295</v>
      </c>
      <c r="O46" s="250">
        <v>26585</v>
      </c>
      <c r="P46" s="250" t="s">
        <v>1016</v>
      </c>
      <c r="Q46" s="250">
        <v>46</v>
      </c>
      <c r="R46" s="250" t="s">
        <v>1060</v>
      </c>
      <c r="S46" s="253">
        <f t="shared" si="3"/>
        <v>43</v>
      </c>
      <c r="T46" s="253" t="str">
        <f>IF('School Level Expenditures'!$B$2='School Tables'!L46,'School Tables'!S46,"")</f>
        <v/>
      </c>
      <c r="U46" s="253" t="str">
        <f t="shared" si="4"/>
        <v/>
      </c>
      <c r="V46" s="254" t="b">
        <f t="shared" si="5"/>
        <v>0</v>
      </c>
      <c r="W46" s="250">
        <v>295</v>
      </c>
      <c r="X46" s="250" t="s">
        <v>1265</v>
      </c>
      <c r="Y46" s="250" t="s">
        <v>1296</v>
      </c>
      <c r="Z46" s="250">
        <v>21360</v>
      </c>
      <c r="AA46" s="250" t="s">
        <v>1017</v>
      </c>
      <c r="AB46" s="250">
        <v>88</v>
      </c>
      <c r="AC46" s="250" t="s">
        <v>1267</v>
      </c>
      <c r="AD46" s="253">
        <f t="shared" si="6"/>
        <v>43</v>
      </c>
      <c r="AE46" s="253" t="str">
        <f>IF('School Level Expenditures'!$B$2='School Tables'!W46,'School Tables'!AD46,"")</f>
        <v/>
      </c>
      <c r="AF46" s="253" t="str">
        <f t="shared" si="7"/>
        <v/>
      </c>
      <c r="AG46" s="254" t="b">
        <f t="shared" si="9"/>
        <v>0</v>
      </c>
      <c r="AH46" s="135">
        <v>149</v>
      </c>
      <c r="AI46" s="135">
        <v>149</v>
      </c>
      <c r="AJ46" s="135" t="s">
        <v>1297</v>
      </c>
      <c r="AK46" s="135">
        <v>67</v>
      </c>
      <c r="AL46" s="135" t="s">
        <v>1065</v>
      </c>
    </row>
    <row r="47" spans="1:38" ht="11.25" customHeight="1">
      <c r="A47" s="250">
        <v>93</v>
      </c>
      <c r="B47" s="250" t="s">
        <v>1179</v>
      </c>
      <c r="C47" s="250" t="s">
        <v>1298</v>
      </c>
      <c r="D47" s="250">
        <v>20500</v>
      </c>
      <c r="E47" s="250" t="s">
        <v>505</v>
      </c>
      <c r="F47" s="250">
        <v>82</v>
      </c>
      <c r="G47" s="250" t="s">
        <v>1180</v>
      </c>
      <c r="H47" s="253">
        <f t="shared" si="0"/>
        <v>44</v>
      </c>
      <c r="I47" s="253" t="str">
        <f>IF('School Level Expenditures'!$B$2=A47,'School Tables'!H47,"")</f>
        <v/>
      </c>
      <c r="J47" s="253" t="str">
        <f t="shared" si="1"/>
        <v/>
      </c>
      <c r="K47" s="254" t="b">
        <f t="shared" si="2"/>
        <v>0</v>
      </c>
      <c r="L47" s="250">
        <v>335</v>
      </c>
      <c r="M47" s="250" t="s">
        <v>1123</v>
      </c>
      <c r="N47" s="250" t="s">
        <v>1299</v>
      </c>
      <c r="O47" s="250">
        <v>21525</v>
      </c>
      <c r="P47" s="250" t="s">
        <v>1016</v>
      </c>
      <c r="Q47" s="250">
        <v>37</v>
      </c>
      <c r="R47" s="250" t="s">
        <v>1125</v>
      </c>
      <c r="S47" s="253">
        <f t="shared" si="3"/>
        <v>44</v>
      </c>
      <c r="T47" s="253" t="str">
        <f>IF('School Level Expenditures'!$B$2='School Tables'!L47,'School Tables'!S47,"")</f>
        <v/>
      </c>
      <c r="U47" s="253" t="str">
        <f t="shared" si="4"/>
        <v/>
      </c>
      <c r="V47" s="254" t="b">
        <f t="shared" si="5"/>
        <v>0</v>
      </c>
      <c r="W47" s="250">
        <v>719</v>
      </c>
      <c r="X47" s="250" t="s">
        <v>1300</v>
      </c>
      <c r="Y47" s="250" t="s">
        <v>1300</v>
      </c>
      <c r="Z47" s="250">
        <v>28565</v>
      </c>
      <c r="AA47" s="250" t="s">
        <v>1017</v>
      </c>
      <c r="AB47" s="250">
        <v>408</v>
      </c>
      <c r="AC47" s="250" t="s">
        <v>1300</v>
      </c>
      <c r="AD47" s="253">
        <f t="shared" si="6"/>
        <v>44</v>
      </c>
      <c r="AE47" s="253" t="str">
        <f>IF('School Level Expenditures'!$B$2='School Tables'!W47,'School Tables'!AD47,"")</f>
        <v/>
      </c>
      <c r="AF47" s="253" t="str">
        <f t="shared" si="7"/>
        <v/>
      </c>
      <c r="AG47" s="254" t="b">
        <f t="shared" si="9"/>
        <v>0</v>
      </c>
      <c r="AH47" s="135">
        <v>153</v>
      </c>
      <c r="AI47" s="135">
        <v>153</v>
      </c>
      <c r="AJ47" s="135" t="s">
        <v>1301</v>
      </c>
      <c r="AK47" s="135">
        <v>16</v>
      </c>
      <c r="AL47" s="135" t="s">
        <v>1096</v>
      </c>
    </row>
    <row r="48" spans="1:38" ht="11.25" customHeight="1">
      <c r="A48" s="250">
        <v>95</v>
      </c>
      <c r="B48" s="250" t="s">
        <v>1186</v>
      </c>
      <c r="C48" s="250" t="s">
        <v>1302</v>
      </c>
      <c r="D48" s="250">
        <v>21140</v>
      </c>
      <c r="E48" s="250" t="s">
        <v>505</v>
      </c>
      <c r="F48" s="250">
        <v>29</v>
      </c>
      <c r="G48" s="250" t="s">
        <v>1187</v>
      </c>
      <c r="H48" s="253">
        <f t="shared" si="0"/>
        <v>45</v>
      </c>
      <c r="I48" s="253" t="str">
        <f>IF('School Level Expenditures'!$B$2=A48,'School Tables'!H48,"")</f>
        <v/>
      </c>
      <c r="J48" s="253" t="str">
        <f t="shared" si="1"/>
        <v/>
      </c>
      <c r="K48" s="254" t="b">
        <f t="shared" si="2"/>
        <v>0</v>
      </c>
      <c r="L48" s="250">
        <v>357</v>
      </c>
      <c r="M48" s="250" t="s">
        <v>781</v>
      </c>
      <c r="N48" s="250" t="s">
        <v>1303</v>
      </c>
      <c r="O48" s="250">
        <v>21760</v>
      </c>
      <c r="P48" s="250" t="s">
        <v>1016</v>
      </c>
      <c r="Q48" s="250">
        <v>40</v>
      </c>
      <c r="R48" s="250" t="s">
        <v>1304</v>
      </c>
      <c r="S48" s="253">
        <f t="shared" si="3"/>
        <v>45</v>
      </c>
      <c r="T48" s="253" t="str">
        <f>IF('School Level Expenditures'!$B$2='School Tables'!L48,'School Tables'!S48,"")</f>
        <v/>
      </c>
      <c r="U48" s="253" t="str">
        <f t="shared" si="4"/>
        <v/>
      </c>
      <c r="V48" s="254" t="b">
        <f t="shared" si="5"/>
        <v>0</v>
      </c>
      <c r="W48" s="250">
        <v>305</v>
      </c>
      <c r="X48" s="250" t="s">
        <v>1270</v>
      </c>
      <c r="Y48" s="250" t="s">
        <v>1305</v>
      </c>
      <c r="Z48" s="250">
        <v>23110</v>
      </c>
      <c r="AA48" s="250" t="s">
        <v>1017</v>
      </c>
      <c r="AB48" s="250">
        <v>68</v>
      </c>
      <c r="AC48" s="250" t="s">
        <v>1272</v>
      </c>
      <c r="AD48" s="253">
        <f t="shared" si="6"/>
        <v>45</v>
      </c>
      <c r="AE48" s="253" t="str">
        <f>IF('School Level Expenditures'!$B$2='School Tables'!W48,'School Tables'!AD48,"")</f>
        <v/>
      </c>
      <c r="AF48" s="253" t="str">
        <f t="shared" si="7"/>
        <v/>
      </c>
      <c r="AG48" s="254" t="b">
        <f t="shared" si="9"/>
        <v>0</v>
      </c>
      <c r="AH48" s="135">
        <v>159</v>
      </c>
      <c r="AI48" s="135">
        <v>159</v>
      </c>
      <c r="AJ48" s="135" t="s">
        <v>1306</v>
      </c>
      <c r="AK48" s="135">
        <v>9</v>
      </c>
      <c r="AL48" s="135" t="s">
        <v>1024</v>
      </c>
    </row>
    <row r="49" spans="1:38" ht="11.25" customHeight="1">
      <c r="A49" s="250">
        <v>99</v>
      </c>
      <c r="B49" s="250" t="s">
        <v>1193</v>
      </c>
      <c r="C49" s="250" t="s">
        <v>1307</v>
      </c>
      <c r="D49" s="250">
        <v>22590</v>
      </c>
      <c r="E49" s="250" t="s">
        <v>505</v>
      </c>
      <c r="F49" s="250">
        <v>53</v>
      </c>
      <c r="G49" s="250" t="s">
        <v>1035</v>
      </c>
      <c r="H49" s="253">
        <f t="shared" si="0"/>
        <v>46</v>
      </c>
      <c r="I49" s="253" t="str">
        <f>IF('School Level Expenditures'!$B$2=A49,'School Tables'!H49,"")</f>
        <v/>
      </c>
      <c r="J49" s="253" t="str">
        <f t="shared" si="1"/>
        <v/>
      </c>
      <c r="K49" s="254" t="b">
        <f t="shared" si="2"/>
        <v>0</v>
      </c>
      <c r="L49" s="250">
        <v>363</v>
      </c>
      <c r="M49" s="250" t="s">
        <v>1308</v>
      </c>
      <c r="N49" s="250" t="s">
        <v>1309</v>
      </c>
      <c r="O49" s="250">
        <v>26980</v>
      </c>
      <c r="P49" s="250" t="s">
        <v>1016</v>
      </c>
      <c r="Q49" s="250">
        <v>93</v>
      </c>
      <c r="R49" s="250" t="s">
        <v>1310</v>
      </c>
      <c r="S49" s="253">
        <f t="shared" si="3"/>
        <v>46</v>
      </c>
      <c r="T49" s="253" t="str">
        <f>IF('School Level Expenditures'!$B$2='School Tables'!L49,'School Tables'!S49,"")</f>
        <v/>
      </c>
      <c r="U49" s="253" t="str">
        <f t="shared" si="4"/>
        <v/>
      </c>
      <c r="V49" s="254" t="b">
        <f t="shared" si="5"/>
        <v>0</v>
      </c>
      <c r="W49" s="250">
        <v>306</v>
      </c>
      <c r="X49" s="250" t="s">
        <v>1277</v>
      </c>
      <c r="Y49" s="250" t="s">
        <v>1311</v>
      </c>
      <c r="Z49" s="250">
        <v>23100</v>
      </c>
      <c r="AA49" s="250" t="s">
        <v>1017</v>
      </c>
      <c r="AB49" s="250">
        <v>35</v>
      </c>
      <c r="AC49" s="250" t="s">
        <v>1132</v>
      </c>
      <c r="AD49" s="253">
        <f t="shared" si="6"/>
        <v>46</v>
      </c>
      <c r="AE49" s="253" t="str">
        <f>IF('School Level Expenditures'!$B$2='School Tables'!W49,'School Tables'!AD49,"")</f>
        <v/>
      </c>
      <c r="AF49" s="253" t="str">
        <f t="shared" si="7"/>
        <v/>
      </c>
      <c r="AG49" s="254" t="b">
        <f t="shared" si="9"/>
        <v>0</v>
      </c>
      <c r="AH49" s="135">
        <v>162</v>
      </c>
      <c r="AI49" s="135">
        <v>162</v>
      </c>
      <c r="AJ49" s="135" t="s">
        <v>1312</v>
      </c>
      <c r="AK49" s="135">
        <v>48</v>
      </c>
      <c r="AL49" s="135" t="s">
        <v>1158</v>
      </c>
    </row>
    <row r="50" spans="1:38" ht="11.25" customHeight="1">
      <c r="A50" s="250">
        <v>111</v>
      </c>
      <c r="B50" s="250" t="s">
        <v>1019</v>
      </c>
      <c r="C50" s="250" t="s">
        <v>1313</v>
      </c>
      <c r="D50" s="250">
        <v>20305</v>
      </c>
      <c r="E50" s="250" t="s">
        <v>505</v>
      </c>
      <c r="F50" s="250">
        <v>8</v>
      </c>
      <c r="G50" s="250" t="s">
        <v>1021</v>
      </c>
      <c r="H50" s="253">
        <f t="shared" si="0"/>
        <v>47</v>
      </c>
      <c r="I50" s="253" t="str">
        <f>IF('School Level Expenditures'!$B$2=A50,'School Tables'!H50,"")</f>
        <v/>
      </c>
      <c r="J50" s="253" t="str">
        <f t="shared" si="1"/>
        <v/>
      </c>
      <c r="K50" s="254" t="b">
        <f t="shared" si="2"/>
        <v>0</v>
      </c>
      <c r="L50" s="250">
        <v>369</v>
      </c>
      <c r="M50" s="250" t="s">
        <v>1314</v>
      </c>
      <c r="N50" s="250" t="s">
        <v>1315</v>
      </c>
      <c r="O50" s="250">
        <v>26960</v>
      </c>
      <c r="P50" s="250" t="s">
        <v>1016</v>
      </c>
      <c r="Q50" s="250">
        <v>45</v>
      </c>
      <c r="R50" s="250" t="s">
        <v>1316</v>
      </c>
      <c r="S50" s="253">
        <f t="shared" si="3"/>
        <v>47</v>
      </c>
      <c r="T50" s="253" t="str">
        <f>IF('School Level Expenditures'!$B$2='School Tables'!L50,'School Tables'!S50,"")</f>
        <v/>
      </c>
      <c r="U50" s="253" t="str">
        <f t="shared" si="4"/>
        <v/>
      </c>
      <c r="V50" s="254" t="b">
        <f t="shared" si="5"/>
        <v>0</v>
      </c>
      <c r="W50" s="250">
        <v>317</v>
      </c>
      <c r="X50" s="250" t="s">
        <v>1100</v>
      </c>
      <c r="Y50" s="250" t="s">
        <v>1317</v>
      </c>
      <c r="Z50" s="250">
        <v>21445</v>
      </c>
      <c r="AA50" s="250" t="s">
        <v>1017</v>
      </c>
      <c r="AB50" s="250">
        <v>84</v>
      </c>
      <c r="AC50" s="250" t="s">
        <v>1102</v>
      </c>
      <c r="AD50" s="253">
        <f t="shared" si="6"/>
        <v>47</v>
      </c>
      <c r="AE50" s="253" t="str">
        <f>IF('School Level Expenditures'!$B$2='School Tables'!W50,'School Tables'!AD50,"")</f>
        <v/>
      </c>
      <c r="AF50" s="253" t="str">
        <f t="shared" si="7"/>
        <v/>
      </c>
      <c r="AG50" s="254" t="b">
        <f t="shared" si="9"/>
        <v>0</v>
      </c>
      <c r="AH50" s="135">
        <v>165</v>
      </c>
      <c r="AI50" s="135">
        <v>165</v>
      </c>
      <c r="AJ50" s="135" t="s">
        <v>1318</v>
      </c>
      <c r="AK50" s="135">
        <v>14</v>
      </c>
      <c r="AL50" s="135" t="s">
        <v>1319</v>
      </c>
    </row>
    <row r="51" spans="1:38" ht="11.25" customHeight="1">
      <c r="A51" s="250">
        <v>101</v>
      </c>
      <c r="B51" s="250" t="s">
        <v>1089</v>
      </c>
      <c r="C51" s="250" t="s">
        <v>1320</v>
      </c>
      <c r="D51" s="250">
        <v>29184</v>
      </c>
      <c r="E51" s="250" t="s">
        <v>1321</v>
      </c>
      <c r="F51" s="250">
        <v>6</v>
      </c>
      <c r="G51" s="250" t="s">
        <v>1091</v>
      </c>
      <c r="H51" s="253">
        <f t="shared" si="0"/>
        <v>48</v>
      </c>
      <c r="I51" s="253" t="str">
        <f>IF('School Level Expenditures'!$B$2=A51,'School Tables'!H51,"")</f>
        <v/>
      </c>
      <c r="J51" s="253" t="str">
        <f t="shared" si="1"/>
        <v/>
      </c>
      <c r="K51" s="254" t="b">
        <f t="shared" si="2"/>
        <v>0</v>
      </c>
      <c r="L51" s="250">
        <v>199</v>
      </c>
      <c r="M51" s="250" t="s">
        <v>1138</v>
      </c>
      <c r="N51" s="250" t="s">
        <v>1322</v>
      </c>
      <c r="O51" s="250">
        <v>26820</v>
      </c>
      <c r="P51" s="250" t="s">
        <v>1016</v>
      </c>
      <c r="Q51" s="250">
        <v>19</v>
      </c>
      <c r="R51" s="250" t="s">
        <v>1140</v>
      </c>
      <c r="S51" s="253">
        <f t="shared" si="3"/>
        <v>48</v>
      </c>
      <c r="T51" s="253" t="str">
        <f>IF('School Level Expenditures'!$B$2='School Tables'!L51,'School Tables'!S51,"")</f>
        <v/>
      </c>
      <c r="U51" s="253" t="str">
        <f t="shared" si="4"/>
        <v/>
      </c>
      <c r="V51" s="254" t="b">
        <f t="shared" si="5"/>
        <v>0</v>
      </c>
      <c r="W51" s="250">
        <v>319</v>
      </c>
      <c r="X51" s="250" t="s">
        <v>1284</v>
      </c>
      <c r="Y51" s="250" t="s">
        <v>1323</v>
      </c>
      <c r="Z51" s="250">
        <v>20490</v>
      </c>
      <c r="AA51" s="250" t="s">
        <v>1017</v>
      </c>
      <c r="AB51" s="250">
        <v>12</v>
      </c>
      <c r="AC51" s="250" t="s">
        <v>1286</v>
      </c>
      <c r="AD51" s="253">
        <f t="shared" si="6"/>
        <v>48</v>
      </c>
      <c r="AE51" s="253" t="str">
        <f>IF('School Level Expenditures'!$B$2='School Tables'!W51,'School Tables'!AD51,"")</f>
        <v/>
      </c>
      <c r="AF51" s="253" t="str">
        <f t="shared" si="7"/>
        <v/>
      </c>
      <c r="AG51" s="254" t="b">
        <f t="shared" si="9"/>
        <v>0</v>
      </c>
      <c r="AH51" s="135">
        <v>167</v>
      </c>
      <c r="AI51" s="135">
        <v>167</v>
      </c>
      <c r="AJ51" s="135" t="s">
        <v>1324</v>
      </c>
      <c r="AK51" s="135">
        <v>53</v>
      </c>
      <c r="AL51" s="135" t="s">
        <v>1035</v>
      </c>
    </row>
    <row r="52" spans="1:38" ht="11.25" customHeight="1">
      <c r="A52" s="250">
        <v>17</v>
      </c>
      <c r="B52" s="250" t="s">
        <v>1039</v>
      </c>
      <c r="C52" s="250" t="s">
        <v>1325</v>
      </c>
      <c r="D52" s="250">
        <v>21750</v>
      </c>
      <c r="E52" s="250" t="s">
        <v>505</v>
      </c>
      <c r="F52" s="250">
        <v>39</v>
      </c>
      <c r="G52" s="250" t="s">
        <v>1041</v>
      </c>
      <c r="H52" s="253">
        <f t="shared" si="0"/>
        <v>49</v>
      </c>
      <c r="I52" s="253" t="str">
        <f>IF('School Level Expenditures'!$B$2=A52,'School Tables'!H52,"")</f>
        <v/>
      </c>
      <c r="J52" s="253" t="str">
        <f t="shared" si="1"/>
        <v/>
      </c>
      <c r="K52" s="254" t="b">
        <f t="shared" si="2"/>
        <v>0</v>
      </c>
      <c r="L52" s="250">
        <v>388</v>
      </c>
      <c r="M52" s="250" t="s">
        <v>1220</v>
      </c>
      <c r="N52" s="250" t="s">
        <v>1326</v>
      </c>
      <c r="O52" s="250">
        <v>26680</v>
      </c>
      <c r="P52" s="250" t="s">
        <v>1016</v>
      </c>
      <c r="Q52" s="250">
        <v>4</v>
      </c>
      <c r="R52" s="250" t="s">
        <v>1222</v>
      </c>
      <c r="S52" s="253">
        <f t="shared" si="3"/>
        <v>49</v>
      </c>
      <c r="T52" s="253" t="str">
        <f>IF('School Level Expenditures'!$B$2='School Tables'!L52,'School Tables'!S52,"")</f>
        <v/>
      </c>
      <c r="U52" s="253" t="str">
        <f t="shared" si="4"/>
        <v/>
      </c>
      <c r="V52" s="254" t="b">
        <f t="shared" si="5"/>
        <v>0</v>
      </c>
      <c r="W52" s="250">
        <v>733</v>
      </c>
      <c r="X52" s="250" t="s">
        <v>1327</v>
      </c>
      <c r="Y52" s="250" t="s">
        <v>1328</v>
      </c>
      <c r="Z52" s="250">
        <v>29160</v>
      </c>
      <c r="AA52" s="250" t="s">
        <v>1017</v>
      </c>
      <c r="AB52" s="250">
        <v>418</v>
      </c>
      <c r="AC52" s="250" t="s">
        <v>1327</v>
      </c>
      <c r="AD52" s="253">
        <f t="shared" si="6"/>
        <v>49</v>
      </c>
      <c r="AE52" s="253" t="str">
        <f>IF('School Level Expenditures'!$B$2='School Tables'!W52,'School Tables'!AD52,"")</f>
        <v/>
      </c>
      <c r="AF52" s="253" t="str">
        <f t="shared" si="7"/>
        <v/>
      </c>
      <c r="AG52" s="254" t="b">
        <f t="shared" si="9"/>
        <v>0</v>
      </c>
      <c r="AH52" s="135">
        <v>171</v>
      </c>
      <c r="AI52" s="135">
        <v>171</v>
      </c>
      <c r="AJ52" s="135" t="s">
        <v>1329</v>
      </c>
      <c r="AK52" s="135">
        <v>20</v>
      </c>
      <c r="AL52" s="135" t="s">
        <v>1149</v>
      </c>
    </row>
    <row r="53" spans="1:38" ht="11.25" customHeight="1">
      <c r="A53" s="250">
        <v>105</v>
      </c>
      <c r="B53" s="250" t="s">
        <v>1103</v>
      </c>
      <c r="C53" s="250" t="s">
        <v>1330</v>
      </c>
      <c r="D53" s="250">
        <v>20195</v>
      </c>
      <c r="E53" s="250" t="s">
        <v>505</v>
      </c>
      <c r="F53" s="250">
        <v>7</v>
      </c>
      <c r="G53" s="250" t="s">
        <v>1105</v>
      </c>
      <c r="H53" s="253">
        <f t="shared" si="0"/>
        <v>50</v>
      </c>
      <c r="I53" s="253" t="str">
        <f>IF('School Level Expenditures'!$B$2=A53,'School Tables'!H53,"")</f>
        <v/>
      </c>
      <c r="J53" s="253" t="str">
        <f t="shared" si="1"/>
        <v/>
      </c>
      <c r="K53" s="254" t="b">
        <f t="shared" si="2"/>
        <v>0</v>
      </c>
      <c r="L53" s="250">
        <v>401</v>
      </c>
      <c r="M53" s="250" t="s">
        <v>1331</v>
      </c>
      <c r="N53" s="250" t="s">
        <v>1332</v>
      </c>
      <c r="O53" s="250">
        <v>26970</v>
      </c>
      <c r="P53" s="250" t="s">
        <v>1016</v>
      </c>
      <c r="Q53" s="250">
        <v>43</v>
      </c>
      <c r="R53" s="250" t="s">
        <v>1333</v>
      </c>
      <c r="S53" s="253">
        <f t="shared" si="3"/>
        <v>50</v>
      </c>
      <c r="T53" s="253" t="str">
        <f>IF('School Level Expenditures'!$B$2='School Tables'!L53,'School Tables'!S53,"")</f>
        <v/>
      </c>
      <c r="U53" s="253" t="str">
        <f t="shared" si="4"/>
        <v/>
      </c>
      <c r="V53" s="254" t="b">
        <f t="shared" si="5"/>
        <v>0</v>
      </c>
      <c r="W53" s="250">
        <v>335</v>
      </c>
      <c r="X53" s="250" t="s">
        <v>1123</v>
      </c>
      <c r="Y53" s="250" t="s">
        <v>1334</v>
      </c>
      <c r="Z53" s="250">
        <v>21510</v>
      </c>
      <c r="AA53" s="250" t="s">
        <v>1017</v>
      </c>
      <c r="AB53" s="250">
        <v>37</v>
      </c>
      <c r="AC53" s="250" t="s">
        <v>1125</v>
      </c>
      <c r="AD53" s="253">
        <f t="shared" si="6"/>
        <v>50</v>
      </c>
      <c r="AE53" s="253" t="str">
        <f>IF('School Level Expenditures'!$B$2='School Tables'!W53,'School Tables'!AD53,"")</f>
        <v/>
      </c>
      <c r="AF53" s="253" t="str">
        <f t="shared" si="7"/>
        <v/>
      </c>
      <c r="AG53" s="254" t="b">
        <f t="shared" si="9"/>
        <v>0</v>
      </c>
      <c r="AH53" s="135">
        <v>173</v>
      </c>
      <c r="AI53" s="135">
        <v>173</v>
      </c>
      <c r="AJ53" s="135" t="s">
        <v>1335</v>
      </c>
      <c r="AK53" s="135">
        <v>16</v>
      </c>
      <c r="AL53" s="135" t="s">
        <v>1096</v>
      </c>
    </row>
    <row r="54" spans="1:38" ht="11.25" customHeight="1">
      <c r="A54" s="250">
        <v>743</v>
      </c>
      <c r="B54" s="250" t="s">
        <v>1113</v>
      </c>
      <c r="C54" s="250" t="s">
        <v>1336</v>
      </c>
      <c r="D54" s="250">
        <v>29166</v>
      </c>
      <c r="E54" s="250" t="s">
        <v>505</v>
      </c>
      <c r="F54" s="250">
        <v>429</v>
      </c>
      <c r="G54" s="250" t="s">
        <v>1113</v>
      </c>
      <c r="H54" s="253">
        <f t="shared" si="0"/>
        <v>51</v>
      </c>
      <c r="I54" s="253" t="str">
        <f>IF('School Level Expenditures'!$B$2=A54,'School Tables'!H54,"")</f>
        <v/>
      </c>
      <c r="J54" s="253" t="str">
        <f t="shared" si="1"/>
        <v/>
      </c>
      <c r="K54" s="254" t="b">
        <f t="shared" si="2"/>
        <v>0</v>
      </c>
      <c r="L54" s="250">
        <v>703</v>
      </c>
      <c r="M54" s="250" t="s">
        <v>1337</v>
      </c>
      <c r="N54" s="250" t="s">
        <v>1338</v>
      </c>
      <c r="O54" s="250">
        <v>28505</v>
      </c>
      <c r="P54" s="250" t="s">
        <v>1016</v>
      </c>
      <c r="Q54" s="250">
        <v>402</v>
      </c>
      <c r="R54" s="250" t="s">
        <v>1337</v>
      </c>
      <c r="S54" s="253">
        <f t="shared" si="3"/>
        <v>51</v>
      </c>
      <c r="T54" s="253" t="str">
        <f>IF('School Level Expenditures'!$B$2='School Tables'!L54,'School Tables'!S54,"")</f>
        <v/>
      </c>
      <c r="U54" s="253" t="str">
        <f t="shared" si="4"/>
        <v/>
      </c>
      <c r="V54" s="254" t="b">
        <f t="shared" si="5"/>
        <v>0</v>
      </c>
      <c r="W54" s="250">
        <v>335</v>
      </c>
      <c r="X54" s="250" t="s">
        <v>1123</v>
      </c>
      <c r="Y54" s="250" t="s">
        <v>1339</v>
      </c>
      <c r="Z54" s="250">
        <v>21505</v>
      </c>
      <c r="AA54" s="250" t="s">
        <v>1017</v>
      </c>
      <c r="AB54" s="250">
        <v>37</v>
      </c>
      <c r="AC54" s="250" t="s">
        <v>1125</v>
      </c>
      <c r="AD54" s="253">
        <f t="shared" si="6"/>
        <v>51</v>
      </c>
      <c r="AE54" s="253" t="str">
        <f>IF('School Level Expenditures'!$B$2='School Tables'!W54,'School Tables'!AD54,"")</f>
        <v/>
      </c>
      <c r="AF54" s="253" t="str">
        <f t="shared" si="7"/>
        <v/>
      </c>
      <c r="AG54" s="254" t="b">
        <f t="shared" si="9"/>
        <v>0</v>
      </c>
      <c r="AH54" s="135">
        <v>172</v>
      </c>
      <c r="AI54" s="135">
        <v>0</v>
      </c>
      <c r="AJ54" s="135" t="s">
        <v>1094</v>
      </c>
      <c r="AK54" s="135">
        <v>16</v>
      </c>
      <c r="AL54" s="135" t="s">
        <v>1096</v>
      </c>
    </row>
    <row r="55" spans="1:38" ht="11.25" customHeight="1">
      <c r="A55" s="250">
        <v>113</v>
      </c>
      <c r="B55" s="250" t="s">
        <v>1022</v>
      </c>
      <c r="C55" s="250" t="s">
        <v>1340</v>
      </c>
      <c r="D55" s="250">
        <v>20340</v>
      </c>
      <c r="E55" s="250" t="s">
        <v>505</v>
      </c>
      <c r="F55" s="250">
        <v>9</v>
      </c>
      <c r="G55" s="250" t="s">
        <v>1024</v>
      </c>
      <c r="H55" s="253">
        <f t="shared" si="0"/>
        <v>52</v>
      </c>
      <c r="I55" s="253" t="str">
        <f>IF('School Level Expenditures'!$B$2=A55,'School Tables'!H55,"")</f>
        <v/>
      </c>
      <c r="J55" s="253" t="str">
        <f t="shared" si="1"/>
        <v/>
      </c>
      <c r="K55" s="254" t="b">
        <f t="shared" si="2"/>
        <v>0</v>
      </c>
      <c r="L55" s="250">
        <v>359</v>
      </c>
      <c r="M55" s="250" t="s">
        <v>1341</v>
      </c>
      <c r="N55" s="250" t="s">
        <v>1342</v>
      </c>
      <c r="O55" s="250">
        <v>26540</v>
      </c>
      <c r="P55" s="250" t="s">
        <v>1016</v>
      </c>
      <c r="Q55" s="250">
        <v>64</v>
      </c>
      <c r="R55" s="250" t="s">
        <v>1343</v>
      </c>
      <c r="S55" s="253">
        <f t="shared" si="3"/>
        <v>52</v>
      </c>
      <c r="T55" s="253" t="str">
        <f>IF('School Level Expenditures'!$B$2='School Tables'!L55,'School Tables'!S55,"")</f>
        <v/>
      </c>
      <c r="U55" s="253" t="str">
        <f t="shared" si="4"/>
        <v/>
      </c>
      <c r="V55" s="254" t="b">
        <f t="shared" si="5"/>
        <v>0</v>
      </c>
      <c r="W55" s="250">
        <v>335</v>
      </c>
      <c r="X55" s="250" t="s">
        <v>1123</v>
      </c>
      <c r="Y55" s="250" t="s">
        <v>1344</v>
      </c>
      <c r="Z55" s="250">
        <v>29085</v>
      </c>
      <c r="AA55" s="250" t="s">
        <v>1017</v>
      </c>
      <c r="AB55" s="250">
        <v>37</v>
      </c>
      <c r="AC55" s="250" t="s">
        <v>1125</v>
      </c>
      <c r="AD55" s="253">
        <f t="shared" si="6"/>
        <v>52</v>
      </c>
      <c r="AE55" s="253" t="str">
        <f>IF('School Level Expenditures'!$B$2='School Tables'!W55,'School Tables'!AD55,"")</f>
        <v/>
      </c>
      <c r="AF55" s="253" t="str">
        <f t="shared" si="7"/>
        <v/>
      </c>
      <c r="AG55" s="254" t="b">
        <f t="shared" si="9"/>
        <v>0</v>
      </c>
      <c r="AH55" s="135">
        <v>174</v>
      </c>
      <c r="AI55" s="135">
        <v>0</v>
      </c>
      <c r="AJ55" s="135" t="s">
        <v>1027</v>
      </c>
      <c r="AK55" s="135">
        <v>60</v>
      </c>
      <c r="AL55" s="135" t="s">
        <v>1029</v>
      </c>
    </row>
    <row r="56" spans="1:38" ht="11.25" customHeight="1">
      <c r="A56" s="250">
        <v>115</v>
      </c>
      <c r="B56" s="250" t="s">
        <v>1255</v>
      </c>
      <c r="C56" s="250" t="s">
        <v>1345</v>
      </c>
      <c r="D56" s="250">
        <v>20175</v>
      </c>
      <c r="E56" s="250" t="s">
        <v>505</v>
      </c>
      <c r="F56" s="250">
        <v>100</v>
      </c>
      <c r="G56" s="250" t="s">
        <v>1256</v>
      </c>
      <c r="H56" s="253">
        <f t="shared" si="0"/>
        <v>53</v>
      </c>
      <c r="I56" s="253" t="str">
        <f>IF('School Level Expenditures'!$B$2=A56,'School Tables'!H56,"")</f>
        <v/>
      </c>
      <c r="J56" s="253" t="str">
        <f t="shared" si="1"/>
        <v/>
      </c>
      <c r="K56" s="254" t="b">
        <f t="shared" si="2"/>
        <v>0</v>
      </c>
      <c r="L56" s="250">
        <v>423</v>
      </c>
      <c r="M56" s="250" t="s">
        <v>1346</v>
      </c>
      <c r="N56" s="250" t="s">
        <v>1347</v>
      </c>
      <c r="O56" s="250">
        <v>22790</v>
      </c>
      <c r="P56" s="250" t="s">
        <v>1016</v>
      </c>
      <c r="Q56" s="250">
        <v>5</v>
      </c>
      <c r="R56" s="250" t="s">
        <v>1348</v>
      </c>
      <c r="S56" s="253">
        <f t="shared" si="3"/>
        <v>53</v>
      </c>
      <c r="T56" s="253" t="str">
        <f>IF('School Level Expenditures'!$B$2='School Tables'!L56,'School Tables'!S56,"")</f>
        <v/>
      </c>
      <c r="U56" s="253" t="str">
        <f t="shared" si="4"/>
        <v/>
      </c>
      <c r="V56" s="254" t="b">
        <f t="shared" si="5"/>
        <v>0</v>
      </c>
      <c r="W56" s="250">
        <v>335</v>
      </c>
      <c r="X56" s="250" t="s">
        <v>1123</v>
      </c>
      <c r="Y56" s="250" t="s">
        <v>1349</v>
      </c>
      <c r="Z56" s="250">
        <v>21555</v>
      </c>
      <c r="AA56" s="250" t="s">
        <v>1017</v>
      </c>
      <c r="AB56" s="250">
        <v>37</v>
      </c>
      <c r="AC56" s="250" t="s">
        <v>1125</v>
      </c>
      <c r="AD56" s="253">
        <f t="shared" si="6"/>
        <v>53</v>
      </c>
      <c r="AE56" s="253" t="str">
        <f>IF('School Level Expenditures'!$B$2='School Tables'!W56,'School Tables'!AD56,"")</f>
        <v/>
      </c>
      <c r="AF56" s="253" t="str">
        <f t="shared" si="7"/>
        <v/>
      </c>
      <c r="AG56" s="254" t="b">
        <f t="shared" si="9"/>
        <v>0</v>
      </c>
      <c r="AH56" s="135">
        <v>175</v>
      </c>
      <c r="AI56" s="135">
        <v>175</v>
      </c>
      <c r="AJ56" s="135" t="s">
        <v>1161</v>
      </c>
      <c r="AK56" s="135">
        <v>61</v>
      </c>
      <c r="AL56" s="135" t="s">
        <v>1163</v>
      </c>
    </row>
    <row r="57" spans="1:38" ht="11.25" customHeight="1">
      <c r="A57" s="250">
        <v>208</v>
      </c>
      <c r="B57" s="250" t="s">
        <v>1240</v>
      </c>
      <c r="C57" s="250" t="s">
        <v>1350</v>
      </c>
      <c r="D57" s="250">
        <v>27515</v>
      </c>
      <c r="E57" s="250" t="s">
        <v>505</v>
      </c>
      <c r="F57" s="250">
        <v>49</v>
      </c>
      <c r="G57" s="250" t="s">
        <v>1242</v>
      </c>
      <c r="H57" s="253">
        <f t="shared" si="0"/>
        <v>54</v>
      </c>
      <c r="I57" s="253" t="str">
        <f>IF('School Level Expenditures'!$B$2=A57,'School Tables'!H57,"")</f>
        <v/>
      </c>
      <c r="J57" s="253" t="str">
        <f t="shared" si="1"/>
        <v/>
      </c>
      <c r="K57" s="254" t="b">
        <f t="shared" si="2"/>
        <v>0</v>
      </c>
      <c r="L57" s="250">
        <v>371</v>
      </c>
      <c r="M57" s="250" t="s">
        <v>1068</v>
      </c>
      <c r="N57" s="250" t="s">
        <v>1351</v>
      </c>
      <c r="O57" s="250">
        <v>21825</v>
      </c>
      <c r="P57" s="250" t="s">
        <v>1016</v>
      </c>
      <c r="Q57" s="250">
        <v>42</v>
      </c>
      <c r="R57" s="250" t="s">
        <v>1070</v>
      </c>
      <c r="S57" s="253">
        <f t="shared" si="3"/>
        <v>54</v>
      </c>
      <c r="T57" s="253" t="str">
        <f>IF('School Level Expenditures'!$B$2='School Tables'!L57,'School Tables'!S57,"")</f>
        <v/>
      </c>
      <c r="U57" s="253" t="str">
        <f t="shared" si="4"/>
        <v/>
      </c>
      <c r="V57" s="254" t="b">
        <f t="shared" si="5"/>
        <v>0</v>
      </c>
      <c r="W57" s="250">
        <v>342</v>
      </c>
      <c r="X57" s="250" t="s">
        <v>1078</v>
      </c>
      <c r="Y57" s="250" t="s">
        <v>1352</v>
      </c>
      <c r="Z57" s="250">
        <v>23050</v>
      </c>
      <c r="AA57" s="250" t="s">
        <v>1017</v>
      </c>
      <c r="AB57" s="250">
        <v>87</v>
      </c>
      <c r="AC57" s="250" t="s">
        <v>1080</v>
      </c>
      <c r="AD57" s="253">
        <f t="shared" si="6"/>
        <v>54</v>
      </c>
      <c r="AE57" s="253" t="str">
        <f>IF('School Level Expenditures'!$B$2='School Tables'!W57,'School Tables'!AD57,"")</f>
        <v/>
      </c>
      <c r="AF57" s="253" t="str">
        <f t="shared" si="7"/>
        <v/>
      </c>
      <c r="AG57" s="254" t="b">
        <f t="shared" si="9"/>
        <v>0</v>
      </c>
      <c r="AH57" s="135">
        <v>185</v>
      </c>
      <c r="AI57" s="135">
        <v>185</v>
      </c>
      <c r="AJ57" s="135" t="s">
        <v>1169</v>
      </c>
      <c r="AK57" s="135">
        <v>18</v>
      </c>
      <c r="AL57" s="135" t="s">
        <v>1171</v>
      </c>
    </row>
    <row r="58" spans="1:38" ht="11.25" customHeight="1">
      <c r="A58" s="250">
        <v>117</v>
      </c>
      <c r="B58" s="250" t="s">
        <v>1262</v>
      </c>
      <c r="C58" s="250" t="s">
        <v>1353</v>
      </c>
      <c r="D58" s="250">
        <v>21960</v>
      </c>
      <c r="E58" s="250" t="s">
        <v>505</v>
      </c>
      <c r="F58" s="250">
        <v>99</v>
      </c>
      <c r="G58" s="250" t="s">
        <v>1263</v>
      </c>
      <c r="H58" s="253">
        <f t="shared" si="0"/>
        <v>55</v>
      </c>
      <c r="I58" s="253" t="str">
        <f>IF('School Level Expenditures'!$B$2=A58,'School Tables'!H58,"")</f>
        <v/>
      </c>
      <c r="J58" s="253" t="str">
        <f t="shared" si="1"/>
        <v/>
      </c>
      <c r="K58" s="254" t="b">
        <f t="shared" si="2"/>
        <v>0</v>
      </c>
      <c r="L58" s="250">
        <v>439</v>
      </c>
      <c r="M58" s="250" t="s">
        <v>1354</v>
      </c>
      <c r="N58" s="250" t="s">
        <v>1355</v>
      </c>
      <c r="O58" s="250">
        <v>26550</v>
      </c>
      <c r="P58" s="250" t="s">
        <v>1016</v>
      </c>
      <c r="Q58" s="250">
        <v>51</v>
      </c>
      <c r="R58" s="250" t="s">
        <v>1356</v>
      </c>
      <c r="S58" s="253">
        <f t="shared" si="3"/>
        <v>55</v>
      </c>
      <c r="T58" s="253" t="str">
        <f>IF('School Level Expenditures'!$B$2='School Tables'!L58,'School Tables'!S58,"")</f>
        <v/>
      </c>
      <c r="U58" s="253" t="str">
        <f t="shared" si="4"/>
        <v/>
      </c>
      <c r="V58" s="254" t="b">
        <f t="shared" si="5"/>
        <v>0</v>
      </c>
      <c r="W58" s="250">
        <v>343</v>
      </c>
      <c r="X58" s="250" t="s">
        <v>1247</v>
      </c>
      <c r="Y58" s="250" t="s">
        <v>1357</v>
      </c>
      <c r="Z58" s="250">
        <v>21305</v>
      </c>
      <c r="AA58" s="250" t="s">
        <v>1017</v>
      </c>
      <c r="AB58" s="250">
        <v>62</v>
      </c>
      <c r="AC58" s="250" t="s">
        <v>1249</v>
      </c>
      <c r="AD58" s="253">
        <f t="shared" si="6"/>
        <v>55</v>
      </c>
      <c r="AE58" s="253" t="str">
        <f>IF('School Level Expenditures'!$B$2='School Tables'!W58,'School Tables'!AD58,"")</f>
        <v/>
      </c>
      <c r="AF58" s="253" t="str">
        <f t="shared" si="7"/>
        <v/>
      </c>
      <c r="AG58" s="254" t="b">
        <f t="shared" si="9"/>
        <v>0</v>
      </c>
      <c r="AH58" s="135">
        <v>187</v>
      </c>
      <c r="AI58" s="135">
        <v>187</v>
      </c>
      <c r="AJ58" s="135" t="s">
        <v>1358</v>
      </c>
      <c r="AK58" s="135">
        <v>13</v>
      </c>
      <c r="AL58" s="135" t="s">
        <v>1359</v>
      </c>
    </row>
    <row r="59" spans="1:38" ht="11.25" customHeight="1">
      <c r="A59" s="250">
        <v>363</v>
      </c>
      <c r="B59" s="250" t="s">
        <v>1308</v>
      </c>
      <c r="C59" s="250" t="s">
        <v>1360</v>
      </c>
      <c r="D59" s="250">
        <v>21715</v>
      </c>
      <c r="E59" s="250" t="s">
        <v>505</v>
      </c>
      <c r="F59" s="250">
        <v>93</v>
      </c>
      <c r="G59" s="250" t="s">
        <v>1310</v>
      </c>
      <c r="H59" s="253">
        <f t="shared" si="0"/>
        <v>56</v>
      </c>
      <c r="I59" s="253" t="str">
        <f>IF('School Level Expenditures'!$B$2=A59,'School Tables'!H59,"")</f>
        <v/>
      </c>
      <c r="J59" s="253" t="str">
        <f t="shared" si="1"/>
        <v/>
      </c>
      <c r="K59" s="254" t="b">
        <f t="shared" si="2"/>
        <v>0</v>
      </c>
      <c r="L59" s="250">
        <v>449</v>
      </c>
      <c r="M59" s="250" t="s">
        <v>1361</v>
      </c>
      <c r="N59" s="250" t="s">
        <v>1362</v>
      </c>
      <c r="O59" s="250">
        <v>22510</v>
      </c>
      <c r="P59" s="250" t="s">
        <v>1016</v>
      </c>
      <c r="Q59" s="250">
        <v>52</v>
      </c>
      <c r="R59" s="250" t="s">
        <v>1363</v>
      </c>
      <c r="S59" s="253">
        <f t="shared" si="3"/>
        <v>56</v>
      </c>
      <c r="T59" s="253" t="str">
        <f>IF('School Level Expenditures'!$B$2='School Tables'!L59,'School Tables'!S59,"")</f>
        <v/>
      </c>
      <c r="U59" s="253" t="str">
        <f t="shared" si="4"/>
        <v/>
      </c>
      <c r="V59" s="254" t="b">
        <f t="shared" si="5"/>
        <v>0</v>
      </c>
      <c r="W59" s="250">
        <v>351</v>
      </c>
      <c r="X59" s="250" t="s">
        <v>1289</v>
      </c>
      <c r="Y59" s="250" t="s">
        <v>1364</v>
      </c>
      <c r="Z59" s="250">
        <v>21040</v>
      </c>
      <c r="AA59" s="250" t="s">
        <v>1017</v>
      </c>
      <c r="AB59" s="250">
        <v>26</v>
      </c>
      <c r="AC59" s="250" t="s">
        <v>1291</v>
      </c>
      <c r="AD59" s="253">
        <f t="shared" si="6"/>
        <v>56</v>
      </c>
      <c r="AE59" s="253" t="str">
        <f>IF('School Level Expenditures'!$B$2='School Tables'!W59,'School Tables'!AD59,"")</f>
        <v/>
      </c>
      <c r="AF59" s="253" t="str">
        <f t="shared" si="7"/>
        <v/>
      </c>
      <c r="AG59" s="254" t="b">
        <f t="shared" si="9"/>
        <v>0</v>
      </c>
      <c r="AH59" s="135">
        <v>189</v>
      </c>
      <c r="AI59" s="135">
        <v>189</v>
      </c>
      <c r="AJ59" s="135" t="s">
        <v>1365</v>
      </c>
      <c r="AK59" s="135">
        <v>83</v>
      </c>
      <c r="AL59" s="135" t="s">
        <v>1366</v>
      </c>
    </row>
    <row r="60" spans="1:38" ht="11.25" customHeight="1">
      <c r="A60" s="250">
        <v>388</v>
      </c>
      <c r="B60" s="250" t="s">
        <v>1220</v>
      </c>
      <c r="C60" s="250" t="s">
        <v>1367</v>
      </c>
      <c r="D60" s="250">
        <v>20095</v>
      </c>
      <c r="E60" s="250" t="s">
        <v>505</v>
      </c>
      <c r="F60" s="250">
        <v>4</v>
      </c>
      <c r="G60" s="250" t="s">
        <v>1222</v>
      </c>
      <c r="H60" s="253">
        <f t="shared" si="0"/>
        <v>57</v>
      </c>
      <c r="I60" s="253" t="str">
        <f>IF('School Level Expenditures'!$B$2=A60,'School Tables'!H60,"")</f>
        <v/>
      </c>
      <c r="J60" s="253" t="str">
        <f t="shared" si="1"/>
        <v/>
      </c>
      <c r="K60" s="254" t="b">
        <f t="shared" si="2"/>
        <v>0</v>
      </c>
      <c r="L60" s="250">
        <v>450</v>
      </c>
      <c r="M60" s="250" t="s">
        <v>1368</v>
      </c>
      <c r="N60" s="250" t="s">
        <v>1369</v>
      </c>
      <c r="O60" s="250">
        <v>26990</v>
      </c>
      <c r="P60" s="250" t="s">
        <v>1016</v>
      </c>
      <c r="Q60" s="250">
        <v>35</v>
      </c>
      <c r="R60" s="250" t="s">
        <v>1132</v>
      </c>
      <c r="S60" s="253">
        <f t="shared" si="3"/>
        <v>57</v>
      </c>
      <c r="T60" s="253" t="str">
        <f>IF('School Level Expenditures'!$B$2='School Tables'!L60,'School Tables'!S60,"")</f>
        <v/>
      </c>
      <c r="U60" s="253" t="str">
        <f t="shared" si="4"/>
        <v/>
      </c>
      <c r="V60" s="254" t="b">
        <f t="shared" si="5"/>
        <v>0</v>
      </c>
      <c r="W60" s="250">
        <v>352</v>
      </c>
      <c r="X60" s="250" t="s">
        <v>1207</v>
      </c>
      <c r="Y60" s="250" t="s">
        <v>1370</v>
      </c>
      <c r="Z60" s="250">
        <v>22195</v>
      </c>
      <c r="AA60" s="250" t="s">
        <v>1017</v>
      </c>
      <c r="AB60" s="250">
        <v>46</v>
      </c>
      <c r="AC60" s="250" t="s">
        <v>1060</v>
      </c>
      <c r="AD60" s="253">
        <f t="shared" si="6"/>
        <v>57</v>
      </c>
      <c r="AE60" s="253" t="str">
        <f>IF('School Level Expenditures'!$B$2='School Tables'!W60,'School Tables'!AD60,"")</f>
        <v/>
      </c>
      <c r="AF60" s="253" t="str">
        <f t="shared" si="7"/>
        <v/>
      </c>
      <c r="AG60" s="254" t="b">
        <f t="shared" si="9"/>
        <v>0</v>
      </c>
      <c r="AH60" s="253">
        <v>742</v>
      </c>
      <c r="AI60" s="253">
        <v>742</v>
      </c>
      <c r="AJ60" s="253" t="s">
        <v>1371</v>
      </c>
      <c r="AK60" s="253">
        <v>425</v>
      </c>
      <c r="AL60" s="253" t="s">
        <v>1371</v>
      </c>
    </row>
    <row r="61" spans="1:38" ht="11.25" customHeight="1">
      <c r="A61" s="250">
        <v>476</v>
      </c>
      <c r="B61" s="250" t="s">
        <v>1372</v>
      </c>
      <c r="C61" s="250" t="s">
        <v>1373</v>
      </c>
      <c r="D61" s="250">
        <v>20625</v>
      </c>
      <c r="E61" s="250" t="s">
        <v>505</v>
      </c>
      <c r="F61" s="250">
        <v>17</v>
      </c>
      <c r="G61" s="250" t="s">
        <v>1374</v>
      </c>
      <c r="H61" s="253">
        <f t="shared" si="0"/>
        <v>58</v>
      </c>
      <c r="I61" s="253" t="str">
        <f>IF('School Level Expenditures'!$B$2=A61,'School Tables'!H61,"")</f>
        <v/>
      </c>
      <c r="J61" s="253" t="str">
        <f t="shared" si="1"/>
        <v/>
      </c>
      <c r="K61" s="254" t="b">
        <f t="shared" si="2"/>
        <v>0</v>
      </c>
      <c r="L61" s="250">
        <v>461</v>
      </c>
      <c r="M61" s="250" t="s">
        <v>1072</v>
      </c>
      <c r="N61" s="250" t="s">
        <v>1375</v>
      </c>
      <c r="O61" s="250">
        <v>22705</v>
      </c>
      <c r="P61" s="250" t="s">
        <v>1016</v>
      </c>
      <c r="Q61" s="250">
        <v>54</v>
      </c>
      <c r="R61" s="250" t="s">
        <v>1074</v>
      </c>
      <c r="S61" s="253">
        <f t="shared" si="3"/>
        <v>58</v>
      </c>
      <c r="T61" s="253" t="str">
        <f>IF('School Level Expenditures'!$B$2='School Tables'!L61,'School Tables'!S61,"")</f>
        <v/>
      </c>
      <c r="U61" s="253" t="str">
        <f t="shared" si="4"/>
        <v/>
      </c>
      <c r="V61" s="254" t="b">
        <f t="shared" si="5"/>
        <v>0</v>
      </c>
      <c r="W61" s="250">
        <v>357</v>
      </c>
      <c r="X61" s="250" t="s">
        <v>781</v>
      </c>
      <c r="Y61" s="250" t="s">
        <v>1376</v>
      </c>
      <c r="Z61" s="250">
        <v>21765</v>
      </c>
      <c r="AA61" s="250" t="s">
        <v>1017</v>
      </c>
      <c r="AB61" s="250">
        <v>40</v>
      </c>
      <c r="AC61" s="250" t="s">
        <v>1304</v>
      </c>
      <c r="AD61" s="253">
        <f t="shared" si="6"/>
        <v>58</v>
      </c>
      <c r="AE61" s="253" t="str">
        <f>IF('School Level Expenditures'!$B$2='School Tables'!W61,'School Tables'!AD61,"")</f>
        <v/>
      </c>
      <c r="AF61" s="253" t="str">
        <f t="shared" si="7"/>
        <v/>
      </c>
      <c r="AG61" s="254" t="b">
        <f t="shared" si="9"/>
        <v>0</v>
      </c>
      <c r="AH61" s="253">
        <v>750</v>
      </c>
      <c r="AI61" s="253">
        <v>750</v>
      </c>
      <c r="AJ61" s="253" t="s">
        <v>1176</v>
      </c>
      <c r="AK61" s="253">
        <v>450</v>
      </c>
      <c r="AL61" s="253" t="s">
        <v>1178</v>
      </c>
    </row>
    <row r="62" spans="1:38" ht="11.25" customHeight="1">
      <c r="A62" s="250">
        <v>534</v>
      </c>
      <c r="B62" s="250" t="s">
        <v>1108</v>
      </c>
      <c r="C62" s="250" t="s">
        <v>1377</v>
      </c>
      <c r="D62" s="250">
        <v>22745</v>
      </c>
      <c r="E62" s="250" t="s">
        <v>505</v>
      </c>
      <c r="F62" s="250">
        <v>106</v>
      </c>
      <c r="G62" s="250" t="s">
        <v>1110</v>
      </c>
      <c r="H62" s="253">
        <f t="shared" si="0"/>
        <v>59</v>
      </c>
      <c r="I62" s="253" t="str">
        <f>IF('School Level Expenditures'!$B$2=A62,'School Tables'!H62,"")</f>
        <v/>
      </c>
      <c r="J62" s="253" t="str">
        <f t="shared" si="1"/>
        <v/>
      </c>
      <c r="K62" s="254" t="b">
        <f t="shared" si="2"/>
        <v>0</v>
      </c>
      <c r="L62" s="250">
        <v>41</v>
      </c>
      <c r="M62" s="250" t="s">
        <v>1042</v>
      </c>
      <c r="N62" s="250" t="s">
        <v>1378</v>
      </c>
      <c r="O62" s="250">
        <v>28560</v>
      </c>
      <c r="P62" s="250" t="s">
        <v>1016</v>
      </c>
      <c r="Q62" s="250">
        <v>25</v>
      </c>
      <c r="R62" s="250" t="s">
        <v>1044</v>
      </c>
      <c r="S62" s="253">
        <f t="shared" si="3"/>
        <v>59</v>
      </c>
      <c r="T62" s="253" t="str">
        <f>IF('School Level Expenditures'!$B$2='School Tables'!L62,'School Tables'!S62,"")</f>
        <v/>
      </c>
      <c r="U62" s="253" t="str">
        <f t="shared" si="4"/>
        <v/>
      </c>
      <c r="V62" s="254" t="b">
        <f t="shared" si="5"/>
        <v>0</v>
      </c>
      <c r="W62" s="250">
        <v>363</v>
      </c>
      <c r="X62" s="250" t="s">
        <v>1308</v>
      </c>
      <c r="Y62" s="250" t="s">
        <v>1379</v>
      </c>
      <c r="Z62" s="250">
        <v>21700</v>
      </c>
      <c r="AA62" s="250" t="s">
        <v>1017</v>
      </c>
      <c r="AB62" s="250">
        <v>93</v>
      </c>
      <c r="AC62" s="250" t="s">
        <v>1310</v>
      </c>
      <c r="AD62" s="253">
        <f t="shared" si="6"/>
        <v>59</v>
      </c>
      <c r="AE62" s="253" t="str">
        <f>IF('School Level Expenditures'!$B$2='School Tables'!W62,'School Tables'!AD62,"")</f>
        <v/>
      </c>
      <c r="AF62" s="253" t="str">
        <f t="shared" si="7"/>
        <v/>
      </c>
      <c r="AG62" s="254" t="b">
        <f t="shared" si="9"/>
        <v>0</v>
      </c>
      <c r="AH62" s="135">
        <v>191</v>
      </c>
      <c r="AI62" s="135">
        <v>191</v>
      </c>
      <c r="AJ62" s="135" t="s">
        <v>1141</v>
      </c>
      <c r="AK62" s="135">
        <v>73</v>
      </c>
      <c r="AL62" s="135" t="s">
        <v>1143</v>
      </c>
    </row>
    <row r="63" spans="1:38" ht="11.25" customHeight="1">
      <c r="A63" s="250">
        <v>127</v>
      </c>
      <c r="B63" s="250" t="s">
        <v>1274</v>
      </c>
      <c r="C63" s="250" t="s">
        <v>1380</v>
      </c>
      <c r="D63" s="250">
        <v>22595</v>
      </c>
      <c r="E63" s="250" t="s">
        <v>505</v>
      </c>
      <c r="F63" s="250">
        <v>53</v>
      </c>
      <c r="G63" s="250" t="s">
        <v>1035</v>
      </c>
      <c r="H63" s="253">
        <f t="shared" si="0"/>
        <v>60</v>
      </c>
      <c r="I63" s="253" t="str">
        <f>IF('School Level Expenditures'!$B$2=A63,'School Tables'!H63,"")</f>
        <v/>
      </c>
      <c r="J63" s="253" t="str">
        <f t="shared" si="1"/>
        <v/>
      </c>
      <c r="K63" s="254" t="b">
        <f t="shared" si="2"/>
        <v>0</v>
      </c>
      <c r="L63" s="250">
        <v>111</v>
      </c>
      <c r="M63" s="250" t="s">
        <v>1019</v>
      </c>
      <c r="N63" s="250" t="s">
        <v>1381</v>
      </c>
      <c r="O63" s="250">
        <v>20270</v>
      </c>
      <c r="P63" s="250" t="s">
        <v>1016</v>
      </c>
      <c r="Q63" s="250">
        <v>8</v>
      </c>
      <c r="R63" s="250" t="s">
        <v>1021</v>
      </c>
      <c r="S63" s="253">
        <f t="shared" si="3"/>
        <v>60</v>
      </c>
      <c r="T63" s="253" t="str">
        <f>IF('School Level Expenditures'!$B$2='School Tables'!L63,'School Tables'!S63,"")</f>
        <v/>
      </c>
      <c r="U63" s="253" t="str">
        <f t="shared" si="4"/>
        <v/>
      </c>
      <c r="V63" s="254" t="b">
        <f t="shared" si="5"/>
        <v>0</v>
      </c>
      <c r="W63" s="250">
        <v>369</v>
      </c>
      <c r="X63" s="250" t="s">
        <v>1314</v>
      </c>
      <c r="Y63" s="250" t="s">
        <v>1382</v>
      </c>
      <c r="Z63" s="250">
        <v>22120</v>
      </c>
      <c r="AA63" s="250" t="s">
        <v>1017</v>
      </c>
      <c r="AB63" s="250">
        <v>45</v>
      </c>
      <c r="AC63" s="250" t="s">
        <v>1316</v>
      </c>
      <c r="AD63" s="253">
        <f t="shared" si="6"/>
        <v>60</v>
      </c>
      <c r="AE63" s="253" t="str">
        <f>IF('School Level Expenditures'!$B$2='School Tables'!W63,'School Tables'!AD63,"")</f>
        <v/>
      </c>
      <c r="AF63" s="253" t="str">
        <f t="shared" si="7"/>
        <v/>
      </c>
      <c r="AG63" s="254" t="b">
        <f t="shared" si="9"/>
        <v>0</v>
      </c>
      <c r="AH63" s="135">
        <v>195</v>
      </c>
      <c r="AI63" s="135">
        <v>195</v>
      </c>
      <c r="AJ63" s="135" t="s">
        <v>1383</v>
      </c>
      <c r="AK63" s="135">
        <v>79</v>
      </c>
      <c r="AL63" s="135" t="s">
        <v>1384</v>
      </c>
    </row>
    <row r="64" spans="1:38" ht="11.25" customHeight="1">
      <c r="A64" s="250">
        <v>131</v>
      </c>
      <c r="B64" s="250" t="s">
        <v>1134</v>
      </c>
      <c r="C64" s="250" t="s">
        <v>1385</v>
      </c>
      <c r="D64" s="250">
        <v>29156</v>
      </c>
      <c r="E64" s="250" t="s">
        <v>1321</v>
      </c>
      <c r="F64" s="250">
        <v>10</v>
      </c>
      <c r="G64" s="250" t="s">
        <v>1136</v>
      </c>
      <c r="H64" s="253">
        <f t="shared" si="0"/>
        <v>61</v>
      </c>
      <c r="I64" s="253" t="str">
        <f>IF('School Level Expenditures'!$B$2=A64,'School Tables'!H64,"")</f>
        <v/>
      </c>
      <c r="J64" s="253" t="str">
        <f t="shared" si="1"/>
        <v/>
      </c>
      <c r="K64" s="254" t="b">
        <f t="shared" si="2"/>
        <v>0</v>
      </c>
      <c r="L64" s="250">
        <v>476</v>
      </c>
      <c r="M64" s="250" t="s">
        <v>1372</v>
      </c>
      <c r="N64" s="250" t="s">
        <v>1386</v>
      </c>
      <c r="O64" s="250">
        <v>20630</v>
      </c>
      <c r="P64" s="250" t="s">
        <v>1016</v>
      </c>
      <c r="Q64" s="250">
        <v>17</v>
      </c>
      <c r="R64" s="250" t="s">
        <v>1374</v>
      </c>
      <c r="S64" s="253">
        <f t="shared" si="3"/>
        <v>61</v>
      </c>
      <c r="T64" s="253" t="str">
        <f>IF('School Level Expenditures'!$B$2='School Tables'!L64,'School Tables'!S64,"")</f>
        <v/>
      </c>
      <c r="U64" s="253" t="str">
        <f t="shared" si="4"/>
        <v/>
      </c>
      <c r="V64" s="254" t="b">
        <f t="shared" si="5"/>
        <v>0</v>
      </c>
      <c r="W64" s="250">
        <v>371</v>
      </c>
      <c r="X64" s="250" t="s">
        <v>1068</v>
      </c>
      <c r="Y64" s="250" t="s">
        <v>1387</v>
      </c>
      <c r="Z64" s="250">
        <v>27960</v>
      </c>
      <c r="AA64" s="250" t="s">
        <v>1017</v>
      </c>
      <c r="AB64" s="250">
        <v>42</v>
      </c>
      <c r="AC64" s="250" t="s">
        <v>1070</v>
      </c>
      <c r="AD64" s="253">
        <f t="shared" si="6"/>
        <v>61</v>
      </c>
      <c r="AE64" s="253" t="str">
        <f>IF('School Level Expenditures'!$B$2='School Tables'!W64,'School Tables'!AD64,"")</f>
        <v/>
      </c>
      <c r="AF64" s="253" t="str">
        <f t="shared" si="7"/>
        <v/>
      </c>
      <c r="AG64" s="254" t="b">
        <f t="shared" si="9"/>
        <v>0</v>
      </c>
      <c r="AH64" s="135">
        <v>199</v>
      </c>
      <c r="AI64" s="135">
        <v>199</v>
      </c>
      <c r="AJ64" s="135" t="s">
        <v>1138</v>
      </c>
      <c r="AK64" s="135">
        <v>19</v>
      </c>
      <c r="AL64" s="135" t="s">
        <v>1140</v>
      </c>
    </row>
    <row r="65" spans="1:38" ht="11.25" customHeight="1">
      <c r="A65" s="250">
        <v>131</v>
      </c>
      <c r="B65" s="250" t="s">
        <v>1134</v>
      </c>
      <c r="C65" s="250" t="s">
        <v>1388</v>
      </c>
      <c r="D65" s="250">
        <v>20380</v>
      </c>
      <c r="E65" s="250" t="s">
        <v>505</v>
      </c>
      <c r="F65" s="250">
        <v>10</v>
      </c>
      <c r="G65" s="250" t="s">
        <v>1136</v>
      </c>
      <c r="H65" s="253">
        <f t="shared" si="0"/>
        <v>62</v>
      </c>
      <c r="I65" s="253" t="str">
        <f>IF('School Level Expenditures'!$B$2=A65,'School Tables'!H65,"")</f>
        <v/>
      </c>
      <c r="J65" s="253" t="str">
        <f t="shared" si="1"/>
        <v/>
      </c>
      <c r="K65" s="254" t="b">
        <f t="shared" si="2"/>
        <v>0</v>
      </c>
      <c r="L65" s="250">
        <v>491</v>
      </c>
      <c r="M65" s="250" t="s">
        <v>1389</v>
      </c>
      <c r="N65" s="250" t="s">
        <v>1390</v>
      </c>
      <c r="O65" s="250">
        <v>22830</v>
      </c>
      <c r="P65" s="250" t="s">
        <v>1016</v>
      </c>
      <c r="Q65" s="250">
        <v>56</v>
      </c>
      <c r="R65" s="250" t="s">
        <v>1391</v>
      </c>
      <c r="S65" s="253">
        <f t="shared" si="3"/>
        <v>62</v>
      </c>
      <c r="T65" s="253" t="str">
        <f>IF('School Level Expenditures'!$B$2='School Tables'!L65,'School Tables'!S65,"")</f>
        <v/>
      </c>
      <c r="U65" s="253" t="str">
        <f t="shared" si="4"/>
        <v/>
      </c>
      <c r="V65" s="254" t="b">
        <f t="shared" si="5"/>
        <v>0</v>
      </c>
      <c r="W65" s="250">
        <v>371</v>
      </c>
      <c r="X65" s="250" t="s">
        <v>1068</v>
      </c>
      <c r="Y65" s="250" t="s">
        <v>1392</v>
      </c>
      <c r="Z65" s="250">
        <v>21860</v>
      </c>
      <c r="AA65" s="250" t="s">
        <v>1017</v>
      </c>
      <c r="AB65" s="250">
        <v>42</v>
      </c>
      <c r="AC65" s="250" t="s">
        <v>1070</v>
      </c>
      <c r="AD65" s="253">
        <f t="shared" si="6"/>
        <v>62</v>
      </c>
      <c r="AE65" s="253" t="str">
        <f>IF('School Level Expenditures'!$B$2='School Tables'!W65,'School Tables'!AD65,"")</f>
        <v/>
      </c>
      <c r="AF65" s="253" t="str">
        <f t="shared" si="7"/>
        <v/>
      </c>
      <c r="AG65" s="254" t="b">
        <f t="shared" si="9"/>
        <v>0</v>
      </c>
      <c r="AH65" s="135">
        <v>203</v>
      </c>
      <c r="AI65" s="135">
        <v>0</v>
      </c>
      <c r="AJ65" s="135" t="s">
        <v>1147</v>
      </c>
      <c r="AK65" s="135">
        <v>20</v>
      </c>
      <c r="AL65" s="135" t="s">
        <v>1149</v>
      </c>
    </row>
    <row r="66" spans="1:38" ht="11.25" customHeight="1">
      <c r="A66" s="250">
        <v>101</v>
      </c>
      <c r="B66" s="250" t="s">
        <v>1089</v>
      </c>
      <c r="C66" s="250" t="s">
        <v>1393</v>
      </c>
      <c r="D66" s="250">
        <v>20165</v>
      </c>
      <c r="E66" s="250" t="s">
        <v>505</v>
      </c>
      <c r="F66" s="250">
        <v>6</v>
      </c>
      <c r="G66" s="250" t="s">
        <v>1091</v>
      </c>
      <c r="H66" s="253">
        <f t="shared" si="0"/>
        <v>63</v>
      </c>
      <c r="I66" s="253" t="str">
        <f>IF('School Level Expenditures'!$B$2=A66,'School Tables'!H66,"")</f>
        <v/>
      </c>
      <c r="J66" s="253" t="str">
        <f t="shared" si="1"/>
        <v/>
      </c>
      <c r="K66" s="254" t="b">
        <f t="shared" si="2"/>
        <v>0</v>
      </c>
      <c r="L66" s="250">
        <v>112</v>
      </c>
      <c r="M66" s="250" t="s">
        <v>1086</v>
      </c>
      <c r="N66" s="250" t="s">
        <v>1394</v>
      </c>
      <c r="O66" s="250">
        <v>22295</v>
      </c>
      <c r="P66" s="250" t="s">
        <v>1016</v>
      </c>
      <c r="Q66" s="250">
        <v>1</v>
      </c>
      <c r="R66" s="250" t="s">
        <v>1088</v>
      </c>
      <c r="S66" s="253">
        <f t="shared" si="3"/>
        <v>63</v>
      </c>
      <c r="T66" s="253" t="str">
        <f>IF('School Level Expenditures'!$B$2='School Tables'!L66,'School Tables'!S66,"")</f>
        <v/>
      </c>
      <c r="U66" s="253" t="str">
        <f t="shared" si="4"/>
        <v/>
      </c>
      <c r="V66" s="254" t="b">
        <f t="shared" si="5"/>
        <v>0</v>
      </c>
      <c r="W66" s="250">
        <v>388</v>
      </c>
      <c r="X66" s="250" t="s">
        <v>1220</v>
      </c>
      <c r="Y66" s="250" t="s">
        <v>1395</v>
      </c>
      <c r="Z66" s="250">
        <v>20085</v>
      </c>
      <c r="AA66" s="250" t="s">
        <v>1017</v>
      </c>
      <c r="AB66" s="250">
        <v>4</v>
      </c>
      <c r="AC66" s="250" t="s">
        <v>1222</v>
      </c>
      <c r="AD66" s="253">
        <f t="shared" si="6"/>
        <v>63</v>
      </c>
      <c r="AE66" s="253" t="str">
        <f>IF('School Level Expenditures'!$B$2='School Tables'!W66,'School Tables'!AD66,"")</f>
        <v/>
      </c>
      <c r="AF66" s="253" t="str">
        <f t="shared" si="7"/>
        <v/>
      </c>
      <c r="AG66" s="254" t="b">
        <f t="shared" si="9"/>
        <v>0</v>
      </c>
      <c r="AH66" s="135">
        <v>204</v>
      </c>
      <c r="AI66" s="135">
        <v>203</v>
      </c>
      <c r="AJ66" s="135" t="s">
        <v>1396</v>
      </c>
      <c r="AK66" s="135">
        <v>102</v>
      </c>
      <c r="AL66" s="135" t="s">
        <v>1397</v>
      </c>
    </row>
    <row r="67" spans="1:38" ht="11.25" customHeight="1">
      <c r="A67" s="250">
        <v>363</v>
      </c>
      <c r="B67" s="250" t="s">
        <v>1308</v>
      </c>
      <c r="C67" s="250" t="s">
        <v>1398</v>
      </c>
      <c r="D67" s="250">
        <v>21665</v>
      </c>
      <c r="E67" s="250" t="s">
        <v>505</v>
      </c>
      <c r="F67" s="250">
        <v>93</v>
      </c>
      <c r="G67" s="250" t="s">
        <v>1310</v>
      </c>
      <c r="H67" s="253">
        <f t="shared" si="0"/>
        <v>64</v>
      </c>
      <c r="I67" s="253" t="str">
        <f>IF('School Level Expenditures'!$B$2=A67,'School Tables'!H67,"")</f>
        <v/>
      </c>
      <c r="J67" s="253" t="str">
        <f t="shared" si="1"/>
        <v/>
      </c>
      <c r="K67" s="254" t="b">
        <f t="shared" si="2"/>
        <v>0</v>
      </c>
      <c r="L67" s="250">
        <v>335</v>
      </c>
      <c r="M67" s="250" t="s">
        <v>1123</v>
      </c>
      <c r="N67" s="250" t="s">
        <v>1399</v>
      </c>
      <c r="O67" s="250">
        <v>21575</v>
      </c>
      <c r="P67" s="250" t="s">
        <v>1016</v>
      </c>
      <c r="Q67" s="250">
        <v>37</v>
      </c>
      <c r="R67" s="250" t="s">
        <v>1125</v>
      </c>
      <c r="S67" s="253">
        <f t="shared" si="3"/>
        <v>64</v>
      </c>
      <c r="T67" s="253" t="str">
        <f>IF('School Level Expenditures'!$B$2='School Tables'!L67,'School Tables'!S67,"")</f>
        <v/>
      </c>
      <c r="U67" s="253" t="str">
        <f t="shared" si="4"/>
        <v/>
      </c>
      <c r="V67" s="254" t="b">
        <f t="shared" si="5"/>
        <v>0</v>
      </c>
      <c r="W67" s="250">
        <v>399</v>
      </c>
      <c r="X67" s="250" t="s">
        <v>1400</v>
      </c>
      <c r="Y67" s="250" t="s">
        <v>1401</v>
      </c>
      <c r="Z67" s="250">
        <v>23115</v>
      </c>
      <c r="AA67" s="250" t="s">
        <v>1017</v>
      </c>
      <c r="AB67" s="250">
        <v>31</v>
      </c>
      <c r="AC67" s="250" t="s">
        <v>1402</v>
      </c>
      <c r="AD67" s="253">
        <f t="shared" si="6"/>
        <v>64</v>
      </c>
      <c r="AE67" s="253" t="str">
        <f>IF('School Level Expenditures'!$B$2='School Tables'!W67,'School Tables'!AD67,"")</f>
        <v/>
      </c>
      <c r="AF67" s="253" t="str">
        <f t="shared" si="7"/>
        <v/>
      </c>
      <c r="AG67" s="254" t="b">
        <f t="shared" si="9"/>
        <v>0</v>
      </c>
      <c r="AH67" s="135">
        <v>208</v>
      </c>
      <c r="AI67" s="135">
        <v>0</v>
      </c>
      <c r="AJ67" s="135" t="s">
        <v>1240</v>
      </c>
      <c r="AK67" s="135">
        <v>49</v>
      </c>
      <c r="AL67" s="135" t="s">
        <v>1242</v>
      </c>
    </row>
    <row r="68" spans="1:38" ht="11.25" customHeight="1">
      <c r="A68" s="250">
        <v>267</v>
      </c>
      <c r="B68" s="250" t="s">
        <v>1031</v>
      </c>
      <c r="C68" s="250" t="s">
        <v>1403</v>
      </c>
      <c r="D68" s="250">
        <v>21045</v>
      </c>
      <c r="E68" s="250" t="s">
        <v>505</v>
      </c>
      <c r="F68" s="250">
        <v>81</v>
      </c>
      <c r="G68" s="250" t="s">
        <v>1033</v>
      </c>
      <c r="H68" s="253">
        <f t="shared" si="0"/>
        <v>65</v>
      </c>
      <c r="I68" s="253" t="str">
        <f>IF('School Level Expenditures'!$B$2=A68,'School Tables'!H68,"")</f>
        <v/>
      </c>
      <c r="J68" s="253" t="str">
        <f t="shared" si="1"/>
        <v/>
      </c>
      <c r="K68" s="254" t="b">
        <f t="shared" si="2"/>
        <v>0</v>
      </c>
      <c r="L68" s="250">
        <v>515</v>
      </c>
      <c r="M68" s="250" t="s">
        <v>1404</v>
      </c>
      <c r="N68" s="250" t="s">
        <v>1405</v>
      </c>
      <c r="O68" s="250">
        <v>26965</v>
      </c>
      <c r="P68" s="250" t="s">
        <v>1016</v>
      </c>
      <c r="Q68" s="250">
        <v>85</v>
      </c>
      <c r="R68" s="250" t="s">
        <v>1406</v>
      </c>
      <c r="S68" s="253">
        <f t="shared" si="3"/>
        <v>65</v>
      </c>
      <c r="T68" s="253" t="str">
        <f>IF('School Level Expenditures'!$B$2='School Tables'!L68,'School Tables'!S68,"")</f>
        <v/>
      </c>
      <c r="U68" s="253" t="str">
        <f t="shared" si="4"/>
        <v/>
      </c>
      <c r="V68" s="254" t="b">
        <f t="shared" si="5"/>
        <v>0</v>
      </c>
      <c r="W68" s="250">
        <v>401</v>
      </c>
      <c r="X68" s="250" t="s">
        <v>1331</v>
      </c>
      <c r="Y68" s="250" t="s">
        <v>1407</v>
      </c>
      <c r="Z68" s="250">
        <v>21985</v>
      </c>
      <c r="AA68" s="250" t="s">
        <v>1017</v>
      </c>
      <c r="AB68" s="250">
        <v>43</v>
      </c>
      <c r="AC68" s="250" t="s">
        <v>1333</v>
      </c>
      <c r="AD68" s="253">
        <f t="shared" si="6"/>
        <v>65</v>
      </c>
      <c r="AE68" s="253" t="str">
        <f>IF('School Level Expenditures'!$B$2='School Tables'!W68,'School Tables'!AD68,"")</f>
        <v/>
      </c>
      <c r="AF68" s="253" t="str">
        <f t="shared" si="7"/>
        <v/>
      </c>
      <c r="AG68" s="254" t="b">
        <f t="shared" si="9"/>
        <v>0</v>
      </c>
      <c r="AH68" s="253">
        <v>702</v>
      </c>
      <c r="AI68" s="253">
        <v>702</v>
      </c>
      <c r="AJ68" s="253" t="s">
        <v>1201</v>
      </c>
      <c r="AK68" s="253">
        <v>426</v>
      </c>
      <c r="AL68" s="253" t="s">
        <v>1201</v>
      </c>
    </row>
    <row r="69" spans="1:38" ht="11.25" customHeight="1">
      <c r="A69" s="250">
        <v>473</v>
      </c>
      <c r="B69" s="250" t="s">
        <v>1408</v>
      </c>
      <c r="C69" s="250" t="s">
        <v>1409</v>
      </c>
      <c r="D69" s="250">
        <v>22895</v>
      </c>
      <c r="E69" s="250" t="s">
        <v>505</v>
      </c>
      <c r="F69" s="250">
        <v>57</v>
      </c>
      <c r="G69" s="250" t="s">
        <v>1410</v>
      </c>
      <c r="H69" s="253">
        <f t="shared" si="0"/>
        <v>66</v>
      </c>
      <c r="I69" s="253" t="str">
        <f>IF('School Level Expenditures'!$B$2=A69,'School Tables'!H69,"")</f>
        <v/>
      </c>
      <c r="J69" s="253" t="str">
        <f t="shared" si="1"/>
        <v/>
      </c>
      <c r="K69" s="254" t="b">
        <f t="shared" si="2"/>
        <v>0</v>
      </c>
      <c r="L69" s="250">
        <v>534</v>
      </c>
      <c r="M69" s="250" t="s">
        <v>1108</v>
      </c>
      <c r="N69" s="250" t="s">
        <v>1411</v>
      </c>
      <c r="O69" s="250">
        <v>22760</v>
      </c>
      <c r="P69" s="250" t="s">
        <v>1016</v>
      </c>
      <c r="Q69" s="250">
        <v>106</v>
      </c>
      <c r="R69" s="250" t="s">
        <v>1110</v>
      </c>
      <c r="S69" s="253">
        <f t="shared" si="3"/>
        <v>66</v>
      </c>
      <c r="T69" s="253" t="str">
        <f>IF('School Level Expenditures'!$B$2='School Tables'!L69,'School Tables'!S69,"")</f>
        <v/>
      </c>
      <c r="U69" s="253" t="str">
        <f t="shared" si="4"/>
        <v/>
      </c>
      <c r="V69" s="254" t="b">
        <f t="shared" si="5"/>
        <v>0</v>
      </c>
      <c r="W69" s="250">
        <v>740</v>
      </c>
      <c r="X69" s="250" t="s">
        <v>1412</v>
      </c>
      <c r="Y69" s="250" t="s">
        <v>1412</v>
      </c>
      <c r="Z69" s="250">
        <v>29105</v>
      </c>
      <c r="AA69" s="250" t="s">
        <v>1017</v>
      </c>
      <c r="AB69" s="250">
        <v>422</v>
      </c>
      <c r="AC69" s="250" t="s">
        <v>1412</v>
      </c>
      <c r="AD69" s="253">
        <f t="shared" si="6"/>
        <v>66</v>
      </c>
      <c r="AE69" s="253" t="str">
        <f>IF('School Level Expenditures'!$B$2='School Tables'!W69,'School Tables'!AD69,"")</f>
        <v/>
      </c>
      <c r="AF69" s="253" t="str">
        <f t="shared" si="7"/>
        <v/>
      </c>
      <c r="AG69" s="254" t="b">
        <f t="shared" si="9"/>
        <v>0</v>
      </c>
      <c r="AH69" s="135">
        <v>211</v>
      </c>
      <c r="AI69" s="135">
        <v>211</v>
      </c>
      <c r="AJ69" s="135" t="s">
        <v>1413</v>
      </c>
      <c r="AK69" s="135">
        <v>75</v>
      </c>
      <c r="AL69" s="135" t="s">
        <v>1414</v>
      </c>
    </row>
    <row r="70" spans="1:38" ht="11.25" customHeight="1">
      <c r="A70" s="250">
        <v>371</v>
      </c>
      <c r="B70" s="250" t="s">
        <v>1068</v>
      </c>
      <c r="C70" s="250" t="s">
        <v>1415</v>
      </c>
      <c r="D70" s="250">
        <v>21835</v>
      </c>
      <c r="E70" s="250" t="s">
        <v>505</v>
      </c>
      <c r="F70" s="250">
        <v>42</v>
      </c>
      <c r="G70" s="250" t="s">
        <v>1070</v>
      </c>
      <c r="H70" s="253">
        <f t="shared" si="0"/>
        <v>67</v>
      </c>
      <c r="I70" s="253" t="str">
        <f>IF('School Level Expenditures'!$B$2=A70,'School Tables'!H70,"")</f>
        <v/>
      </c>
      <c r="J70" s="253" t="str">
        <f t="shared" si="1"/>
        <v/>
      </c>
      <c r="K70" s="254" t="b">
        <f t="shared" si="2"/>
        <v>0</v>
      </c>
      <c r="L70" s="250">
        <v>555</v>
      </c>
      <c r="M70" s="250" t="s">
        <v>1275</v>
      </c>
      <c r="N70" s="250" t="s">
        <v>1416</v>
      </c>
      <c r="O70" s="250">
        <v>20720</v>
      </c>
      <c r="P70" s="250" t="s">
        <v>1016</v>
      </c>
      <c r="Q70" s="250">
        <v>24</v>
      </c>
      <c r="R70" s="250" t="s">
        <v>1254</v>
      </c>
      <c r="S70" s="253">
        <f t="shared" si="3"/>
        <v>67</v>
      </c>
      <c r="T70" s="253" t="str">
        <f>IF('School Level Expenditures'!$B$2='School Tables'!L70,'School Tables'!S70,"")</f>
        <v/>
      </c>
      <c r="U70" s="253" t="str">
        <f t="shared" si="4"/>
        <v/>
      </c>
      <c r="V70" s="254" t="b">
        <f t="shared" si="5"/>
        <v>0</v>
      </c>
      <c r="W70" s="250">
        <v>703</v>
      </c>
      <c r="X70" s="250" t="s">
        <v>1337</v>
      </c>
      <c r="Y70" s="250" t="s">
        <v>1417</v>
      </c>
      <c r="Z70" s="250">
        <v>28395</v>
      </c>
      <c r="AA70" s="250" t="s">
        <v>1017</v>
      </c>
      <c r="AB70" s="250">
        <v>402</v>
      </c>
      <c r="AC70" s="250" t="s">
        <v>1337</v>
      </c>
      <c r="AD70" s="253">
        <f t="shared" si="6"/>
        <v>67</v>
      </c>
      <c r="AE70" s="253" t="str">
        <f>IF('School Level Expenditures'!$B$2='School Tables'!W70,'School Tables'!AD70,"")</f>
        <v/>
      </c>
      <c r="AF70" s="253" t="str">
        <f t="shared" si="7"/>
        <v/>
      </c>
      <c r="AG70" s="254" t="b">
        <f t="shared" si="9"/>
        <v>0</v>
      </c>
      <c r="AH70" s="253">
        <v>709</v>
      </c>
      <c r="AI70" s="253">
        <v>709</v>
      </c>
      <c r="AJ70" s="253" t="s">
        <v>1154</v>
      </c>
      <c r="AK70" s="253">
        <v>404</v>
      </c>
      <c r="AL70" s="253" t="s">
        <v>1154</v>
      </c>
    </row>
    <row r="71" spans="1:38" ht="11.25" customHeight="1">
      <c r="A71" s="250">
        <v>112</v>
      </c>
      <c r="B71" s="250" t="s">
        <v>1086</v>
      </c>
      <c r="C71" s="250" t="s">
        <v>1418</v>
      </c>
      <c r="D71" s="250">
        <v>22230</v>
      </c>
      <c r="E71" s="250" t="s">
        <v>505</v>
      </c>
      <c r="F71" s="250">
        <v>1</v>
      </c>
      <c r="G71" s="250" t="s">
        <v>1088</v>
      </c>
      <c r="H71" s="253">
        <f t="shared" si="0"/>
        <v>68</v>
      </c>
      <c r="I71" s="253" t="str">
        <f>IF('School Level Expenditures'!$B$2=A71,'School Tables'!H71,"")</f>
        <v/>
      </c>
      <c r="J71" s="253" t="str">
        <f t="shared" si="1"/>
        <v/>
      </c>
      <c r="K71" s="254" t="b">
        <f t="shared" si="2"/>
        <v>0</v>
      </c>
      <c r="L71" s="250">
        <v>131</v>
      </c>
      <c r="M71" s="250" t="s">
        <v>1134</v>
      </c>
      <c r="N71" s="250" t="s">
        <v>1419</v>
      </c>
      <c r="O71" s="250">
        <v>27065</v>
      </c>
      <c r="P71" s="250" t="s">
        <v>1016</v>
      </c>
      <c r="Q71" s="250">
        <v>10</v>
      </c>
      <c r="R71" s="250" t="s">
        <v>1136</v>
      </c>
      <c r="S71" s="253">
        <f t="shared" si="3"/>
        <v>68</v>
      </c>
      <c r="T71" s="253" t="str">
        <f>IF('School Level Expenditures'!$B$2='School Tables'!L71,'School Tables'!S71,"")</f>
        <v/>
      </c>
      <c r="U71" s="253" t="str">
        <f t="shared" si="4"/>
        <v/>
      </c>
      <c r="V71" s="254" t="b">
        <f t="shared" si="5"/>
        <v>0</v>
      </c>
      <c r="W71" s="250">
        <v>359</v>
      </c>
      <c r="X71" s="250" t="s">
        <v>1341</v>
      </c>
      <c r="Y71" s="250" t="s">
        <v>1420</v>
      </c>
      <c r="Z71" s="250">
        <v>22070</v>
      </c>
      <c r="AA71" s="250" t="s">
        <v>1017</v>
      </c>
      <c r="AB71" s="250">
        <v>64</v>
      </c>
      <c r="AC71" s="250" t="s">
        <v>1343</v>
      </c>
      <c r="AD71" s="253">
        <f t="shared" si="6"/>
        <v>68</v>
      </c>
      <c r="AE71" s="253" t="str">
        <f>IF('School Level Expenditures'!$B$2='School Tables'!W71,'School Tables'!AD71,"")</f>
        <v/>
      </c>
      <c r="AF71" s="253" t="str">
        <f t="shared" si="7"/>
        <v/>
      </c>
      <c r="AG71" s="254" t="b">
        <f t="shared" si="9"/>
        <v>0</v>
      </c>
      <c r="AH71" s="135">
        <v>215</v>
      </c>
      <c r="AI71" s="135">
        <v>215</v>
      </c>
      <c r="AJ71" s="135" t="s">
        <v>1421</v>
      </c>
      <c r="AK71" s="135">
        <v>50</v>
      </c>
      <c r="AL71" s="135" t="s">
        <v>1422</v>
      </c>
    </row>
    <row r="72" spans="1:38" ht="11.25" customHeight="1">
      <c r="A72" s="250">
        <v>149</v>
      </c>
      <c r="B72" s="250" t="s">
        <v>1297</v>
      </c>
      <c r="C72" s="250" t="s">
        <v>1423</v>
      </c>
      <c r="D72" s="250">
        <v>20685</v>
      </c>
      <c r="E72" s="250" t="s">
        <v>505</v>
      </c>
      <c r="F72" s="250">
        <v>67</v>
      </c>
      <c r="G72" s="250" t="s">
        <v>1065</v>
      </c>
      <c r="H72" s="253">
        <f t="shared" si="0"/>
        <v>69</v>
      </c>
      <c r="I72" s="253" t="str">
        <f>IF('School Level Expenditures'!$B$2=A72,'School Tables'!H72,"")</f>
        <v/>
      </c>
      <c r="J72" s="253" t="str">
        <f t="shared" si="1"/>
        <v/>
      </c>
      <c r="K72" s="254" t="b">
        <f t="shared" si="2"/>
        <v>0</v>
      </c>
      <c r="L72" s="250">
        <v>572</v>
      </c>
      <c r="M72" s="250" t="s">
        <v>1424</v>
      </c>
      <c r="N72" s="250" t="s">
        <v>1425</v>
      </c>
      <c r="O72" s="250">
        <v>26955</v>
      </c>
      <c r="P72" s="250" t="s">
        <v>1016</v>
      </c>
      <c r="Q72" s="250">
        <v>63</v>
      </c>
      <c r="R72" s="250" t="s">
        <v>1426</v>
      </c>
      <c r="S72" s="253">
        <f t="shared" si="3"/>
        <v>69</v>
      </c>
      <c r="T72" s="253" t="str">
        <f>IF('School Level Expenditures'!$B$2='School Tables'!L72,'School Tables'!S72,"")</f>
        <v/>
      </c>
      <c r="U72" s="253" t="str">
        <f t="shared" si="4"/>
        <v/>
      </c>
      <c r="V72" s="254" t="b">
        <f t="shared" si="5"/>
        <v>0</v>
      </c>
      <c r="W72" s="250">
        <v>423</v>
      </c>
      <c r="X72" s="250" t="s">
        <v>1346</v>
      </c>
      <c r="Y72" s="250" t="s">
        <v>1427</v>
      </c>
      <c r="Z72" s="250">
        <v>22800</v>
      </c>
      <c r="AA72" s="250" t="s">
        <v>1017</v>
      </c>
      <c r="AB72" s="250">
        <v>5</v>
      </c>
      <c r="AC72" s="250" t="s">
        <v>1348</v>
      </c>
      <c r="AD72" s="253">
        <f t="shared" si="6"/>
        <v>69</v>
      </c>
      <c r="AE72" s="253" t="str">
        <f>IF('School Level Expenditures'!$B$2='School Tables'!W72,'School Tables'!AD72,"")</f>
        <v/>
      </c>
      <c r="AF72" s="253" t="str">
        <f t="shared" si="7"/>
        <v/>
      </c>
      <c r="AG72" s="254" t="b">
        <f t="shared" si="9"/>
        <v>0</v>
      </c>
      <c r="AH72" s="135">
        <v>222</v>
      </c>
      <c r="AI72" s="135">
        <v>222</v>
      </c>
      <c r="AJ72" s="135" t="s">
        <v>1428</v>
      </c>
      <c r="AK72" s="135">
        <v>97</v>
      </c>
      <c r="AL72" s="135" t="s">
        <v>1429</v>
      </c>
    </row>
    <row r="73" spans="1:38" ht="11.25" customHeight="1">
      <c r="A73" s="250">
        <v>33</v>
      </c>
      <c r="B73" s="250" t="s">
        <v>1048</v>
      </c>
      <c r="C73" s="250" t="s">
        <v>1430</v>
      </c>
      <c r="D73" s="250">
        <v>29010</v>
      </c>
      <c r="E73" s="250" t="s">
        <v>505</v>
      </c>
      <c r="F73" s="250">
        <v>74</v>
      </c>
      <c r="G73" s="250" t="s">
        <v>1050</v>
      </c>
      <c r="H73" s="253">
        <f t="shared" si="0"/>
        <v>70</v>
      </c>
      <c r="I73" s="253" t="str">
        <f>IF('School Level Expenditures'!$B$2=A73,'School Tables'!H73,"")</f>
        <v/>
      </c>
      <c r="J73" s="253" t="str">
        <f t="shared" si="1"/>
        <v/>
      </c>
      <c r="K73" s="254" t="b">
        <f t="shared" si="2"/>
        <v>0</v>
      </c>
      <c r="L73" s="250">
        <v>575</v>
      </c>
      <c r="M73" s="250" t="s">
        <v>1431</v>
      </c>
      <c r="N73" s="250" t="s">
        <v>1432</v>
      </c>
      <c r="O73" s="250">
        <v>21125</v>
      </c>
      <c r="P73" s="250" t="s">
        <v>1016</v>
      </c>
      <c r="Q73" s="250">
        <v>95</v>
      </c>
      <c r="R73" s="250" t="s">
        <v>1433</v>
      </c>
      <c r="S73" s="253">
        <f t="shared" si="3"/>
        <v>70</v>
      </c>
      <c r="T73" s="253" t="str">
        <f>IF('School Level Expenditures'!$B$2='School Tables'!L73,'School Tables'!S73,"")</f>
        <v/>
      </c>
      <c r="U73" s="253" t="str">
        <f t="shared" si="4"/>
        <v/>
      </c>
      <c r="V73" s="254" t="b">
        <f t="shared" si="5"/>
        <v>0</v>
      </c>
      <c r="W73" s="250">
        <v>425</v>
      </c>
      <c r="X73" s="250" t="s">
        <v>1434</v>
      </c>
      <c r="Y73" s="250" t="s">
        <v>1435</v>
      </c>
      <c r="Z73" s="250">
        <v>21105</v>
      </c>
      <c r="AA73" s="250" t="s">
        <v>1017</v>
      </c>
      <c r="AB73" s="250">
        <v>28</v>
      </c>
      <c r="AC73" s="250" t="s">
        <v>1436</v>
      </c>
      <c r="AD73" s="253">
        <f t="shared" si="6"/>
        <v>70</v>
      </c>
      <c r="AE73" s="253" t="str">
        <f>IF('School Level Expenditures'!$B$2='School Tables'!W73,'School Tables'!AD73,"")</f>
        <v/>
      </c>
      <c r="AF73" s="253" t="str">
        <f t="shared" si="7"/>
        <v/>
      </c>
      <c r="AG73" s="254" t="b">
        <f t="shared" si="9"/>
        <v>0</v>
      </c>
      <c r="AH73" s="135">
        <v>223</v>
      </c>
      <c r="AI73" s="135">
        <v>223</v>
      </c>
      <c r="AJ73" s="135" t="s">
        <v>1166</v>
      </c>
      <c r="AK73" s="135">
        <v>55</v>
      </c>
      <c r="AL73" s="135" t="s">
        <v>1168</v>
      </c>
    </row>
    <row r="74" spans="1:38" ht="11.25" customHeight="1">
      <c r="A74" s="250">
        <v>131</v>
      </c>
      <c r="B74" s="250" t="s">
        <v>1134</v>
      </c>
      <c r="C74" s="250" t="s">
        <v>1437</v>
      </c>
      <c r="D74" s="250">
        <v>20370</v>
      </c>
      <c r="E74" s="250" t="s">
        <v>505</v>
      </c>
      <c r="F74" s="250">
        <v>10</v>
      </c>
      <c r="G74" s="250" t="s">
        <v>1136</v>
      </c>
      <c r="H74" s="253">
        <f t="shared" si="0"/>
        <v>71</v>
      </c>
      <c r="I74" s="253" t="str">
        <f>IF('School Level Expenditures'!$B$2=A74,'School Tables'!H74,"")</f>
        <v/>
      </c>
      <c r="J74" s="253" t="str">
        <f t="shared" si="1"/>
        <v/>
      </c>
      <c r="K74" s="254" t="b">
        <f t="shared" si="2"/>
        <v>0</v>
      </c>
      <c r="L74" s="250">
        <v>582</v>
      </c>
      <c r="M74" s="250" t="s">
        <v>1438</v>
      </c>
      <c r="N74" s="250" t="s">
        <v>1439</v>
      </c>
      <c r="O74" s="250">
        <v>22955</v>
      </c>
      <c r="P74" s="250" t="s">
        <v>1016</v>
      </c>
      <c r="Q74" s="250">
        <v>59</v>
      </c>
      <c r="R74" s="250" t="s">
        <v>1440</v>
      </c>
      <c r="S74" s="253">
        <f t="shared" si="3"/>
        <v>71</v>
      </c>
      <c r="T74" s="253" t="str">
        <f>IF('School Level Expenditures'!$B$2='School Tables'!L74,'School Tables'!S74,"")</f>
        <v/>
      </c>
      <c r="U74" s="253" t="str">
        <f t="shared" si="4"/>
        <v/>
      </c>
      <c r="V74" s="254" t="b">
        <f t="shared" si="5"/>
        <v>0</v>
      </c>
      <c r="W74" s="250">
        <v>427</v>
      </c>
      <c r="X74" s="250" t="s">
        <v>1441</v>
      </c>
      <c r="Y74" s="250" t="s">
        <v>1442</v>
      </c>
      <c r="Z74" s="250">
        <v>22620</v>
      </c>
      <c r="AA74" s="250" t="s">
        <v>1017</v>
      </c>
      <c r="AB74" s="250">
        <v>53</v>
      </c>
      <c r="AC74" s="250" t="s">
        <v>1035</v>
      </c>
      <c r="AD74" s="253">
        <f t="shared" si="6"/>
        <v>71</v>
      </c>
      <c r="AE74" s="253" t="str">
        <f>IF('School Level Expenditures'!$B$2='School Tables'!W74,'School Tables'!AD74,"")</f>
        <v/>
      </c>
      <c r="AF74" s="253" t="str">
        <f t="shared" si="7"/>
        <v/>
      </c>
      <c r="AG74" s="254" t="b">
        <f t="shared" si="9"/>
        <v>0</v>
      </c>
      <c r="AH74" s="135">
        <v>225</v>
      </c>
      <c r="AI74" s="135">
        <v>225</v>
      </c>
      <c r="AJ74" s="135" t="s">
        <v>1036</v>
      </c>
      <c r="AK74" s="135">
        <v>90</v>
      </c>
      <c r="AL74" s="135" t="s">
        <v>1038</v>
      </c>
    </row>
    <row r="75" spans="1:38" ht="11.25" customHeight="1">
      <c r="A75" s="250">
        <v>153</v>
      </c>
      <c r="B75" s="250" t="s">
        <v>1301</v>
      </c>
      <c r="C75" s="250" t="s">
        <v>1443</v>
      </c>
      <c r="D75" s="250">
        <v>20565</v>
      </c>
      <c r="E75" s="250" t="s">
        <v>505</v>
      </c>
      <c r="F75" s="250">
        <v>16</v>
      </c>
      <c r="G75" s="250" t="s">
        <v>1096</v>
      </c>
      <c r="H75" s="253">
        <f t="shared" si="0"/>
        <v>72</v>
      </c>
      <c r="I75" s="253" t="str">
        <f>IF('School Level Expenditures'!$B$2=A75,'School Tables'!H75,"")</f>
        <v/>
      </c>
      <c r="J75" s="253" t="str">
        <f t="shared" si="1"/>
        <v/>
      </c>
      <c r="K75" s="254" t="b">
        <f t="shared" si="2"/>
        <v>0</v>
      </c>
      <c r="L75" s="250">
        <v>473</v>
      </c>
      <c r="M75" s="250" t="s">
        <v>1408</v>
      </c>
      <c r="N75" s="250" t="s">
        <v>1444</v>
      </c>
      <c r="O75" s="250">
        <v>22850</v>
      </c>
      <c r="P75" s="250" t="s">
        <v>1016</v>
      </c>
      <c r="Q75" s="250">
        <v>57</v>
      </c>
      <c r="R75" s="250" t="s">
        <v>1410</v>
      </c>
      <c r="S75" s="253">
        <f t="shared" si="3"/>
        <v>72</v>
      </c>
      <c r="T75" s="253" t="str">
        <f>IF('School Level Expenditures'!$B$2='School Tables'!L75,'School Tables'!S75,"")</f>
        <v/>
      </c>
      <c r="U75" s="253" t="str">
        <f t="shared" si="4"/>
        <v/>
      </c>
      <c r="V75" s="254" t="b">
        <f t="shared" si="5"/>
        <v>0</v>
      </c>
      <c r="W75" s="250">
        <v>999</v>
      </c>
      <c r="X75" s="250" t="s">
        <v>1445</v>
      </c>
      <c r="Y75" s="250" t="s">
        <v>1445</v>
      </c>
      <c r="Z75" s="250">
        <v>20395</v>
      </c>
      <c r="AA75" s="250" t="s">
        <v>1017</v>
      </c>
      <c r="AB75" s="250">
        <v>202</v>
      </c>
      <c r="AC75" s="250" t="s">
        <v>1445</v>
      </c>
      <c r="AD75" s="253">
        <f t="shared" si="6"/>
        <v>72</v>
      </c>
      <c r="AE75" s="253" t="str">
        <f>IF('School Level Expenditures'!$B$2='School Tables'!W75,'School Tables'!AD75,"")</f>
        <v/>
      </c>
      <c r="AF75" s="253" t="str">
        <f t="shared" si="7"/>
        <v/>
      </c>
      <c r="AG75" s="254" t="b">
        <f t="shared" si="9"/>
        <v>0</v>
      </c>
      <c r="AH75" s="135">
        <v>227</v>
      </c>
      <c r="AI75" s="135">
        <v>227</v>
      </c>
      <c r="AJ75" s="135" t="s">
        <v>1446</v>
      </c>
      <c r="AK75" s="135">
        <v>21</v>
      </c>
      <c r="AL75" s="135" t="s">
        <v>1447</v>
      </c>
    </row>
    <row r="76" spans="1:38" ht="11.25" customHeight="1">
      <c r="A76" s="250">
        <v>461</v>
      </c>
      <c r="B76" s="250" t="s">
        <v>1072</v>
      </c>
      <c r="C76" s="250" t="s">
        <v>1448</v>
      </c>
      <c r="D76" s="250">
        <v>22650</v>
      </c>
      <c r="E76" s="250" t="s">
        <v>505</v>
      </c>
      <c r="F76" s="250">
        <v>54</v>
      </c>
      <c r="G76" s="250" t="s">
        <v>1074</v>
      </c>
      <c r="H76" s="253">
        <f t="shared" si="0"/>
        <v>73</v>
      </c>
      <c r="I76" s="253" t="str">
        <f>IF('School Level Expenditures'!$B$2=A76,'School Tables'!H76,"")</f>
        <v/>
      </c>
      <c r="J76" s="253" t="str">
        <f t="shared" si="1"/>
        <v/>
      </c>
      <c r="K76" s="254" t="b">
        <f t="shared" si="2"/>
        <v>0</v>
      </c>
      <c r="L76" s="255"/>
      <c r="M76" s="255"/>
      <c r="N76" s="255"/>
      <c r="O76" s="208"/>
      <c r="P76" s="255"/>
      <c r="Q76" s="255"/>
      <c r="R76" s="255"/>
      <c r="S76" s="255"/>
      <c r="T76" s="255"/>
      <c r="U76" s="255"/>
      <c r="V76" s="255"/>
      <c r="W76" s="250">
        <v>437</v>
      </c>
      <c r="X76" s="250" t="s">
        <v>1449</v>
      </c>
      <c r="Y76" s="250" t="s">
        <v>1450</v>
      </c>
      <c r="Z76" s="250">
        <v>26500</v>
      </c>
      <c r="AA76" s="250" t="s">
        <v>1017</v>
      </c>
      <c r="AB76" s="250">
        <v>7</v>
      </c>
      <c r="AC76" s="250" t="s">
        <v>1105</v>
      </c>
      <c r="AD76" s="253">
        <f t="shared" si="6"/>
        <v>73</v>
      </c>
      <c r="AE76" s="253" t="str">
        <f>IF('School Level Expenditures'!$B$2='School Tables'!W76,'School Tables'!AD76,"")</f>
        <v/>
      </c>
      <c r="AF76" s="253" t="str">
        <f t="shared" si="7"/>
        <v/>
      </c>
      <c r="AG76" s="254" t="b">
        <f t="shared" si="9"/>
        <v>0</v>
      </c>
      <c r="AH76" s="135">
        <v>233</v>
      </c>
      <c r="AI76" s="135">
        <v>233</v>
      </c>
      <c r="AJ76" s="135" t="s">
        <v>1181</v>
      </c>
      <c r="AK76" s="135">
        <v>70</v>
      </c>
      <c r="AL76" s="135" t="s">
        <v>1183</v>
      </c>
    </row>
    <row r="77" spans="1:38" ht="11.25" customHeight="1">
      <c r="A77" s="250">
        <v>203</v>
      </c>
      <c r="B77" s="250" t="s">
        <v>1147</v>
      </c>
      <c r="C77" s="250" t="s">
        <v>1451</v>
      </c>
      <c r="D77" s="250">
        <v>20745</v>
      </c>
      <c r="E77" s="250" t="s">
        <v>505</v>
      </c>
      <c r="F77" s="250">
        <v>20</v>
      </c>
      <c r="G77" s="250" t="s">
        <v>1149</v>
      </c>
      <c r="H77" s="253">
        <f t="shared" si="0"/>
        <v>74</v>
      </c>
      <c r="I77" s="253" t="str">
        <f>IF('School Level Expenditures'!$B$2=A77,'School Tables'!H77,"")</f>
        <v/>
      </c>
      <c r="J77" s="253" t="str">
        <f t="shared" si="1"/>
        <v/>
      </c>
      <c r="K77" s="254" t="b">
        <f t="shared" si="2"/>
        <v>0</v>
      </c>
      <c r="L77" s="254"/>
      <c r="M77" s="254"/>
      <c r="N77" s="254"/>
      <c r="O77" s="208"/>
      <c r="P77" s="255"/>
      <c r="Q77" s="255"/>
      <c r="R77" s="255"/>
      <c r="S77" s="255"/>
      <c r="T77" s="255"/>
      <c r="U77" s="255"/>
      <c r="V77" s="255"/>
      <c r="W77" s="250">
        <v>439</v>
      </c>
      <c r="X77" s="250" t="s">
        <v>1354</v>
      </c>
      <c r="Y77" s="250" t="s">
        <v>1452</v>
      </c>
      <c r="Z77" s="250">
        <v>22500</v>
      </c>
      <c r="AA77" s="250" t="s">
        <v>1017</v>
      </c>
      <c r="AB77" s="250">
        <v>51</v>
      </c>
      <c r="AC77" s="250" t="s">
        <v>1356</v>
      </c>
      <c r="AD77" s="253">
        <f t="shared" si="6"/>
        <v>74</v>
      </c>
      <c r="AE77" s="253" t="str">
        <f>IF('School Level Expenditures'!$B$2='School Tables'!W77,'School Tables'!AD77,"")</f>
        <v/>
      </c>
      <c r="AF77" s="253" t="str">
        <f t="shared" si="7"/>
        <v/>
      </c>
      <c r="AG77" s="254" t="b">
        <f t="shared" si="9"/>
        <v>0</v>
      </c>
      <c r="AH77" s="135">
        <v>235</v>
      </c>
      <c r="AI77" s="135">
        <v>235</v>
      </c>
      <c r="AJ77" s="135" t="s">
        <v>1453</v>
      </c>
      <c r="AK77" s="135">
        <v>29</v>
      </c>
      <c r="AL77" s="135" t="s">
        <v>1187</v>
      </c>
    </row>
    <row r="78" spans="1:38" ht="11.25" customHeight="1">
      <c r="A78" s="250">
        <v>208</v>
      </c>
      <c r="B78" s="250" t="s">
        <v>1240</v>
      </c>
      <c r="C78" s="250" t="s">
        <v>1454</v>
      </c>
      <c r="D78" s="250">
        <v>22395</v>
      </c>
      <c r="E78" s="250" t="s">
        <v>505</v>
      </c>
      <c r="F78" s="250">
        <v>49</v>
      </c>
      <c r="G78" s="250" t="s">
        <v>1242</v>
      </c>
      <c r="H78" s="253">
        <f t="shared" si="0"/>
        <v>75</v>
      </c>
      <c r="I78" s="253" t="str">
        <f>IF('School Level Expenditures'!$B$2=A78,'School Tables'!H78,"")</f>
        <v/>
      </c>
      <c r="J78" s="253" t="str">
        <f t="shared" si="1"/>
        <v/>
      </c>
      <c r="K78" s="254" t="b">
        <f t="shared" si="2"/>
        <v>0</v>
      </c>
      <c r="L78" s="256"/>
      <c r="M78" s="256"/>
      <c r="N78" s="256"/>
      <c r="O78" s="208"/>
      <c r="P78" s="254"/>
      <c r="Q78" s="254"/>
      <c r="R78" s="254"/>
      <c r="S78" s="254"/>
      <c r="T78" s="254"/>
      <c r="U78" s="254"/>
      <c r="V78" s="254"/>
      <c r="W78" s="250">
        <v>428</v>
      </c>
      <c r="X78" s="250" t="s">
        <v>1455</v>
      </c>
      <c r="Y78" s="250" t="s">
        <v>1456</v>
      </c>
      <c r="Z78" s="250">
        <v>22350</v>
      </c>
      <c r="AA78" s="250" t="s">
        <v>1017</v>
      </c>
      <c r="AB78" s="250">
        <v>48</v>
      </c>
      <c r="AC78" s="250" t="s">
        <v>1158</v>
      </c>
      <c r="AD78" s="253">
        <f t="shared" si="6"/>
        <v>75</v>
      </c>
      <c r="AE78" s="253" t="str">
        <f>IF('School Level Expenditures'!$B$2='School Tables'!W78,'School Tables'!AD78,"")</f>
        <v/>
      </c>
      <c r="AF78" s="253" t="str">
        <f t="shared" si="7"/>
        <v/>
      </c>
      <c r="AG78" s="254" t="b">
        <f t="shared" si="9"/>
        <v>0</v>
      </c>
      <c r="AH78" s="135">
        <v>236</v>
      </c>
      <c r="AI78" s="135">
        <v>236</v>
      </c>
      <c r="AJ78" s="135" t="s">
        <v>1457</v>
      </c>
      <c r="AK78" s="135">
        <v>9</v>
      </c>
      <c r="AL78" s="135" t="s">
        <v>1024</v>
      </c>
    </row>
    <row r="79" spans="1:38" ht="11.25" customHeight="1">
      <c r="A79" s="250">
        <v>189</v>
      </c>
      <c r="B79" s="250" t="s">
        <v>1365</v>
      </c>
      <c r="C79" s="250" t="s">
        <v>1458</v>
      </c>
      <c r="D79" s="250">
        <v>20525</v>
      </c>
      <c r="E79" s="250" t="s">
        <v>505</v>
      </c>
      <c r="F79" s="250">
        <v>83</v>
      </c>
      <c r="G79" s="250" t="s">
        <v>1366</v>
      </c>
      <c r="H79" s="253">
        <f t="shared" si="0"/>
        <v>76</v>
      </c>
      <c r="I79" s="253" t="str">
        <f>IF('School Level Expenditures'!$B$2=A79,'School Tables'!H79,"")</f>
        <v/>
      </c>
      <c r="J79" s="253" t="str">
        <f t="shared" si="1"/>
        <v/>
      </c>
      <c r="K79" s="254" t="b">
        <f t="shared" si="2"/>
        <v>0</v>
      </c>
      <c r="L79" s="256"/>
      <c r="M79" s="256"/>
      <c r="N79" s="256"/>
      <c r="O79" s="208"/>
      <c r="P79" s="255"/>
      <c r="Q79" s="255"/>
      <c r="R79" s="255"/>
      <c r="S79" s="255"/>
      <c r="T79" s="255"/>
      <c r="U79" s="255"/>
      <c r="V79" s="255"/>
      <c r="W79" s="250">
        <v>449</v>
      </c>
      <c r="X79" s="250" t="s">
        <v>1361</v>
      </c>
      <c r="Y79" s="250" t="s">
        <v>1459</v>
      </c>
      <c r="Z79" s="250">
        <v>22565</v>
      </c>
      <c r="AA79" s="250" t="s">
        <v>1017</v>
      </c>
      <c r="AB79" s="250">
        <v>52</v>
      </c>
      <c r="AC79" s="250" t="s">
        <v>1363</v>
      </c>
      <c r="AD79" s="253">
        <f t="shared" si="6"/>
        <v>76</v>
      </c>
      <c r="AE79" s="253" t="str">
        <f>IF('School Level Expenditures'!$B$2='School Tables'!W79,'School Tables'!AD79,"")</f>
        <v/>
      </c>
      <c r="AF79" s="253" t="str">
        <f t="shared" si="7"/>
        <v/>
      </c>
      <c r="AG79" s="254" t="b">
        <f t="shared" si="9"/>
        <v>0</v>
      </c>
      <c r="AH79" s="135">
        <v>238</v>
      </c>
      <c r="AI79" s="135">
        <v>238</v>
      </c>
      <c r="AJ79" s="135" t="s">
        <v>1174</v>
      </c>
      <c r="AK79" s="135">
        <v>23</v>
      </c>
      <c r="AL79" s="135" t="s">
        <v>1107</v>
      </c>
    </row>
    <row r="80" spans="1:38" ht="11.25" customHeight="1">
      <c r="A80" s="250">
        <v>285</v>
      </c>
      <c r="B80" s="250" t="s">
        <v>1258</v>
      </c>
      <c r="C80" s="250" t="s">
        <v>1460</v>
      </c>
      <c r="D80" s="250">
        <v>21290</v>
      </c>
      <c r="E80" s="250" t="s">
        <v>505</v>
      </c>
      <c r="F80" s="250">
        <v>30</v>
      </c>
      <c r="G80" s="250" t="s">
        <v>1260</v>
      </c>
      <c r="H80" s="253">
        <f t="shared" si="0"/>
        <v>77</v>
      </c>
      <c r="I80" s="253" t="str">
        <f>IF('School Level Expenditures'!$B$2=A80,'School Tables'!H80,"")</f>
        <v/>
      </c>
      <c r="J80" s="253" t="str">
        <f t="shared" si="1"/>
        <v/>
      </c>
      <c r="K80" s="254" t="b">
        <f t="shared" si="2"/>
        <v>0</v>
      </c>
      <c r="L80" s="256"/>
      <c r="M80" s="256"/>
      <c r="N80" s="256"/>
      <c r="O80" s="208"/>
      <c r="P80" s="255"/>
      <c r="Q80" s="255"/>
      <c r="R80" s="255"/>
      <c r="S80" s="255"/>
      <c r="T80" s="255"/>
      <c r="U80" s="255"/>
      <c r="V80" s="255"/>
      <c r="W80" s="250">
        <v>450</v>
      </c>
      <c r="X80" s="250" t="s">
        <v>1368</v>
      </c>
      <c r="Y80" s="250" t="s">
        <v>1461</v>
      </c>
      <c r="Z80" s="250">
        <v>21395</v>
      </c>
      <c r="AA80" s="250" t="s">
        <v>1017</v>
      </c>
      <c r="AB80" s="250">
        <v>35</v>
      </c>
      <c r="AC80" s="250" t="s">
        <v>1132</v>
      </c>
      <c r="AD80" s="253">
        <f t="shared" si="6"/>
        <v>77</v>
      </c>
      <c r="AE80" s="253" t="str">
        <f>IF('School Level Expenditures'!$B$2='School Tables'!W80,'School Tables'!AD80,"")</f>
        <v/>
      </c>
      <c r="AF80" s="253" t="str">
        <f t="shared" si="7"/>
        <v/>
      </c>
      <c r="AG80" s="254" t="b">
        <f t="shared" si="9"/>
        <v>0</v>
      </c>
      <c r="AH80" s="135">
        <v>245</v>
      </c>
      <c r="AI80" s="135">
        <v>245</v>
      </c>
      <c r="AJ80" s="135" t="s">
        <v>1462</v>
      </c>
      <c r="AK80" s="135">
        <v>24</v>
      </c>
      <c r="AL80" s="135" t="s">
        <v>1254</v>
      </c>
    </row>
    <row r="81" spans="1:38" ht="11.25" customHeight="1">
      <c r="A81" s="250">
        <v>343</v>
      </c>
      <c r="B81" s="250" t="s">
        <v>1247</v>
      </c>
      <c r="C81" s="250" t="s">
        <v>1463</v>
      </c>
      <c r="D81" s="250">
        <v>21325</v>
      </c>
      <c r="E81" s="250" t="s">
        <v>505</v>
      </c>
      <c r="F81" s="250">
        <v>62</v>
      </c>
      <c r="G81" s="250" t="s">
        <v>1249</v>
      </c>
      <c r="H81" s="253">
        <f t="shared" si="0"/>
        <v>78</v>
      </c>
      <c r="I81" s="253" t="str">
        <f>IF('School Level Expenditures'!$B$2=A81,'School Tables'!H81,"")</f>
        <v/>
      </c>
      <c r="J81" s="253" t="str">
        <f t="shared" si="1"/>
        <v/>
      </c>
      <c r="K81" s="254" t="b">
        <f t="shared" si="2"/>
        <v>0</v>
      </c>
      <c r="L81" s="256"/>
      <c r="M81" s="256"/>
      <c r="N81" s="256"/>
      <c r="O81" s="208"/>
      <c r="P81" s="254"/>
      <c r="Q81" s="254"/>
      <c r="R81" s="254"/>
      <c r="S81" s="254"/>
      <c r="T81" s="254"/>
      <c r="U81" s="254"/>
      <c r="V81" s="254"/>
      <c r="W81" s="250">
        <v>970</v>
      </c>
      <c r="X81" s="250" t="s">
        <v>1464</v>
      </c>
      <c r="Y81" s="250" t="s">
        <v>1465</v>
      </c>
      <c r="Z81" s="250">
        <v>28215</v>
      </c>
      <c r="AA81" s="250" t="s">
        <v>1017</v>
      </c>
      <c r="AB81" s="250">
        <v>301</v>
      </c>
      <c r="AC81" s="250" t="s">
        <v>1464</v>
      </c>
      <c r="AD81" s="253">
        <f t="shared" si="6"/>
        <v>78</v>
      </c>
      <c r="AE81" s="253" t="str">
        <f>IF('School Level Expenditures'!$B$2='School Tables'!W81,'School Tables'!AD81,"")</f>
        <v/>
      </c>
      <c r="AF81" s="253" t="str">
        <f t="shared" si="7"/>
        <v/>
      </c>
      <c r="AG81" s="254" t="b">
        <f t="shared" si="9"/>
        <v>0</v>
      </c>
      <c r="AH81" s="135">
        <v>247</v>
      </c>
      <c r="AI81" s="135">
        <v>247</v>
      </c>
      <c r="AJ81" s="135" t="s">
        <v>1466</v>
      </c>
      <c r="AK81" s="135">
        <v>103</v>
      </c>
      <c r="AL81" s="135" t="s">
        <v>1467</v>
      </c>
    </row>
    <row r="82" spans="1:38" ht="11.25" customHeight="1">
      <c r="A82" s="250">
        <v>165</v>
      </c>
      <c r="B82" s="250" t="s">
        <v>1318</v>
      </c>
      <c r="C82" s="250" t="s">
        <v>1468</v>
      </c>
      <c r="D82" s="250">
        <v>26510</v>
      </c>
      <c r="E82" s="250" t="s">
        <v>505</v>
      </c>
      <c r="F82" s="250">
        <v>14</v>
      </c>
      <c r="G82" s="250" t="s">
        <v>1319</v>
      </c>
      <c r="H82" s="253">
        <f t="shared" si="0"/>
        <v>79</v>
      </c>
      <c r="I82" s="253" t="str">
        <f>IF('School Level Expenditures'!$B$2=A82,'School Tables'!H82,"")</f>
        <v/>
      </c>
      <c r="J82" s="253" t="str">
        <f t="shared" si="1"/>
        <v/>
      </c>
      <c r="K82" s="254" t="b">
        <f t="shared" si="2"/>
        <v>0</v>
      </c>
      <c r="P82" s="255"/>
      <c r="Q82" s="255"/>
      <c r="R82" s="255"/>
      <c r="S82" s="255"/>
      <c r="T82" s="255"/>
      <c r="U82" s="255"/>
      <c r="V82" s="255"/>
      <c r="W82" s="250">
        <v>453</v>
      </c>
      <c r="X82" s="250" t="s">
        <v>1223</v>
      </c>
      <c r="Y82" s="250" t="s">
        <v>1469</v>
      </c>
      <c r="Z82" s="250">
        <v>21390</v>
      </c>
      <c r="AA82" s="250" t="s">
        <v>1017</v>
      </c>
      <c r="AB82" s="250">
        <v>33</v>
      </c>
      <c r="AC82" s="250" t="s">
        <v>1225</v>
      </c>
      <c r="AD82" s="253">
        <f t="shared" si="6"/>
        <v>79</v>
      </c>
      <c r="AE82" s="253" t="str">
        <f>IF('School Level Expenditures'!$B$2='School Tables'!W82,'School Tables'!AD82,"")</f>
        <v/>
      </c>
      <c r="AF82" s="253" t="str">
        <f t="shared" si="7"/>
        <v/>
      </c>
      <c r="AG82" s="254" t="b">
        <f t="shared" si="9"/>
        <v>0</v>
      </c>
      <c r="AH82" s="135">
        <v>251</v>
      </c>
      <c r="AI82" s="135">
        <v>0</v>
      </c>
      <c r="AJ82" s="135" t="s">
        <v>1189</v>
      </c>
      <c r="AK82" s="135">
        <v>34</v>
      </c>
      <c r="AL82" s="135" t="s">
        <v>1191</v>
      </c>
    </row>
    <row r="83" spans="1:38" ht="11.25" customHeight="1">
      <c r="A83" s="250">
        <v>167</v>
      </c>
      <c r="B83" s="250" t="s">
        <v>1324</v>
      </c>
      <c r="C83" s="250" t="s">
        <v>1470</v>
      </c>
      <c r="D83" s="250">
        <v>22600</v>
      </c>
      <c r="E83" s="250" t="s">
        <v>505</v>
      </c>
      <c r="F83" s="250">
        <v>53</v>
      </c>
      <c r="G83" s="250" t="s">
        <v>1035</v>
      </c>
      <c r="H83" s="253">
        <f t="shared" si="0"/>
        <v>80</v>
      </c>
      <c r="I83" s="253" t="str">
        <f>IF('School Level Expenditures'!$B$2=A83,'School Tables'!H83,"")</f>
        <v/>
      </c>
      <c r="J83" s="253" t="str">
        <f t="shared" si="1"/>
        <v/>
      </c>
      <c r="K83" s="254" t="b">
        <f t="shared" si="2"/>
        <v>0</v>
      </c>
      <c r="P83" s="254"/>
      <c r="Q83" s="254"/>
      <c r="R83" s="254"/>
      <c r="S83" s="254"/>
      <c r="T83" s="254"/>
      <c r="U83" s="254"/>
      <c r="V83" s="254"/>
      <c r="W83" s="250">
        <v>457</v>
      </c>
      <c r="X83" s="250" t="s">
        <v>1471</v>
      </c>
      <c r="Y83" s="250" t="s">
        <v>1472</v>
      </c>
      <c r="Z83" s="250">
        <v>29197</v>
      </c>
      <c r="AA83" s="250" t="s">
        <v>1017</v>
      </c>
      <c r="AB83" s="250">
        <v>78</v>
      </c>
      <c r="AC83" s="250" t="s">
        <v>1473</v>
      </c>
      <c r="AD83" s="253">
        <f t="shared" si="6"/>
        <v>80</v>
      </c>
      <c r="AE83" s="253" t="str">
        <f>IF('School Level Expenditures'!$B$2='School Tables'!W83,'School Tables'!AD83,"")</f>
        <v/>
      </c>
      <c r="AF83" s="253" t="str">
        <f t="shared" si="7"/>
        <v/>
      </c>
      <c r="AG83" s="254" t="b">
        <f t="shared" si="9"/>
        <v>0</v>
      </c>
      <c r="AH83" s="135">
        <v>255</v>
      </c>
      <c r="AI83" s="135">
        <v>255</v>
      </c>
      <c r="AJ83" s="135" t="s">
        <v>1198</v>
      </c>
      <c r="AK83" s="135">
        <v>92</v>
      </c>
      <c r="AL83" s="135" t="s">
        <v>1200</v>
      </c>
    </row>
    <row r="84" spans="1:38" ht="11.25" customHeight="1">
      <c r="A84" s="250">
        <v>131</v>
      </c>
      <c r="B84" s="250" t="s">
        <v>1134</v>
      </c>
      <c r="C84" s="250" t="s">
        <v>1474</v>
      </c>
      <c r="D84" s="250">
        <v>28465</v>
      </c>
      <c r="E84" s="250" t="s">
        <v>505</v>
      </c>
      <c r="F84" s="250">
        <v>10</v>
      </c>
      <c r="G84" s="250" t="s">
        <v>1136</v>
      </c>
      <c r="H84" s="253">
        <f t="shared" si="0"/>
        <v>81</v>
      </c>
      <c r="I84" s="253" t="str">
        <f>IF('School Level Expenditures'!$B$2=A84,'School Tables'!H84,"")</f>
        <v/>
      </c>
      <c r="J84" s="253" t="str">
        <f t="shared" si="1"/>
        <v/>
      </c>
      <c r="K84" s="254" t="b">
        <f t="shared" si="2"/>
        <v>0</v>
      </c>
      <c r="P84" s="255"/>
      <c r="Q84" s="255"/>
      <c r="R84" s="255"/>
      <c r="S84" s="255"/>
      <c r="T84" s="255"/>
      <c r="U84" s="255"/>
      <c r="V84" s="255"/>
      <c r="W84" s="250">
        <v>473</v>
      </c>
      <c r="X84" s="250" t="s">
        <v>1408</v>
      </c>
      <c r="Y84" s="250" t="s">
        <v>1475</v>
      </c>
      <c r="Z84" s="250">
        <v>22880</v>
      </c>
      <c r="AA84" s="250" t="s">
        <v>1017</v>
      </c>
      <c r="AB84" s="250">
        <v>57</v>
      </c>
      <c r="AC84" s="250" t="s">
        <v>1410</v>
      </c>
      <c r="AD84" s="253">
        <f t="shared" si="6"/>
        <v>81</v>
      </c>
      <c r="AE84" s="253" t="str">
        <f>IF('School Level Expenditures'!$B$2='School Tables'!W84,'School Tables'!AD84,"")</f>
        <v/>
      </c>
      <c r="AF84" s="253" t="str">
        <f t="shared" si="7"/>
        <v/>
      </c>
      <c r="AG84" s="254" t="b">
        <f t="shared" si="9"/>
        <v>0</v>
      </c>
      <c r="AH84" s="135">
        <v>257</v>
      </c>
      <c r="AI84" s="135">
        <v>257</v>
      </c>
      <c r="AJ84" s="135" t="s">
        <v>1476</v>
      </c>
      <c r="AK84" s="135">
        <v>48</v>
      </c>
      <c r="AL84" s="135" t="s">
        <v>1158</v>
      </c>
    </row>
    <row r="85" spans="1:38" ht="11.25" customHeight="1">
      <c r="A85" s="250">
        <v>171</v>
      </c>
      <c r="B85" s="250" t="s">
        <v>1329</v>
      </c>
      <c r="C85" s="250" t="s">
        <v>1477</v>
      </c>
      <c r="D85" s="250">
        <v>20735</v>
      </c>
      <c r="E85" s="250" t="s">
        <v>505</v>
      </c>
      <c r="F85" s="250">
        <v>20</v>
      </c>
      <c r="G85" s="250" t="s">
        <v>1149</v>
      </c>
      <c r="H85" s="253">
        <f t="shared" si="0"/>
        <v>82</v>
      </c>
      <c r="I85" s="253" t="str">
        <f>IF('School Level Expenditures'!$B$2=A85,'School Tables'!H85,"")</f>
        <v/>
      </c>
      <c r="J85" s="253" t="str">
        <f t="shared" si="1"/>
        <v/>
      </c>
      <c r="K85" s="254" t="b">
        <f t="shared" si="2"/>
        <v>0</v>
      </c>
      <c r="P85" s="255"/>
      <c r="Q85" s="255"/>
      <c r="R85" s="255"/>
      <c r="S85" s="255"/>
      <c r="T85" s="255"/>
      <c r="U85" s="255"/>
      <c r="V85" s="255"/>
      <c r="W85" s="250">
        <v>476</v>
      </c>
      <c r="X85" s="250" t="s">
        <v>1372</v>
      </c>
      <c r="Y85" s="250" t="s">
        <v>1478</v>
      </c>
      <c r="Z85" s="250">
        <v>20620</v>
      </c>
      <c r="AA85" s="250" t="s">
        <v>1017</v>
      </c>
      <c r="AB85" s="250">
        <v>17</v>
      </c>
      <c r="AC85" s="250" t="s">
        <v>1374</v>
      </c>
      <c r="AD85" s="253">
        <f t="shared" si="6"/>
        <v>82</v>
      </c>
      <c r="AE85" s="253" t="str">
        <f>IF('School Level Expenditures'!$B$2='School Tables'!W85,'School Tables'!AD85,"")</f>
        <v/>
      </c>
      <c r="AF85" s="253" t="str">
        <f t="shared" si="7"/>
        <v/>
      </c>
      <c r="AG85" s="254" t="b">
        <f t="shared" si="9"/>
        <v>0</v>
      </c>
      <c r="AH85" s="135">
        <v>259</v>
      </c>
      <c r="AI85" s="135">
        <v>259</v>
      </c>
      <c r="AJ85" s="135" t="s">
        <v>1479</v>
      </c>
      <c r="AK85" s="135">
        <v>41</v>
      </c>
      <c r="AL85" s="135" t="s">
        <v>1152</v>
      </c>
    </row>
    <row r="86" spans="1:38" ht="11.25" customHeight="1">
      <c r="A86" s="250">
        <v>371</v>
      </c>
      <c r="B86" s="250" t="s">
        <v>1068</v>
      </c>
      <c r="C86" s="250" t="s">
        <v>1480</v>
      </c>
      <c r="D86" s="250">
        <v>21840</v>
      </c>
      <c r="E86" s="250" t="s">
        <v>505</v>
      </c>
      <c r="F86" s="250">
        <v>42</v>
      </c>
      <c r="G86" s="250" t="s">
        <v>1070</v>
      </c>
      <c r="H86" s="253">
        <f t="shared" si="0"/>
        <v>83</v>
      </c>
      <c r="I86" s="253" t="str">
        <f>IF('School Level Expenditures'!$B$2=A86,'School Tables'!H86,"")</f>
        <v/>
      </c>
      <c r="J86" s="253" t="str">
        <f t="shared" si="1"/>
        <v/>
      </c>
      <c r="K86" s="254" t="b">
        <f t="shared" si="2"/>
        <v>0</v>
      </c>
      <c r="P86" s="254"/>
      <c r="Q86" s="254"/>
      <c r="R86" s="254"/>
      <c r="S86" s="254"/>
      <c r="T86" s="254"/>
      <c r="U86" s="254"/>
      <c r="V86" s="254"/>
      <c r="W86" s="250">
        <v>491</v>
      </c>
      <c r="X86" s="250" t="s">
        <v>1389</v>
      </c>
      <c r="Y86" s="250" t="s">
        <v>1481</v>
      </c>
      <c r="Z86" s="250">
        <v>22845</v>
      </c>
      <c r="AA86" s="250" t="s">
        <v>1017</v>
      </c>
      <c r="AB86" s="250">
        <v>56</v>
      </c>
      <c r="AC86" s="250" t="s">
        <v>1391</v>
      </c>
      <c r="AD86" s="253">
        <f t="shared" si="6"/>
        <v>83</v>
      </c>
      <c r="AE86" s="253" t="str">
        <f>IF('School Level Expenditures'!$B$2='School Tables'!W86,'School Tables'!AD86,"")</f>
        <v/>
      </c>
      <c r="AF86" s="253" t="str">
        <f t="shared" si="7"/>
        <v/>
      </c>
      <c r="AG86" s="254" t="b">
        <f t="shared" si="9"/>
        <v>0</v>
      </c>
      <c r="AH86" s="135">
        <v>260</v>
      </c>
      <c r="AI86" s="135">
        <v>0</v>
      </c>
      <c r="AJ86" s="135" t="s">
        <v>1204</v>
      </c>
      <c r="AK86" s="135">
        <v>41</v>
      </c>
      <c r="AL86" s="135" t="s">
        <v>1152</v>
      </c>
    </row>
    <row r="87" spans="1:38" ht="11.25" customHeight="1">
      <c r="A87" s="250">
        <v>174</v>
      </c>
      <c r="B87" s="250" t="s">
        <v>1027</v>
      </c>
      <c r="C87" s="250" t="s">
        <v>1482</v>
      </c>
      <c r="D87" s="250">
        <v>27395</v>
      </c>
      <c r="E87" s="250" t="s">
        <v>1321</v>
      </c>
      <c r="F87" s="250">
        <v>60</v>
      </c>
      <c r="G87" s="250" t="s">
        <v>1029</v>
      </c>
      <c r="H87" s="253">
        <f t="shared" si="0"/>
        <v>84</v>
      </c>
      <c r="I87" s="253" t="str">
        <f>IF('School Level Expenditures'!$B$2=A87,'School Tables'!H87,"")</f>
        <v/>
      </c>
      <c r="J87" s="253" t="str">
        <f t="shared" si="1"/>
        <v/>
      </c>
      <c r="K87" s="254" t="b">
        <f t="shared" si="2"/>
        <v>0</v>
      </c>
      <c r="P87" s="254"/>
      <c r="Q87" s="254"/>
      <c r="R87" s="254"/>
      <c r="S87" s="254"/>
      <c r="T87" s="254"/>
      <c r="U87" s="254"/>
      <c r="V87" s="254"/>
      <c r="W87" s="250">
        <v>493</v>
      </c>
      <c r="X87" s="250" t="s">
        <v>1483</v>
      </c>
      <c r="Y87" s="250" t="s">
        <v>1484</v>
      </c>
      <c r="Z87" s="250">
        <v>26860</v>
      </c>
      <c r="AA87" s="250" t="s">
        <v>1017</v>
      </c>
      <c r="AB87" s="250">
        <v>39</v>
      </c>
      <c r="AC87" s="250" t="s">
        <v>1041</v>
      </c>
      <c r="AD87" s="253">
        <f t="shared" si="6"/>
        <v>84</v>
      </c>
      <c r="AE87" s="253" t="str">
        <f>IF('School Level Expenditures'!$B$2='School Tables'!W87,'School Tables'!AD87,"")</f>
        <v/>
      </c>
      <c r="AF87" s="253" t="str">
        <f t="shared" si="7"/>
        <v/>
      </c>
      <c r="AG87" s="254" t="b">
        <f t="shared" si="9"/>
        <v>0</v>
      </c>
      <c r="AH87" s="135">
        <v>261</v>
      </c>
      <c r="AI87" s="135">
        <v>261</v>
      </c>
      <c r="AJ87" s="135" t="s">
        <v>1111</v>
      </c>
      <c r="AK87" s="135">
        <v>15</v>
      </c>
      <c r="AL87" s="135" t="s">
        <v>1076</v>
      </c>
    </row>
    <row r="88" spans="1:38" ht="11.25" customHeight="1">
      <c r="A88" s="250">
        <v>572</v>
      </c>
      <c r="B88" s="250" t="s">
        <v>1424</v>
      </c>
      <c r="C88" s="250" t="s">
        <v>1485</v>
      </c>
      <c r="D88" s="250">
        <v>23060</v>
      </c>
      <c r="E88" s="250" t="s">
        <v>505</v>
      </c>
      <c r="F88" s="250">
        <v>63</v>
      </c>
      <c r="G88" s="250" t="s">
        <v>1426</v>
      </c>
      <c r="H88" s="253">
        <f t="shared" si="0"/>
        <v>85</v>
      </c>
      <c r="I88" s="253" t="str">
        <f>IF('School Level Expenditures'!$B$2=A88,'School Tables'!H88,"")</f>
        <v/>
      </c>
      <c r="J88" s="253" t="str">
        <f t="shared" si="1"/>
        <v/>
      </c>
      <c r="K88" s="254" t="b">
        <f t="shared" si="2"/>
        <v>0</v>
      </c>
      <c r="P88" s="255"/>
      <c r="Q88" s="255"/>
      <c r="R88" s="255"/>
      <c r="S88" s="255"/>
      <c r="T88" s="255"/>
      <c r="U88" s="255"/>
      <c r="V88" s="255"/>
      <c r="W88" s="250">
        <v>714</v>
      </c>
      <c r="X88" s="250" t="s">
        <v>1486</v>
      </c>
      <c r="Y88" s="250" t="s">
        <v>1487</v>
      </c>
      <c r="Z88" s="250">
        <v>29221</v>
      </c>
      <c r="AA88" s="250" t="s">
        <v>1017</v>
      </c>
      <c r="AB88" s="250">
        <v>437</v>
      </c>
      <c r="AC88" s="250" t="s">
        <v>1486</v>
      </c>
      <c r="AD88" s="253">
        <f t="shared" si="6"/>
        <v>85</v>
      </c>
      <c r="AE88" s="253" t="str">
        <f>IF('School Level Expenditures'!$B$2='School Tables'!W88,'School Tables'!AD88,"")</f>
        <v/>
      </c>
      <c r="AF88" s="253" t="str">
        <f t="shared" si="7"/>
        <v/>
      </c>
      <c r="AG88" s="254" t="b">
        <f t="shared" si="9"/>
        <v>0</v>
      </c>
      <c r="AH88" s="135">
        <v>263</v>
      </c>
      <c r="AI88" s="135">
        <v>263</v>
      </c>
      <c r="AJ88" s="135" t="s">
        <v>1209</v>
      </c>
      <c r="AK88" s="135">
        <v>66</v>
      </c>
      <c r="AL88" s="135" t="s">
        <v>1211</v>
      </c>
    </row>
    <row r="89" spans="1:38" ht="11.25" customHeight="1">
      <c r="A89" s="250">
        <v>142</v>
      </c>
      <c r="B89" s="250" t="s">
        <v>1217</v>
      </c>
      <c r="C89" s="250" t="s">
        <v>1488</v>
      </c>
      <c r="D89" s="250">
        <v>20825</v>
      </c>
      <c r="E89" s="250" t="s">
        <v>505</v>
      </c>
      <c r="F89" s="250">
        <v>70</v>
      </c>
      <c r="G89" s="250" t="s">
        <v>1183</v>
      </c>
      <c r="H89" s="253">
        <f t="shared" si="0"/>
        <v>86</v>
      </c>
      <c r="I89" s="253" t="str">
        <f>IF('School Level Expenditures'!$B$2=A89,'School Tables'!H89,"")</f>
        <v/>
      </c>
      <c r="J89" s="253" t="str">
        <f t="shared" si="1"/>
        <v/>
      </c>
      <c r="K89" s="254" t="b">
        <f t="shared" si="2"/>
        <v>0</v>
      </c>
      <c r="P89" s="254"/>
      <c r="Q89" s="254"/>
      <c r="R89" s="254"/>
      <c r="S89" s="254"/>
      <c r="T89" s="254"/>
      <c r="U89" s="254"/>
      <c r="V89" s="254"/>
      <c r="W89" s="250">
        <v>461</v>
      </c>
      <c r="X89" s="250" t="s">
        <v>1072</v>
      </c>
      <c r="Y89" s="250" t="s">
        <v>1489</v>
      </c>
      <c r="Z89" s="250">
        <v>22700</v>
      </c>
      <c r="AA89" s="250" t="s">
        <v>1017</v>
      </c>
      <c r="AB89" s="250">
        <v>54</v>
      </c>
      <c r="AC89" s="250" t="s">
        <v>1074</v>
      </c>
      <c r="AD89" s="253">
        <f t="shared" si="6"/>
        <v>86</v>
      </c>
      <c r="AE89" s="253" t="str">
        <f>IF('School Level Expenditures'!$B$2='School Tables'!W89,'School Tables'!AD89,"")</f>
        <v/>
      </c>
      <c r="AF89" s="253" t="str">
        <f t="shared" si="7"/>
        <v/>
      </c>
      <c r="AG89" s="254" t="b">
        <f t="shared" si="9"/>
        <v>0</v>
      </c>
      <c r="AH89" s="135">
        <v>267</v>
      </c>
      <c r="AI89" s="135">
        <v>267</v>
      </c>
      <c r="AJ89" s="135" t="s">
        <v>1031</v>
      </c>
      <c r="AK89" s="135">
        <v>81</v>
      </c>
      <c r="AL89" s="135" t="s">
        <v>1033</v>
      </c>
    </row>
    <row r="90" spans="1:38" ht="11.25" customHeight="1">
      <c r="A90" s="250">
        <v>112</v>
      </c>
      <c r="B90" s="250" t="s">
        <v>1086</v>
      </c>
      <c r="C90" s="250" t="s">
        <v>1490</v>
      </c>
      <c r="D90" s="250">
        <v>22245</v>
      </c>
      <c r="E90" s="250" t="s">
        <v>505</v>
      </c>
      <c r="F90" s="250">
        <v>1</v>
      </c>
      <c r="G90" s="250" t="s">
        <v>1088</v>
      </c>
      <c r="H90" s="253">
        <f t="shared" si="0"/>
        <v>87</v>
      </c>
      <c r="I90" s="253" t="str">
        <f>IF('School Level Expenditures'!$B$2=A90,'School Tables'!H90,"")</f>
        <v/>
      </c>
      <c r="J90" s="253" t="str">
        <f t="shared" si="1"/>
        <v/>
      </c>
      <c r="K90" s="254" t="b">
        <f t="shared" si="2"/>
        <v>0</v>
      </c>
      <c r="P90" s="255"/>
      <c r="Q90" s="255"/>
      <c r="R90" s="255"/>
      <c r="S90" s="255"/>
      <c r="T90" s="255"/>
      <c r="U90" s="255"/>
      <c r="V90" s="255"/>
      <c r="W90" s="250">
        <v>101</v>
      </c>
      <c r="X90" s="250" t="s">
        <v>1089</v>
      </c>
      <c r="Y90" s="250" t="s">
        <v>1491</v>
      </c>
      <c r="Z90" s="250">
        <v>20140</v>
      </c>
      <c r="AA90" s="250" t="s">
        <v>1017</v>
      </c>
      <c r="AB90" s="250">
        <v>6</v>
      </c>
      <c r="AC90" s="250" t="s">
        <v>1091</v>
      </c>
      <c r="AD90" s="253">
        <f t="shared" si="6"/>
        <v>87</v>
      </c>
      <c r="AE90" s="253" t="str">
        <f>IF('School Level Expenditures'!$B$2='School Tables'!W90,'School Tables'!AD90,"")</f>
        <v/>
      </c>
      <c r="AF90" s="253" t="str">
        <f t="shared" si="7"/>
        <v/>
      </c>
      <c r="AG90" s="254" t="b">
        <f t="shared" si="9"/>
        <v>0</v>
      </c>
      <c r="AH90" s="135">
        <v>269</v>
      </c>
      <c r="AI90" s="135">
        <v>0</v>
      </c>
      <c r="AJ90" s="135" t="s">
        <v>1243</v>
      </c>
      <c r="AK90" s="135">
        <v>2</v>
      </c>
      <c r="AL90" s="135" t="s">
        <v>1067</v>
      </c>
    </row>
    <row r="91" spans="1:38" ht="11.25" customHeight="1">
      <c r="A91" s="250">
        <v>279</v>
      </c>
      <c r="B91" s="250" t="s">
        <v>1236</v>
      </c>
      <c r="C91" s="250" t="s">
        <v>1492</v>
      </c>
      <c r="D91" s="250">
        <v>21190</v>
      </c>
      <c r="E91" s="250" t="s">
        <v>505</v>
      </c>
      <c r="F91" s="250">
        <v>29</v>
      </c>
      <c r="G91" s="250" t="s">
        <v>1187</v>
      </c>
      <c r="H91" s="253">
        <f t="shared" si="0"/>
        <v>88</v>
      </c>
      <c r="I91" s="253" t="str">
        <f>IF('School Level Expenditures'!$B$2=A91,'School Tables'!H91,"")</f>
        <v/>
      </c>
      <c r="J91" s="253" t="str">
        <f t="shared" si="1"/>
        <v/>
      </c>
      <c r="K91" s="254" t="b">
        <f t="shared" si="2"/>
        <v>0</v>
      </c>
      <c r="P91" s="254"/>
      <c r="Q91" s="254"/>
      <c r="R91" s="254"/>
      <c r="S91" s="254"/>
      <c r="T91" s="254"/>
      <c r="U91" s="254"/>
      <c r="V91" s="254"/>
      <c r="W91" s="250">
        <v>515</v>
      </c>
      <c r="X91" s="250" t="s">
        <v>1404</v>
      </c>
      <c r="Y91" s="250" t="s">
        <v>1493</v>
      </c>
      <c r="Z91" s="250">
        <v>22000</v>
      </c>
      <c r="AA91" s="250" t="s">
        <v>1017</v>
      </c>
      <c r="AB91" s="250">
        <v>85</v>
      </c>
      <c r="AC91" s="250" t="s">
        <v>1406</v>
      </c>
      <c r="AD91" s="253">
        <f t="shared" si="6"/>
        <v>88</v>
      </c>
      <c r="AE91" s="253" t="str">
        <f>IF('School Level Expenditures'!$B$2='School Tables'!W91,'School Tables'!AD91,"")</f>
        <v/>
      </c>
      <c r="AF91" s="253" t="str">
        <f t="shared" si="7"/>
        <v/>
      </c>
      <c r="AG91" s="254" t="b">
        <f t="shared" si="9"/>
        <v>0</v>
      </c>
      <c r="AH91" s="135">
        <v>271</v>
      </c>
      <c r="AI91" s="135">
        <v>271</v>
      </c>
      <c r="AJ91" s="135" t="s">
        <v>1494</v>
      </c>
      <c r="AK91" s="135">
        <v>9</v>
      </c>
      <c r="AL91" s="135" t="s">
        <v>1024</v>
      </c>
    </row>
    <row r="92" spans="1:38" ht="11.25" customHeight="1">
      <c r="A92" s="250">
        <v>185</v>
      </c>
      <c r="B92" s="250" t="s">
        <v>1169</v>
      </c>
      <c r="C92" s="250" t="s">
        <v>1495</v>
      </c>
      <c r="D92" s="250">
        <v>26755</v>
      </c>
      <c r="E92" s="250" t="s">
        <v>505</v>
      </c>
      <c r="F92" s="250">
        <v>18</v>
      </c>
      <c r="G92" s="250" t="s">
        <v>1171</v>
      </c>
      <c r="H92" s="253">
        <f t="shared" si="0"/>
        <v>89</v>
      </c>
      <c r="I92" s="253" t="str">
        <f>IF('School Level Expenditures'!$B$2=A92,'School Tables'!H92,"")</f>
        <v/>
      </c>
      <c r="J92" s="253" t="str">
        <f t="shared" si="1"/>
        <v/>
      </c>
      <c r="K92" s="254" t="b">
        <f t="shared" si="2"/>
        <v>0</v>
      </c>
      <c r="P92" s="254"/>
      <c r="Q92" s="254"/>
      <c r="R92" s="254"/>
      <c r="S92" s="254"/>
      <c r="T92" s="254"/>
      <c r="U92" s="254"/>
      <c r="V92" s="254"/>
      <c r="W92" s="250">
        <v>741</v>
      </c>
      <c r="X92" s="250" t="s">
        <v>1496</v>
      </c>
      <c r="Y92" s="250" t="s">
        <v>1497</v>
      </c>
      <c r="Z92" s="250">
        <v>29149</v>
      </c>
      <c r="AA92" s="250" t="s">
        <v>1017</v>
      </c>
      <c r="AB92" s="250">
        <v>423</v>
      </c>
      <c r="AC92" s="250" t="s">
        <v>1496</v>
      </c>
      <c r="AD92" s="253">
        <f t="shared" si="6"/>
        <v>89</v>
      </c>
      <c r="AE92" s="253" t="str">
        <f>IF('School Level Expenditures'!$B$2='School Tables'!W92,'School Tables'!AD92,"")</f>
        <v/>
      </c>
      <c r="AF92" s="253" t="str">
        <f t="shared" si="7"/>
        <v/>
      </c>
      <c r="AG92" s="254" t="b">
        <f t="shared" si="9"/>
        <v>0</v>
      </c>
      <c r="AH92" s="135">
        <v>274</v>
      </c>
      <c r="AI92" s="135">
        <v>0</v>
      </c>
      <c r="AJ92" s="135" t="s">
        <v>1119</v>
      </c>
      <c r="AK92" s="135">
        <v>47</v>
      </c>
      <c r="AL92" s="135" t="s">
        <v>1121</v>
      </c>
    </row>
    <row r="93" spans="1:38" ht="11.25" customHeight="1">
      <c r="A93" s="250">
        <v>261</v>
      </c>
      <c r="B93" s="250" t="s">
        <v>1111</v>
      </c>
      <c r="C93" s="250" t="s">
        <v>1498</v>
      </c>
      <c r="D93" s="250">
        <v>20550</v>
      </c>
      <c r="E93" s="250" t="s">
        <v>505</v>
      </c>
      <c r="F93" s="250">
        <v>15</v>
      </c>
      <c r="G93" s="250" t="s">
        <v>1076</v>
      </c>
      <c r="H93" s="253">
        <f t="shared" si="0"/>
        <v>90</v>
      </c>
      <c r="I93" s="253" t="str">
        <f>IF('School Level Expenditures'!$B$2=A93,'School Tables'!H93,"")</f>
        <v/>
      </c>
      <c r="J93" s="253" t="str">
        <f t="shared" si="1"/>
        <v/>
      </c>
      <c r="K93" s="254" t="b">
        <f t="shared" si="2"/>
        <v>0</v>
      </c>
      <c r="P93" s="254"/>
      <c r="Q93" s="254"/>
      <c r="R93" s="254"/>
      <c r="S93" s="254"/>
      <c r="T93" s="254"/>
      <c r="U93" s="254"/>
      <c r="V93" s="254"/>
      <c r="W93" s="250">
        <v>534</v>
      </c>
      <c r="X93" s="250" t="s">
        <v>1108</v>
      </c>
      <c r="Y93" s="250" t="s">
        <v>1499</v>
      </c>
      <c r="Z93" s="250">
        <v>22770</v>
      </c>
      <c r="AA93" s="250" t="s">
        <v>1017</v>
      </c>
      <c r="AB93" s="250">
        <v>106</v>
      </c>
      <c r="AC93" s="250" t="s">
        <v>1110</v>
      </c>
      <c r="AD93" s="253">
        <f t="shared" si="6"/>
        <v>90</v>
      </c>
      <c r="AE93" s="253" t="str">
        <f>IF('School Level Expenditures'!$B$2='School Tables'!W93,'School Tables'!AD93,"")</f>
        <v/>
      </c>
      <c r="AF93" s="253" t="str">
        <f t="shared" si="7"/>
        <v/>
      </c>
      <c r="AG93" s="254" t="b">
        <f t="shared" si="9"/>
        <v>0</v>
      </c>
      <c r="AH93" s="135">
        <v>275</v>
      </c>
      <c r="AI93" s="135">
        <v>0</v>
      </c>
      <c r="AJ93" s="135" t="s">
        <v>1252</v>
      </c>
      <c r="AK93" s="135">
        <v>24</v>
      </c>
      <c r="AL93" s="135" t="s">
        <v>1254</v>
      </c>
    </row>
    <row r="94" spans="1:38" ht="11.25" customHeight="1">
      <c r="A94" s="250">
        <v>187</v>
      </c>
      <c r="B94" s="250" t="s">
        <v>1358</v>
      </c>
      <c r="C94" s="250" t="s">
        <v>1500</v>
      </c>
      <c r="D94" s="250">
        <v>20350</v>
      </c>
      <c r="E94" s="250" t="s">
        <v>505</v>
      </c>
      <c r="F94" s="250">
        <v>13</v>
      </c>
      <c r="G94" s="250" t="s">
        <v>1359</v>
      </c>
      <c r="H94" s="253">
        <f t="shared" si="0"/>
        <v>91</v>
      </c>
      <c r="I94" s="253" t="str">
        <f>IF('School Level Expenditures'!$B$2=A94,'School Tables'!H94,"")</f>
        <v/>
      </c>
      <c r="J94" s="253" t="str">
        <f t="shared" si="1"/>
        <v/>
      </c>
      <c r="K94" s="254" t="b">
        <f t="shared" si="2"/>
        <v>0</v>
      </c>
      <c r="P94" s="255"/>
      <c r="Q94" s="255"/>
      <c r="R94" s="255"/>
      <c r="S94" s="255"/>
      <c r="T94" s="255"/>
      <c r="U94" s="255"/>
      <c r="V94" s="255"/>
      <c r="W94" s="250">
        <v>727</v>
      </c>
      <c r="X94" s="250" t="s">
        <v>1501</v>
      </c>
      <c r="Y94" s="250" t="s">
        <v>1502</v>
      </c>
      <c r="Z94" s="250">
        <v>28605</v>
      </c>
      <c r="AA94" s="250" t="s">
        <v>1017</v>
      </c>
      <c r="AB94" s="250">
        <v>412</v>
      </c>
      <c r="AC94" s="250" t="s">
        <v>1501</v>
      </c>
      <c r="AD94" s="253">
        <f t="shared" si="6"/>
        <v>91</v>
      </c>
      <c r="AE94" s="253" t="str">
        <f>IF('School Level Expenditures'!$B$2='School Tables'!W94,'School Tables'!AD94,"")</f>
        <v/>
      </c>
      <c r="AF94" s="253" t="str">
        <f t="shared" si="7"/>
        <v/>
      </c>
      <c r="AG94" s="254" t="b">
        <f t="shared" si="9"/>
        <v>0</v>
      </c>
      <c r="AH94" s="135">
        <v>276</v>
      </c>
      <c r="AI94" s="135">
        <v>0</v>
      </c>
      <c r="AJ94" s="135" t="s">
        <v>1231</v>
      </c>
      <c r="AK94" s="135">
        <v>65</v>
      </c>
      <c r="AL94" s="135" t="s">
        <v>1233</v>
      </c>
    </row>
    <row r="95" spans="1:38" ht="11.25" customHeight="1">
      <c r="A95" s="250">
        <v>279</v>
      </c>
      <c r="B95" s="250" t="s">
        <v>1236</v>
      </c>
      <c r="C95" s="250" t="s">
        <v>1503</v>
      </c>
      <c r="D95" s="250">
        <v>21165</v>
      </c>
      <c r="E95" s="250" t="s">
        <v>505</v>
      </c>
      <c r="F95" s="250">
        <v>29</v>
      </c>
      <c r="G95" s="250" t="s">
        <v>1187</v>
      </c>
      <c r="H95" s="253">
        <f t="shared" si="0"/>
        <v>92</v>
      </c>
      <c r="I95" s="253" t="str">
        <f>IF('School Level Expenditures'!$B$2=A95,'School Tables'!H95,"")</f>
        <v/>
      </c>
      <c r="J95" s="253" t="str">
        <f t="shared" si="1"/>
        <v/>
      </c>
      <c r="K95" s="254" t="b">
        <f t="shared" si="2"/>
        <v>0</v>
      </c>
      <c r="P95" s="254"/>
      <c r="Q95" s="254"/>
      <c r="R95" s="254"/>
      <c r="S95" s="254"/>
      <c r="T95" s="254"/>
      <c r="U95" s="254"/>
      <c r="V95" s="254"/>
      <c r="W95" s="250">
        <v>568</v>
      </c>
      <c r="X95" s="250" t="s">
        <v>1504</v>
      </c>
      <c r="Y95" s="250" t="s">
        <v>1505</v>
      </c>
      <c r="Z95" s="250">
        <v>21480</v>
      </c>
      <c r="AA95" s="250" t="s">
        <v>1017</v>
      </c>
      <c r="AB95" s="250">
        <v>36</v>
      </c>
      <c r="AC95" s="250" t="s">
        <v>1506</v>
      </c>
      <c r="AD95" s="253">
        <f t="shared" si="6"/>
        <v>92</v>
      </c>
      <c r="AE95" s="253" t="str">
        <f>IF('School Level Expenditures'!$B$2='School Tables'!W95,'School Tables'!AD95,"")</f>
        <v/>
      </c>
      <c r="AF95" s="253" t="str">
        <f t="shared" si="7"/>
        <v/>
      </c>
      <c r="AG95" s="254" t="b">
        <f t="shared" si="9"/>
        <v>0</v>
      </c>
      <c r="AH95" s="135">
        <v>279</v>
      </c>
      <c r="AI95" s="135">
        <v>279</v>
      </c>
      <c r="AJ95" s="135" t="s">
        <v>1236</v>
      </c>
      <c r="AK95" s="135">
        <v>29</v>
      </c>
      <c r="AL95" s="135" t="s">
        <v>1187</v>
      </c>
    </row>
    <row r="96" spans="1:38" ht="11.25" customHeight="1">
      <c r="A96" s="250">
        <v>141</v>
      </c>
      <c r="B96" s="250" t="s">
        <v>1116</v>
      </c>
      <c r="C96" s="250" t="s">
        <v>1507</v>
      </c>
      <c r="D96" s="250">
        <v>20430</v>
      </c>
      <c r="E96" s="250" t="s">
        <v>505</v>
      </c>
      <c r="F96" s="250">
        <v>11</v>
      </c>
      <c r="G96" s="250" t="s">
        <v>1118</v>
      </c>
      <c r="H96" s="253">
        <f t="shared" si="0"/>
        <v>93</v>
      </c>
      <c r="I96" s="253" t="str">
        <f>IF('School Level Expenditures'!$B$2=A96,'School Tables'!H96,"")</f>
        <v/>
      </c>
      <c r="J96" s="253" t="str">
        <f t="shared" si="1"/>
        <v/>
      </c>
      <c r="K96" s="254" t="b">
        <f t="shared" si="2"/>
        <v>0</v>
      </c>
      <c r="P96" s="255"/>
      <c r="Q96" s="255"/>
      <c r="R96" s="255"/>
      <c r="S96" s="255"/>
      <c r="T96" s="255"/>
      <c r="U96" s="255"/>
      <c r="V96" s="255"/>
      <c r="W96" s="250">
        <v>572</v>
      </c>
      <c r="X96" s="250" t="s">
        <v>1424</v>
      </c>
      <c r="Y96" s="250" t="s">
        <v>1508</v>
      </c>
      <c r="Z96" s="250">
        <v>23070</v>
      </c>
      <c r="AA96" s="250" t="s">
        <v>1017</v>
      </c>
      <c r="AB96" s="250">
        <v>63</v>
      </c>
      <c r="AC96" s="250" t="s">
        <v>1426</v>
      </c>
      <c r="AD96" s="253">
        <f t="shared" si="6"/>
        <v>93</v>
      </c>
      <c r="AE96" s="253" t="str">
        <f>IF('School Level Expenditures'!$B$2='School Tables'!W96,'School Tables'!AD96,"")</f>
        <v/>
      </c>
      <c r="AF96" s="253" t="str">
        <f t="shared" si="7"/>
        <v/>
      </c>
      <c r="AG96" s="254" t="b">
        <f t="shared" si="9"/>
        <v>0</v>
      </c>
      <c r="AH96" s="135">
        <v>281</v>
      </c>
      <c r="AI96" s="135">
        <v>281</v>
      </c>
      <c r="AJ96" s="135" t="s">
        <v>1509</v>
      </c>
      <c r="AK96" s="135">
        <v>16</v>
      </c>
      <c r="AL96" s="135" t="s">
        <v>1096</v>
      </c>
    </row>
    <row r="97" spans="1:38" ht="11.25" customHeight="1">
      <c r="A97" s="250">
        <v>742</v>
      </c>
      <c r="B97" s="250" t="s">
        <v>1371</v>
      </c>
      <c r="C97" s="250" t="s">
        <v>1510</v>
      </c>
      <c r="D97" s="250">
        <v>29151</v>
      </c>
      <c r="E97" s="250" t="s">
        <v>505</v>
      </c>
      <c r="F97" s="250">
        <v>425</v>
      </c>
      <c r="G97" s="250" t="s">
        <v>1371</v>
      </c>
      <c r="H97" s="253">
        <f t="shared" si="0"/>
        <v>94</v>
      </c>
      <c r="I97" s="253" t="str">
        <f>IF('School Level Expenditures'!$B$2=A97,'School Tables'!H97,"")</f>
        <v/>
      </c>
      <c r="J97" s="253" t="str">
        <f t="shared" si="1"/>
        <v/>
      </c>
      <c r="K97" s="254" t="b">
        <f t="shared" si="2"/>
        <v>0</v>
      </c>
      <c r="P97" s="254"/>
      <c r="Q97" s="254"/>
      <c r="R97" s="254"/>
      <c r="S97" s="254"/>
      <c r="T97" s="254"/>
      <c r="U97" s="254"/>
      <c r="V97" s="254"/>
      <c r="W97" s="250">
        <v>575</v>
      </c>
      <c r="X97" s="250" t="s">
        <v>1431</v>
      </c>
      <c r="Y97" s="250" t="s">
        <v>1511</v>
      </c>
      <c r="Z97" s="250">
        <v>28640</v>
      </c>
      <c r="AA97" s="250" t="s">
        <v>1017</v>
      </c>
      <c r="AB97" s="250">
        <v>95</v>
      </c>
      <c r="AC97" s="250" t="s">
        <v>1433</v>
      </c>
      <c r="AD97" s="253">
        <f t="shared" si="6"/>
        <v>94</v>
      </c>
      <c r="AE97" s="253" t="str">
        <f>IF('School Level Expenditures'!$B$2='School Tables'!W97,'School Tables'!AD97,"")</f>
        <v/>
      </c>
      <c r="AF97" s="253" t="str">
        <f t="shared" si="7"/>
        <v/>
      </c>
      <c r="AG97" s="254" t="b">
        <f t="shared" si="9"/>
        <v>0</v>
      </c>
      <c r="AH97" s="253">
        <v>708</v>
      </c>
      <c r="AI97" s="253">
        <v>708</v>
      </c>
      <c r="AJ97" s="253" t="s">
        <v>1250</v>
      </c>
      <c r="AK97" s="253">
        <v>432</v>
      </c>
      <c r="AL97" s="253" t="s">
        <v>1250</v>
      </c>
    </row>
    <row r="98" spans="1:38" ht="11.25" customHeight="1">
      <c r="A98" s="250">
        <v>750</v>
      </c>
      <c r="B98" s="250" t="s">
        <v>1176</v>
      </c>
      <c r="C98" s="250" t="s">
        <v>1512</v>
      </c>
      <c r="D98" s="250">
        <v>29238</v>
      </c>
      <c r="E98" s="250" t="s">
        <v>505</v>
      </c>
      <c r="F98" s="250">
        <v>450</v>
      </c>
      <c r="G98" s="250" t="s">
        <v>1178</v>
      </c>
      <c r="H98" s="253">
        <f t="shared" si="0"/>
        <v>95</v>
      </c>
      <c r="I98" s="253" t="str">
        <f>IF('School Level Expenditures'!$B$2=A98,'School Tables'!H98,"")</f>
        <v/>
      </c>
      <c r="J98" s="253" t="str">
        <f t="shared" si="1"/>
        <v/>
      </c>
      <c r="K98" s="254" t="b">
        <f t="shared" si="2"/>
        <v>0</v>
      </c>
      <c r="P98" s="255"/>
      <c r="Q98" s="255"/>
      <c r="R98" s="255"/>
      <c r="S98" s="255"/>
      <c r="T98" s="255"/>
      <c r="U98" s="255"/>
      <c r="V98" s="255"/>
      <c r="W98" s="250">
        <v>581</v>
      </c>
      <c r="X98" s="250" t="s">
        <v>1513</v>
      </c>
      <c r="Y98" s="250" t="s">
        <v>1514</v>
      </c>
      <c r="Z98" s="250">
        <v>20780</v>
      </c>
      <c r="AA98" s="250" t="s">
        <v>1017</v>
      </c>
      <c r="AB98" s="250">
        <v>21</v>
      </c>
      <c r="AC98" s="250" t="s">
        <v>1447</v>
      </c>
      <c r="AD98" s="253">
        <f t="shared" si="6"/>
        <v>95</v>
      </c>
      <c r="AE98" s="253" t="str">
        <f>IF('School Level Expenditures'!$B$2='School Tables'!W98,'School Tables'!AD98,"")</f>
        <v/>
      </c>
      <c r="AF98" s="253" t="str">
        <f t="shared" si="7"/>
        <v/>
      </c>
      <c r="AG98" s="254" t="b">
        <f t="shared" si="9"/>
        <v>0</v>
      </c>
      <c r="AH98" s="135">
        <v>285</v>
      </c>
      <c r="AI98" s="135">
        <v>285</v>
      </c>
      <c r="AJ98" s="135" t="s">
        <v>1258</v>
      </c>
      <c r="AK98" s="135">
        <v>30</v>
      </c>
      <c r="AL98" s="135" t="s">
        <v>1260</v>
      </c>
    </row>
    <row r="99" spans="1:38" ht="11.25" customHeight="1">
      <c r="A99" s="250">
        <v>191</v>
      </c>
      <c r="B99" s="250" t="s">
        <v>1141</v>
      </c>
      <c r="C99" s="250" t="s">
        <v>1515</v>
      </c>
      <c r="D99" s="250">
        <v>21245</v>
      </c>
      <c r="E99" s="250" t="s">
        <v>505</v>
      </c>
      <c r="F99" s="250">
        <v>73</v>
      </c>
      <c r="G99" s="250" t="s">
        <v>1143</v>
      </c>
      <c r="H99" s="253">
        <f t="shared" si="0"/>
        <v>96</v>
      </c>
      <c r="I99" s="253" t="str">
        <f>IF('School Level Expenditures'!$B$2=A99,'School Tables'!H99,"")</f>
        <v/>
      </c>
      <c r="J99" s="253" t="str">
        <f t="shared" si="1"/>
        <v/>
      </c>
      <c r="K99" s="254" t="b">
        <f t="shared" si="2"/>
        <v>0</v>
      </c>
      <c r="P99" s="254"/>
      <c r="Q99" s="254"/>
      <c r="R99" s="254"/>
      <c r="S99" s="254"/>
      <c r="T99" s="254"/>
      <c r="U99" s="254"/>
      <c r="V99" s="254"/>
      <c r="W99" s="250">
        <v>582</v>
      </c>
      <c r="X99" s="250" t="s">
        <v>1438</v>
      </c>
      <c r="Y99" s="250" t="s">
        <v>1516</v>
      </c>
      <c r="Z99" s="250">
        <v>22950</v>
      </c>
      <c r="AA99" s="250" t="s">
        <v>1017</v>
      </c>
      <c r="AB99" s="250">
        <v>59</v>
      </c>
      <c r="AC99" s="250" t="s">
        <v>1440</v>
      </c>
      <c r="AD99" s="253">
        <f t="shared" si="6"/>
        <v>96</v>
      </c>
      <c r="AE99" s="253" t="str">
        <f>IF('School Level Expenditures'!$B$2='School Tables'!W99,'School Tables'!AD99,"")</f>
        <v/>
      </c>
      <c r="AF99" s="253" t="str">
        <f t="shared" si="7"/>
        <v/>
      </c>
      <c r="AG99" s="254" t="b">
        <f t="shared" si="9"/>
        <v>0</v>
      </c>
      <c r="AH99" s="135">
        <v>288</v>
      </c>
      <c r="AI99" s="135">
        <v>0</v>
      </c>
      <c r="AJ99" s="135" t="s">
        <v>1517</v>
      </c>
      <c r="AK99" s="135">
        <v>35</v>
      </c>
      <c r="AL99" s="135" t="s">
        <v>1132</v>
      </c>
    </row>
    <row r="100" spans="1:38" ht="11.25" customHeight="1">
      <c r="A100" s="250">
        <v>195</v>
      </c>
      <c r="B100" s="250" t="s">
        <v>1383</v>
      </c>
      <c r="C100" s="250" t="s">
        <v>1518</v>
      </c>
      <c r="D100" s="250">
        <v>21250</v>
      </c>
      <c r="E100" s="250" t="s">
        <v>505</v>
      </c>
      <c r="F100" s="250">
        <v>79</v>
      </c>
      <c r="G100" s="250" t="s">
        <v>1384</v>
      </c>
      <c r="H100" s="253">
        <f t="shared" si="0"/>
        <v>97</v>
      </c>
      <c r="I100" s="253" t="str">
        <f>IF('School Level Expenditures'!$B$2=A100,'School Tables'!H100,"")</f>
        <v/>
      </c>
      <c r="J100" s="253" t="str">
        <f t="shared" si="1"/>
        <v/>
      </c>
      <c r="K100" s="254" t="b">
        <f t="shared" si="2"/>
        <v>0</v>
      </c>
      <c r="P100" s="256"/>
      <c r="Q100" s="256"/>
      <c r="R100" s="256"/>
      <c r="S100" s="256"/>
      <c r="T100" s="256"/>
      <c r="U100" s="256"/>
      <c r="V100" s="256"/>
      <c r="W100" s="250">
        <v>238</v>
      </c>
      <c r="X100" s="250" t="s">
        <v>1174</v>
      </c>
      <c r="Y100" s="250" t="s">
        <v>1519</v>
      </c>
      <c r="Z100" s="250">
        <v>20910</v>
      </c>
      <c r="AA100" s="250" t="s">
        <v>1017</v>
      </c>
      <c r="AB100" s="250">
        <v>23</v>
      </c>
      <c r="AC100" s="250" t="s">
        <v>1107</v>
      </c>
      <c r="AD100" s="253">
        <f t="shared" si="6"/>
        <v>97</v>
      </c>
      <c r="AE100" s="253" t="str">
        <f>IF('School Level Expenditures'!$B$2='School Tables'!W100,'School Tables'!AD100,"")</f>
        <v/>
      </c>
      <c r="AF100" s="253" t="str">
        <f t="shared" si="7"/>
        <v/>
      </c>
      <c r="AH100" s="135">
        <v>291</v>
      </c>
      <c r="AI100" s="135">
        <v>291</v>
      </c>
      <c r="AJ100" s="135" t="s">
        <v>1520</v>
      </c>
      <c r="AK100" s="135">
        <v>35</v>
      </c>
      <c r="AL100" s="135" t="s">
        <v>1132</v>
      </c>
    </row>
    <row r="101" spans="1:38" ht="11.25" customHeight="1">
      <c r="A101" s="250">
        <v>363</v>
      </c>
      <c r="B101" s="250" t="s">
        <v>1308</v>
      </c>
      <c r="C101" s="250" t="s">
        <v>1521</v>
      </c>
      <c r="D101" s="250">
        <v>21670</v>
      </c>
      <c r="E101" s="250" t="s">
        <v>505</v>
      </c>
      <c r="F101" s="250">
        <v>93</v>
      </c>
      <c r="G101" s="250" t="s">
        <v>1310</v>
      </c>
      <c r="H101" s="253">
        <f t="shared" si="0"/>
        <v>98</v>
      </c>
      <c r="I101" s="253" t="str">
        <f>IF('School Level Expenditures'!$B$2=A101,'School Tables'!H101,"")</f>
        <v/>
      </c>
      <c r="J101" s="253" t="str">
        <f t="shared" si="1"/>
        <v/>
      </c>
      <c r="K101" s="254" t="b">
        <f t="shared" si="2"/>
        <v>0</v>
      </c>
      <c r="P101" s="256"/>
      <c r="Q101" s="256"/>
      <c r="R101" s="256"/>
      <c r="S101" s="256"/>
      <c r="T101" s="256"/>
      <c r="U101" s="256"/>
      <c r="V101" s="256"/>
      <c r="W101" s="208"/>
      <c r="AH101" s="253">
        <v>706</v>
      </c>
      <c r="AI101" s="253">
        <v>706</v>
      </c>
      <c r="AJ101" s="253" t="s">
        <v>1292</v>
      </c>
      <c r="AK101" s="253">
        <v>431</v>
      </c>
      <c r="AL101" s="253" t="s">
        <v>1292</v>
      </c>
    </row>
    <row r="102" spans="1:38" ht="11.25" customHeight="1">
      <c r="A102" s="250">
        <v>199</v>
      </c>
      <c r="B102" s="250" t="s">
        <v>1138</v>
      </c>
      <c r="C102" s="250" t="s">
        <v>1522</v>
      </c>
      <c r="D102" s="250">
        <v>28525</v>
      </c>
      <c r="E102" s="250" t="s">
        <v>505</v>
      </c>
      <c r="F102" s="250">
        <v>19</v>
      </c>
      <c r="G102" s="250" t="s">
        <v>1140</v>
      </c>
      <c r="H102" s="253">
        <f t="shared" si="0"/>
        <v>99</v>
      </c>
      <c r="I102" s="253" t="str">
        <f>IF('School Level Expenditures'!$B$2=A102,'School Tables'!H102,"")</f>
        <v/>
      </c>
      <c r="J102" s="253" t="str">
        <f t="shared" si="1"/>
        <v/>
      </c>
      <c r="K102" s="254" t="b">
        <f t="shared" si="2"/>
        <v>0</v>
      </c>
      <c r="P102" s="256"/>
      <c r="Q102" s="256"/>
      <c r="R102" s="256"/>
      <c r="S102" s="256"/>
      <c r="T102" s="256"/>
      <c r="U102" s="256"/>
      <c r="V102" s="256"/>
      <c r="W102" s="208"/>
      <c r="AH102" s="135">
        <v>295</v>
      </c>
      <c r="AI102" s="135">
        <v>295</v>
      </c>
      <c r="AJ102" s="135" t="s">
        <v>1265</v>
      </c>
      <c r="AK102" s="135">
        <v>88</v>
      </c>
      <c r="AL102" s="135" t="s">
        <v>1267</v>
      </c>
    </row>
    <row r="103" spans="1:38" ht="11.25" customHeight="1">
      <c r="A103" s="250">
        <v>575</v>
      </c>
      <c r="B103" s="250" t="s">
        <v>1431</v>
      </c>
      <c r="C103" s="250" t="s">
        <v>1523</v>
      </c>
      <c r="D103" s="250">
        <v>21130</v>
      </c>
      <c r="E103" s="250" t="s">
        <v>505</v>
      </c>
      <c r="F103" s="250">
        <v>95</v>
      </c>
      <c r="G103" s="250" t="s">
        <v>1433</v>
      </c>
      <c r="H103" s="253">
        <f t="shared" si="0"/>
        <v>100</v>
      </c>
      <c r="I103" s="253" t="str">
        <f>IF('School Level Expenditures'!$B$2=A103,'School Tables'!H103,"")</f>
        <v/>
      </c>
      <c r="J103" s="253" t="str">
        <f t="shared" si="1"/>
        <v/>
      </c>
      <c r="K103" s="254" t="b">
        <f t="shared" si="2"/>
        <v>0</v>
      </c>
      <c r="P103" s="256"/>
      <c r="Q103" s="256"/>
      <c r="R103" s="256"/>
      <c r="S103" s="256"/>
      <c r="T103" s="256"/>
      <c r="U103" s="256"/>
      <c r="V103" s="256"/>
      <c r="W103" s="208"/>
      <c r="AH103" s="253">
        <v>719</v>
      </c>
      <c r="AI103" s="253">
        <v>719</v>
      </c>
      <c r="AJ103" s="253" t="s">
        <v>1300</v>
      </c>
      <c r="AK103" s="253">
        <v>408</v>
      </c>
      <c r="AL103" s="253" t="s">
        <v>1300</v>
      </c>
    </row>
    <row r="104" spans="1:38" ht="11.25" customHeight="1">
      <c r="A104" s="250">
        <v>461</v>
      </c>
      <c r="B104" s="250" t="s">
        <v>1072</v>
      </c>
      <c r="C104" s="250" t="s">
        <v>1524</v>
      </c>
      <c r="D104" s="250">
        <v>22725</v>
      </c>
      <c r="E104" s="250" t="s">
        <v>505</v>
      </c>
      <c r="F104" s="250">
        <v>54</v>
      </c>
      <c r="G104" s="250" t="s">
        <v>1074</v>
      </c>
      <c r="H104" s="253">
        <f t="shared" si="0"/>
        <v>101</v>
      </c>
      <c r="I104" s="253" t="str">
        <f>IF('School Level Expenditures'!$B$2=A104,'School Tables'!H104,"")</f>
        <v/>
      </c>
      <c r="J104" s="253" t="str">
        <f t="shared" si="1"/>
        <v/>
      </c>
      <c r="K104" s="254" t="b">
        <f t="shared" si="2"/>
        <v>0</v>
      </c>
      <c r="P104" s="256"/>
      <c r="Q104" s="256"/>
      <c r="R104" s="256"/>
      <c r="S104" s="256"/>
      <c r="T104" s="256"/>
      <c r="U104" s="256"/>
      <c r="V104" s="256"/>
      <c r="W104" s="208"/>
      <c r="AH104" s="135">
        <v>299</v>
      </c>
      <c r="AI104" s="135">
        <v>299</v>
      </c>
      <c r="AJ104" s="135" t="s">
        <v>1525</v>
      </c>
      <c r="AK104" s="135">
        <v>71</v>
      </c>
      <c r="AL104" s="135" t="s">
        <v>1526</v>
      </c>
    </row>
    <row r="105" spans="1:38" ht="11.25" customHeight="1">
      <c r="A105" s="250">
        <v>335</v>
      </c>
      <c r="B105" s="250" t="s">
        <v>1123</v>
      </c>
      <c r="C105" s="250" t="s">
        <v>1527</v>
      </c>
      <c r="D105" s="250">
        <v>21530</v>
      </c>
      <c r="E105" s="250" t="s">
        <v>505</v>
      </c>
      <c r="F105" s="250">
        <v>37</v>
      </c>
      <c r="G105" s="250" t="s">
        <v>1125</v>
      </c>
      <c r="H105" s="253">
        <f t="shared" si="0"/>
        <v>102</v>
      </c>
      <c r="I105" s="253" t="str">
        <f>IF('School Level Expenditures'!$B$2=A105,'School Tables'!H105,"")</f>
        <v/>
      </c>
      <c r="J105" s="253" t="str">
        <f t="shared" si="1"/>
        <v/>
      </c>
      <c r="K105" s="254" t="b">
        <f t="shared" si="2"/>
        <v>0</v>
      </c>
      <c r="P105" s="256"/>
      <c r="Q105" s="256"/>
      <c r="R105" s="256"/>
      <c r="S105" s="256"/>
      <c r="T105" s="256"/>
      <c r="U105" s="256"/>
      <c r="V105" s="256"/>
      <c r="W105" s="208"/>
      <c r="AH105" s="135">
        <v>305</v>
      </c>
      <c r="AI105" s="135">
        <v>0</v>
      </c>
      <c r="AJ105" s="135" t="s">
        <v>1270</v>
      </c>
      <c r="AK105" s="135">
        <v>68</v>
      </c>
      <c r="AL105" s="135" t="s">
        <v>1272</v>
      </c>
    </row>
    <row r="106" spans="1:38" ht="11.25" customHeight="1">
      <c r="A106" s="250">
        <v>211</v>
      </c>
      <c r="B106" s="250" t="s">
        <v>1413</v>
      </c>
      <c r="C106" s="250" t="s">
        <v>1528</v>
      </c>
      <c r="D106" s="250">
        <v>21330</v>
      </c>
      <c r="E106" s="250" t="s">
        <v>505</v>
      </c>
      <c r="F106" s="250">
        <v>75</v>
      </c>
      <c r="G106" s="250" t="s">
        <v>1414</v>
      </c>
      <c r="H106" s="253">
        <f t="shared" si="0"/>
        <v>103</v>
      </c>
      <c r="I106" s="253" t="str">
        <f>IF('School Level Expenditures'!$B$2=A106,'School Tables'!H106,"")</f>
        <v/>
      </c>
      <c r="J106" s="253" t="str">
        <f t="shared" si="1"/>
        <v/>
      </c>
      <c r="K106" s="254" t="b">
        <f t="shared" si="2"/>
        <v>0</v>
      </c>
      <c r="P106" s="256"/>
      <c r="Q106" s="256"/>
      <c r="R106" s="256"/>
      <c r="S106" s="256"/>
      <c r="T106" s="256"/>
      <c r="U106" s="256"/>
      <c r="V106" s="256"/>
      <c r="W106" s="208"/>
      <c r="AH106" s="135">
        <v>306</v>
      </c>
      <c r="AI106" s="135">
        <v>0</v>
      </c>
      <c r="AJ106" s="135" t="s">
        <v>1277</v>
      </c>
      <c r="AK106" s="135">
        <v>35</v>
      </c>
      <c r="AL106" s="135" t="s">
        <v>1132</v>
      </c>
    </row>
    <row r="107" spans="1:38" ht="11.25" customHeight="1">
      <c r="A107" s="250">
        <v>335</v>
      </c>
      <c r="B107" s="250" t="s">
        <v>1123</v>
      </c>
      <c r="C107" s="250" t="s">
        <v>1529</v>
      </c>
      <c r="D107" s="250">
        <v>21610</v>
      </c>
      <c r="E107" s="250" t="s">
        <v>505</v>
      </c>
      <c r="F107" s="250">
        <v>37</v>
      </c>
      <c r="G107" s="250" t="s">
        <v>1125</v>
      </c>
      <c r="H107" s="253">
        <f t="shared" si="0"/>
        <v>104</v>
      </c>
      <c r="I107" s="253" t="str">
        <f>IF('School Level Expenditures'!$B$2=A107,'School Tables'!H107,"")</f>
        <v/>
      </c>
      <c r="J107" s="253" t="str">
        <f t="shared" si="1"/>
        <v/>
      </c>
      <c r="K107" s="254" t="b">
        <f t="shared" si="2"/>
        <v>0</v>
      </c>
      <c r="P107" s="256"/>
      <c r="Q107" s="256"/>
      <c r="R107" s="256"/>
      <c r="S107" s="256"/>
      <c r="T107" s="256"/>
      <c r="U107" s="256"/>
      <c r="V107" s="256"/>
      <c r="W107" s="208"/>
      <c r="AH107" s="135">
        <v>315</v>
      </c>
      <c r="AI107" s="135">
        <v>315</v>
      </c>
      <c r="AJ107" s="135" t="s">
        <v>1081</v>
      </c>
      <c r="AK107" s="135">
        <v>27</v>
      </c>
      <c r="AL107" s="135" t="s">
        <v>1083</v>
      </c>
    </row>
    <row r="108" spans="1:38" ht="11.25" customHeight="1">
      <c r="A108" s="250">
        <v>112</v>
      </c>
      <c r="B108" s="250" t="s">
        <v>1086</v>
      </c>
      <c r="C108" s="250" t="s">
        <v>1530</v>
      </c>
      <c r="D108" s="250">
        <v>22250</v>
      </c>
      <c r="E108" s="250" t="s">
        <v>505</v>
      </c>
      <c r="F108" s="250">
        <v>1</v>
      </c>
      <c r="G108" s="250" t="s">
        <v>1088</v>
      </c>
      <c r="H108" s="253">
        <f t="shared" si="0"/>
        <v>105</v>
      </c>
      <c r="I108" s="253" t="str">
        <f>IF('School Level Expenditures'!$B$2=A108,'School Tables'!H108,"")</f>
        <v/>
      </c>
      <c r="J108" s="253" t="str">
        <f t="shared" si="1"/>
        <v/>
      </c>
      <c r="K108" s="254" t="b">
        <f t="shared" si="2"/>
        <v>0</v>
      </c>
      <c r="P108" s="256"/>
      <c r="Q108" s="256"/>
      <c r="R108" s="256"/>
      <c r="S108" s="256"/>
      <c r="T108" s="256"/>
      <c r="U108" s="256"/>
      <c r="V108" s="256"/>
      <c r="W108" s="208"/>
      <c r="AH108" s="135">
        <v>317</v>
      </c>
      <c r="AI108" s="135">
        <v>317</v>
      </c>
      <c r="AJ108" s="135" t="s">
        <v>1100</v>
      </c>
      <c r="AK108" s="135">
        <v>84</v>
      </c>
      <c r="AL108" s="135" t="s">
        <v>1102</v>
      </c>
    </row>
    <row r="109" spans="1:38" ht="11.25" customHeight="1">
      <c r="A109" s="250">
        <v>215</v>
      </c>
      <c r="B109" s="250" t="s">
        <v>1421</v>
      </c>
      <c r="C109" s="250" t="s">
        <v>1531</v>
      </c>
      <c r="D109" s="250">
        <v>22450</v>
      </c>
      <c r="E109" s="250" t="s">
        <v>505</v>
      </c>
      <c r="F109" s="250">
        <v>50</v>
      </c>
      <c r="G109" s="250" t="s">
        <v>1422</v>
      </c>
      <c r="H109" s="253">
        <f t="shared" si="0"/>
        <v>106</v>
      </c>
      <c r="I109" s="253" t="str">
        <f>IF('School Level Expenditures'!$B$2=A109,'School Tables'!H109,"")</f>
        <v/>
      </c>
      <c r="J109" s="253" t="str">
        <f t="shared" si="1"/>
        <v/>
      </c>
      <c r="K109" s="254" t="b">
        <f t="shared" si="2"/>
        <v>0</v>
      </c>
      <c r="P109" s="256"/>
      <c r="Q109" s="256"/>
      <c r="R109" s="256"/>
      <c r="S109" s="256"/>
      <c r="T109" s="256"/>
      <c r="U109" s="256"/>
      <c r="V109" s="256"/>
      <c r="W109" s="208"/>
      <c r="AH109" s="135">
        <v>319</v>
      </c>
      <c r="AI109" s="135">
        <v>319</v>
      </c>
      <c r="AJ109" s="135" t="s">
        <v>1284</v>
      </c>
      <c r="AK109" s="135">
        <v>12</v>
      </c>
      <c r="AL109" s="135" t="s">
        <v>1286</v>
      </c>
    </row>
    <row r="110" spans="1:38" ht="11.25" customHeight="1">
      <c r="A110" s="250">
        <v>315</v>
      </c>
      <c r="B110" s="250" t="s">
        <v>1081</v>
      </c>
      <c r="C110" s="250" t="s">
        <v>1532</v>
      </c>
      <c r="D110" s="250">
        <v>21095</v>
      </c>
      <c r="E110" s="250" t="s">
        <v>505</v>
      </c>
      <c r="F110" s="250">
        <v>27</v>
      </c>
      <c r="G110" s="250" t="s">
        <v>1083</v>
      </c>
      <c r="H110" s="253">
        <f t="shared" si="0"/>
        <v>107</v>
      </c>
      <c r="I110" s="253" t="str">
        <f>IF('School Level Expenditures'!$B$2=A110,'School Tables'!H110,"")</f>
        <v/>
      </c>
      <c r="J110" s="253" t="str">
        <f t="shared" si="1"/>
        <v/>
      </c>
      <c r="K110" s="254" t="b">
        <f t="shared" si="2"/>
        <v>0</v>
      </c>
      <c r="P110" s="256"/>
      <c r="Q110" s="256"/>
      <c r="R110" s="256"/>
      <c r="S110" s="256"/>
      <c r="T110" s="256"/>
      <c r="U110" s="256"/>
      <c r="V110" s="256"/>
      <c r="W110" s="208"/>
      <c r="AH110" s="135">
        <v>327</v>
      </c>
      <c r="AI110" s="135">
        <v>327</v>
      </c>
      <c r="AJ110" s="135" t="s">
        <v>1533</v>
      </c>
      <c r="AK110" s="135">
        <v>76</v>
      </c>
      <c r="AL110" s="135" t="s">
        <v>1534</v>
      </c>
    </row>
    <row r="111" spans="1:38" ht="11.25" customHeight="1">
      <c r="A111" s="250">
        <v>131</v>
      </c>
      <c r="B111" s="250" t="s">
        <v>1134</v>
      </c>
      <c r="C111" s="250" t="s">
        <v>1535</v>
      </c>
      <c r="D111" s="250">
        <v>20390</v>
      </c>
      <c r="E111" s="250" t="s">
        <v>505</v>
      </c>
      <c r="F111" s="250">
        <v>10</v>
      </c>
      <c r="G111" s="250" t="s">
        <v>1136</v>
      </c>
      <c r="H111" s="253">
        <f t="shared" si="0"/>
        <v>108</v>
      </c>
      <c r="I111" s="253" t="str">
        <f>IF('School Level Expenditures'!$B$2=A111,'School Tables'!H111,"")</f>
        <v/>
      </c>
      <c r="J111" s="253" t="str">
        <f t="shared" si="1"/>
        <v/>
      </c>
      <c r="K111" s="254" t="b">
        <f t="shared" si="2"/>
        <v>0</v>
      </c>
      <c r="P111" s="256"/>
      <c r="Q111" s="256"/>
      <c r="R111" s="256"/>
      <c r="S111" s="256"/>
      <c r="T111" s="256"/>
      <c r="U111" s="256"/>
      <c r="V111" s="256"/>
      <c r="W111" s="208"/>
      <c r="AH111" s="135">
        <v>333</v>
      </c>
      <c r="AI111" s="135">
        <v>333</v>
      </c>
      <c r="AJ111" s="135" t="s">
        <v>1536</v>
      </c>
      <c r="AK111" s="135">
        <v>13</v>
      </c>
      <c r="AL111" s="135" t="s">
        <v>1359</v>
      </c>
    </row>
    <row r="112" spans="1:38" ht="11.25" customHeight="1">
      <c r="A112" s="250">
        <v>407</v>
      </c>
      <c r="B112" s="250" t="s">
        <v>1212</v>
      </c>
      <c r="C112" s="250" t="s">
        <v>1537</v>
      </c>
      <c r="D112" s="250">
        <v>22905</v>
      </c>
      <c r="E112" s="250" t="s">
        <v>505</v>
      </c>
      <c r="F112" s="250">
        <v>58</v>
      </c>
      <c r="G112" s="250" t="s">
        <v>1214</v>
      </c>
      <c r="H112" s="253">
        <f t="shared" si="0"/>
        <v>109</v>
      </c>
      <c r="I112" s="253" t="str">
        <f>IF('School Level Expenditures'!$B$2=A112,'School Tables'!H112,"")</f>
        <v/>
      </c>
      <c r="J112" s="253" t="str">
        <f t="shared" si="1"/>
        <v/>
      </c>
      <c r="K112" s="254" t="b">
        <f t="shared" si="2"/>
        <v>0</v>
      </c>
      <c r="P112" s="256"/>
      <c r="Q112" s="256"/>
      <c r="R112" s="256"/>
      <c r="S112" s="256"/>
      <c r="T112" s="256"/>
      <c r="U112" s="256"/>
      <c r="V112" s="256"/>
      <c r="W112" s="208"/>
      <c r="AH112" s="253">
        <v>733</v>
      </c>
      <c r="AI112" s="253">
        <v>733</v>
      </c>
      <c r="AJ112" s="253" t="s">
        <v>1327</v>
      </c>
      <c r="AK112" s="253">
        <v>418</v>
      </c>
      <c r="AL112" s="253" t="s">
        <v>1327</v>
      </c>
    </row>
    <row r="113" spans="1:38" ht="11.25" customHeight="1">
      <c r="A113" s="250">
        <v>407</v>
      </c>
      <c r="B113" s="250" t="s">
        <v>1212</v>
      </c>
      <c r="C113" s="250" t="s">
        <v>1538</v>
      </c>
      <c r="D113" s="250">
        <v>26600</v>
      </c>
      <c r="E113" s="250" t="s">
        <v>505</v>
      </c>
      <c r="F113" s="250">
        <v>58</v>
      </c>
      <c r="G113" s="250" t="s">
        <v>1214</v>
      </c>
      <c r="H113" s="253">
        <f t="shared" si="0"/>
        <v>110</v>
      </c>
      <c r="I113" s="253" t="str">
        <f>IF('School Level Expenditures'!$B$2=A113,'School Tables'!H113,"")</f>
        <v/>
      </c>
      <c r="J113" s="253" t="str">
        <f t="shared" si="1"/>
        <v/>
      </c>
      <c r="K113" s="254" t="b">
        <f t="shared" si="2"/>
        <v>0</v>
      </c>
      <c r="P113" s="256"/>
      <c r="Q113" s="256"/>
      <c r="R113" s="256"/>
      <c r="S113" s="256"/>
      <c r="T113" s="256"/>
      <c r="U113" s="256"/>
      <c r="V113" s="256"/>
      <c r="W113" s="208"/>
      <c r="AH113" s="135">
        <v>335</v>
      </c>
      <c r="AI113" s="135">
        <v>335</v>
      </c>
      <c r="AJ113" s="135" t="s">
        <v>1123</v>
      </c>
      <c r="AK113" s="135">
        <v>37</v>
      </c>
      <c r="AL113" s="135" t="s">
        <v>1125</v>
      </c>
    </row>
    <row r="114" spans="1:38" ht="11.25" customHeight="1">
      <c r="A114" s="250">
        <v>223</v>
      </c>
      <c r="B114" s="250" t="s">
        <v>1166</v>
      </c>
      <c r="C114" s="250" t="s">
        <v>1539</v>
      </c>
      <c r="D114" s="250">
        <v>22755</v>
      </c>
      <c r="E114" s="250" t="s">
        <v>505</v>
      </c>
      <c r="F114" s="250">
        <v>55</v>
      </c>
      <c r="G114" s="250" t="s">
        <v>1168</v>
      </c>
      <c r="H114" s="253">
        <f t="shared" si="0"/>
        <v>111</v>
      </c>
      <c r="I114" s="253" t="str">
        <f>IF('School Level Expenditures'!$B$2=A114,'School Tables'!H114,"")</f>
        <v/>
      </c>
      <c r="J114" s="253" t="str">
        <f t="shared" si="1"/>
        <v/>
      </c>
      <c r="K114" s="254" t="b">
        <f t="shared" si="2"/>
        <v>0</v>
      </c>
      <c r="P114" s="256"/>
      <c r="Q114" s="256"/>
      <c r="R114" s="256"/>
      <c r="S114" s="256"/>
      <c r="T114" s="256"/>
      <c r="U114" s="256"/>
      <c r="V114" s="256"/>
      <c r="W114" s="208"/>
      <c r="AH114" s="135">
        <v>339</v>
      </c>
      <c r="AI114" s="135">
        <v>339</v>
      </c>
      <c r="AJ114" s="135" t="s">
        <v>1540</v>
      </c>
      <c r="AK114" s="135">
        <v>29</v>
      </c>
      <c r="AL114" s="135" t="s">
        <v>1187</v>
      </c>
    </row>
    <row r="115" spans="1:38" ht="11.25" customHeight="1">
      <c r="A115" s="250">
        <v>225</v>
      </c>
      <c r="B115" s="250" t="s">
        <v>1036</v>
      </c>
      <c r="C115" s="250" t="s">
        <v>1541</v>
      </c>
      <c r="D115" s="250">
        <v>20790</v>
      </c>
      <c r="E115" s="250" t="s">
        <v>505</v>
      </c>
      <c r="F115" s="250">
        <v>90</v>
      </c>
      <c r="G115" s="250" t="s">
        <v>1038</v>
      </c>
      <c r="H115" s="253">
        <f t="shared" si="0"/>
        <v>112</v>
      </c>
      <c r="I115" s="253" t="str">
        <f>IF('School Level Expenditures'!$B$2=A115,'School Tables'!H115,"")</f>
        <v/>
      </c>
      <c r="J115" s="253" t="str">
        <f t="shared" si="1"/>
        <v/>
      </c>
      <c r="K115" s="254" t="b">
        <f t="shared" si="2"/>
        <v>0</v>
      </c>
      <c r="P115" s="256"/>
      <c r="Q115" s="256"/>
      <c r="R115" s="256"/>
      <c r="S115" s="256"/>
      <c r="T115" s="256"/>
      <c r="U115" s="256"/>
      <c r="V115" s="256"/>
      <c r="W115" s="208"/>
      <c r="AH115" s="135">
        <v>341</v>
      </c>
      <c r="AI115" s="135">
        <v>341</v>
      </c>
      <c r="AJ115" s="135" t="s">
        <v>1542</v>
      </c>
      <c r="AK115" s="135">
        <v>29</v>
      </c>
      <c r="AL115" s="135" t="s">
        <v>1187</v>
      </c>
    </row>
    <row r="116" spans="1:38" ht="11.25" customHeight="1">
      <c r="A116" s="250">
        <v>225</v>
      </c>
      <c r="B116" s="250" t="s">
        <v>1036</v>
      </c>
      <c r="C116" s="250" t="s">
        <v>1543</v>
      </c>
      <c r="D116" s="250">
        <v>20770</v>
      </c>
      <c r="E116" s="250" t="s">
        <v>505</v>
      </c>
      <c r="F116" s="250">
        <v>90</v>
      </c>
      <c r="G116" s="250" t="s">
        <v>1038</v>
      </c>
      <c r="H116" s="253">
        <f t="shared" si="0"/>
        <v>113</v>
      </c>
      <c r="I116" s="253" t="str">
        <f>IF('School Level Expenditures'!$B$2=A116,'School Tables'!H116,"")</f>
        <v/>
      </c>
      <c r="J116" s="253" t="str">
        <f t="shared" si="1"/>
        <v/>
      </c>
      <c r="K116" s="254" t="b">
        <f t="shared" si="2"/>
        <v>0</v>
      </c>
      <c r="P116" s="256"/>
      <c r="Q116" s="256"/>
      <c r="R116" s="256"/>
      <c r="S116" s="256"/>
      <c r="T116" s="256"/>
      <c r="U116" s="256"/>
      <c r="V116" s="256"/>
      <c r="W116" s="208"/>
      <c r="AH116" s="135">
        <v>342</v>
      </c>
      <c r="AI116" s="135">
        <v>0</v>
      </c>
      <c r="AJ116" s="135" t="s">
        <v>1078</v>
      </c>
      <c r="AK116" s="135">
        <v>87</v>
      </c>
      <c r="AL116" s="135" t="s">
        <v>1080</v>
      </c>
    </row>
    <row r="117" spans="1:38" ht="11.25" customHeight="1">
      <c r="A117" s="250">
        <v>112</v>
      </c>
      <c r="B117" s="250" t="s">
        <v>1086</v>
      </c>
      <c r="C117" s="250" t="s">
        <v>1544</v>
      </c>
      <c r="D117" s="250">
        <v>22260</v>
      </c>
      <c r="E117" s="250" t="s">
        <v>505</v>
      </c>
      <c r="F117" s="250">
        <v>1</v>
      </c>
      <c r="G117" s="250" t="s">
        <v>1088</v>
      </c>
      <c r="H117" s="253">
        <f t="shared" si="0"/>
        <v>114</v>
      </c>
      <c r="I117" s="253" t="str">
        <f>IF('School Level Expenditures'!$B$2=A117,'School Tables'!H117,"")</f>
        <v/>
      </c>
      <c r="J117" s="253" t="str">
        <f t="shared" si="1"/>
        <v/>
      </c>
      <c r="K117" s="254" t="b">
        <f t="shared" si="2"/>
        <v>0</v>
      </c>
      <c r="P117" s="256"/>
      <c r="Q117" s="256"/>
      <c r="R117" s="256"/>
      <c r="S117" s="256"/>
      <c r="T117" s="256"/>
      <c r="U117" s="256"/>
      <c r="V117" s="256"/>
      <c r="W117" s="208"/>
      <c r="AH117" s="135">
        <v>343</v>
      </c>
      <c r="AI117" s="135">
        <v>0</v>
      </c>
      <c r="AJ117" s="135" t="s">
        <v>1247</v>
      </c>
      <c r="AK117" s="135">
        <v>62</v>
      </c>
      <c r="AL117" s="135" t="s">
        <v>1249</v>
      </c>
    </row>
    <row r="118" spans="1:38" ht="11.25" customHeight="1">
      <c r="A118" s="250">
        <v>295</v>
      </c>
      <c r="B118" s="250" t="s">
        <v>1265</v>
      </c>
      <c r="C118" s="250" t="s">
        <v>1545</v>
      </c>
      <c r="D118" s="250">
        <v>21335</v>
      </c>
      <c r="E118" s="250" t="s">
        <v>505</v>
      </c>
      <c r="F118" s="250">
        <v>88</v>
      </c>
      <c r="G118" s="250" t="s">
        <v>1267</v>
      </c>
      <c r="H118" s="253">
        <f t="shared" si="0"/>
        <v>115</v>
      </c>
      <c r="I118" s="253" t="str">
        <f>IF('School Level Expenditures'!$B$2=A118,'School Tables'!H118,"")</f>
        <v/>
      </c>
      <c r="J118" s="253" t="str">
        <f t="shared" si="1"/>
        <v/>
      </c>
      <c r="K118" s="254" t="b">
        <f t="shared" si="2"/>
        <v>0</v>
      </c>
      <c r="P118" s="256"/>
      <c r="Q118" s="256"/>
      <c r="R118" s="256"/>
      <c r="S118" s="256"/>
      <c r="T118" s="256"/>
      <c r="U118" s="256"/>
      <c r="V118" s="256"/>
      <c r="W118" s="208"/>
      <c r="AH118" s="135">
        <v>345</v>
      </c>
      <c r="AI118" s="135">
        <v>345</v>
      </c>
      <c r="AJ118" s="135" t="s">
        <v>1546</v>
      </c>
      <c r="AK118" s="135">
        <v>89</v>
      </c>
      <c r="AL118" s="135" t="s">
        <v>1547</v>
      </c>
    </row>
    <row r="119" spans="1:38" ht="11.25" customHeight="1">
      <c r="A119" s="250">
        <v>263</v>
      </c>
      <c r="B119" s="250" t="s">
        <v>1209</v>
      </c>
      <c r="C119" s="250" t="s">
        <v>1548</v>
      </c>
      <c r="D119" s="250">
        <v>20975</v>
      </c>
      <c r="E119" s="250" t="s">
        <v>505</v>
      </c>
      <c r="F119" s="250">
        <v>66</v>
      </c>
      <c r="G119" s="250" t="s">
        <v>1211</v>
      </c>
      <c r="H119" s="253">
        <f t="shared" si="0"/>
        <v>116</v>
      </c>
      <c r="I119" s="253" t="str">
        <f>IF('School Level Expenditures'!$B$2=A119,'School Tables'!H119,"")</f>
        <v/>
      </c>
      <c r="J119" s="253" t="str">
        <f t="shared" si="1"/>
        <v/>
      </c>
      <c r="K119" s="254" t="b">
        <f t="shared" si="2"/>
        <v>0</v>
      </c>
      <c r="P119" s="256"/>
      <c r="Q119" s="256"/>
      <c r="R119" s="256"/>
      <c r="S119" s="256"/>
      <c r="T119" s="256"/>
      <c r="U119" s="256"/>
      <c r="V119" s="256"/>
      <c r="W119" s="208"/>
      <c r="AH119" s="135">
        <v>351</v>
      </c>
      <c r="AI119" s="135">
        <v>351</v>
      </c>
      <c r="AJ119" s="135" t="s">
        <v>1289</v>
      </c>
      <c r="AK119" s="135">
        <v>26</v>
      </c>
      <c r="AL119" s="135" t="s">
        <v>1291</v>
      </c>
    </row>
    <row r="120" spans="1:38" ht="11.25" customHeight="1">
      <c r="A120" s="250">
        <v>245</v>
      </c>
      <c r="B120" s="250" t="s">
        <v>1462</v>
      </c>
      <c r="C120" s="250" t="s">
        <v>1549</v>
      </c>
      <c r="D120" s="250">
        <v>20935</v>
      </c>
      <c r="E120" s="250" t="s">
        <v>505</v>
      </c>
      <c r="F120" s="250">
        <v>24</v>
      </c>
      <c r="G120" s="250" t="s">
        <v>1254</v>
      </c>
      <c r="H120" s="253">
        <f t="shared" si="0"/>
        <v>117</v>
      </c>
      <c r="I120" s="253" t="str">
        <f>IF('School Level Expenditures'!$B$2=A120,'School Tables'!H120,"")</f>
        <v/>
      </c>
      <c r="J120" s="253" t="str">
        <f t="shared" si="1"/>
        <v/>
      </c>
      <c r="K120" s="254" t="b">
        <f t="shared" si="2"/>
        <v>0</v>
      </c>
      <c r="P120" s="256"/>
      <c r="Q120" s="256"/>
      <c r="R120" s="256"/>
      <c r="S120" s="256"/>
      <c r="T120" s="256"/>
      <c r="U120" s="256"/>
      <c r="V120" s="256"/>
      <c r="W120" s="208"/>
      <c r="AH120" s="135">
        <v>352</v>
      </c>
      <c r="AI120" s="135">
        <v>0</v>
      </c>
      <c r="AJ120" s="135" t="s">
        <v>1207</v>
      </c>
      <c r="AK120" s="135">
        <v>46</v>
      </c>
      <c r="AL120" s="135" t="s">
        <v>1060</v>
      </c>
    </row>
    <row r="121" spans="1:38" ht="11.25" customHeight="1">
      <c r="A121" s="250">
        <v>79</v>
      </c>
      <c r="B121" s="250" t="s">
        <v>1164</v>
      </c>
      <c r="C121" s="250" t="s">
        <v>1550</v>
      </c>
      <c r="D121" s="250">
        <v>20535</v>
      </c>
      <c r="E121" s="250" t="s">
        <v>505</v>
      </c>
      <c r="F121" s="250">
        <v>15</v>
      </c>
      <c r="G121" s="250" t="s">
        <v>1076</v>
      </c>
      <c r="H121" s="253">
        <f t="shared" si="0"/>
        <v>118</v>
      </c>
      <c r="I121" s="253" t="str">
        <f>IF('School Level Expenditures'!$B$2=A121,'School Tables'!H121,"")</f>
        <v/>
      </c>
      <c r="J121" s="253" t="str">
        <f t="shared" si="1"/>
        <v/>
      </c>
      <c r="K121" s="254" t="b">
        <f t="shared" si="2"/>
        <v>0</v>
      </c>
      <c r="P121" s="256"/>
      <c r="Q121" s="256"/>
      <c r="R121" s="256"/>
      <c r="S121" s="256"/>
      <c r="T121" s="256"/>
      <c r="U121" s="256"/>
      <c r="V121" s="256"/>
      <c r="W121" s="208"/>
      <c r="AH121" s="253">
        <v>744</v>
      </c>
      <c r="AI121" s="253">
        <v>744</v>
      </c>
      <c r="AJ121" s="253" t="s">
        <v>1551</v>
      </c>
      <c r="AK121" s="253">
        <v>430</v>
      </c>
      <c r="AL121" s="253" t="s">
        <v>1551</v>
      </c>
    </row>
    <row r="122" spans="1:38" ht="11.25" customHeight="1">
      <c r="A122" s="250">
        <v>335</v>
      </c>
      <c r="B122" s="250" t="s">
        <v>1123</v>
      </c>
      <c r="C122" s="250" t="s">
        <v>1552</v>
      </c>
      <c r="D122" s="250">
        <v>21640</v>
      </c>
      <c r="E122" s="250" t="s">
        <v>505</v>
      </c>
      <c r="F122" s="250">
        <v>37</v>
      </c>
      <c r="G122" s="250" t="s">
        <v>1125</v>
      </c>
      <c r="H122" s="253">
        <f t="shared" si="0"/>
        <v>119</v>
      </c>
      <c r="I122" s="253" t="str">
        <f>IF('School Level Expenditures'!$B$2=A122,'School Tables'!H122,"")</f>
        <v/>
      </c>
      <c r="J122" s="253" t="str">
        <f t="shared" si="1"/>
        <v/>
      </c>
      <c r="K122" s="254" t="b">
        <f t="shared" si="2"/>
        <v>0</v>
      </c>
      <c r="P122" s="256"/>
      <c r="Q122" s="256"/>
      <c r="R122" s="256"/>
      <c r="S122" s="256"/>
      <c r="T122" s="256"/>
      <c r="U122" s="256"/>
      <c r="V122" s="256"/>
      <c r="W122" s="208"/>
      <c r="AH122" s="135">
        <v>353</v>
      </c>
      <c r="AI122" s="135">
        <v>353</v>
      </c>
      <c r="AJ122" s="135" t="s">
        <v>1553</v>
      </c>
      <c r="AK122" s="135">
        <v>69</v>
      </c>
      <c r="AL122" s="135" t="s">
        <v>1554</v>
      </c>
    </row>
    <row r="123" spans="1:38" ht="11.25" customHeight="1">
      <c r="A123" s="250">
        <v>175</v>
      </c>
      <c r="B123" s="250" t="s">
        <v>1161</v>
      </c>
      <c r="C123" s="250" t="s">
        <v>1555</v>
      </c>
      <c r="D123" s="250">
        <v>22055</v>
      </c>
      <c r="E123" s="250" t="s">
        <v>505</v>
      </c>
      <c r="F123" s="250">
        <v>61</v>
      </c>
      <c r="G123" s="250" t="s">
        <v>1163</v>
      </c>
      <c r="H123" s="253">
        <f t="shared" si="0"/>
        <v>120</v>
      </c>
      <c r="I123" s="253" t="str">
        <f>IF('School Level Expenditures'!$B$2=A123,'School Tables'!H123,"")</f>
        <v/>
      </c>
      <c r="J123" s="253" t="str">
        <f t="shared" si="1"/>
        <v/>
      </c>
      <c r="K123" s="254" t="b">
        <f t="shared" si="2"/>
        <v>0</v>
      </c>
      <c r="P123" s="256"/>
      <c r="Q123" s="256"/>
      <c r="R123" s="256"/>
      <c r="S123" s="256"/>
      <c r="T123" s="256"/>
      <c r="U123" s="256"/>
      <c r="V123" s="256"/>
      <c r="W123" s="208"/>
      <c r="AH123" s="135">
        <v>355</v>
      </c>
      <c r="AI123" s="135">
        <v>355</v>
      </c>
      <c r="AJ123" s="135" t="s">
        <v>1556</v>
      </c>
      <c r="AK123" s="135">
        <v>20</v>
      </c>
      <c r="AL123" s="135" t="s">
        <v>1149</v>
      </c>
    </row>
    <row r="124" spans="1:38" ht="11.25" customHeight="1">
      <c r="A124" s="250">
        <v>357</v>
      </c>
      <c r="B124" s="250" t="s">
        <v>781</v>
      </c>
      <c r="C124" s="250" t="s">
        <v>1557</v>
      </c>
      <c r="D124" s="250">
        <v>27895</v>
      </c>
      <c r="E124" s="250" t="s">
        <v>505</v>
      </c>
      <c r="F124" s="250">
        <v>40</v>
      </c>
      <c r="G124" s="250" t="s">
        <v>1304</v>
      </c>
      <c r="H124" s="253">
        <f t="shared" si="0"/>
        <v>121</v>
      </c>
      <c r="I124" s="253" t="str">
        <f>IF('School Level Expenditures'!$B$2=A124,'School Tables'!H124,"")</f>
        <v/>
      </c>
      <c r="J124" s="253" t="str">
        <f t="shared" si="1"/>
        <v/>
      </c>
      <c r="K124" s="254" t="b">
        <f t="shared" si="2"/>
        <v>0</v>
      </c>
      <c r="P124" s="256"/>
      <c r="Q124" s="256"/>
      <c r="R124" s="256"/>
      <c r="S124" s="256"/>
      <c r="T124" s="256"/>
      <c r="U124" s="256"/>
      <c r="V124" s="256"/>
      <c r="W124" s="208"/>
      <c r="AH124" s="135">
        <v>357</v>
      </c>
      <c r="AI124" s="135">
        <v>357</v>
      </c>
      <c r="AJ124" s="135" t="s">
        <v>781</v>
      </c>
      <c r="AK124" s="135">
        <v>40</v>
      </c>
      <c r="AL124" s="135" t="s">
        <v>1304</v>
      </c>
    </row>
    <row r="125" spans="1:38" ht="11.25" customHeight="1">
      <c r="A125" s="250">
        <v>342</v>
      </c>
      <c r="B125" s="250" t="s">
        <v>1078</v>
      </c>
      <c r="C125" s="250" t="s">
        <v>1558</v>
      </c>
      <c r="D125" s="250">
        <v>28990</v>
      </c>
      <c r="E125" s="250" t="s">
        <v>505</v>
      </c>
      <c r="F125" s="250">
        <v>87</v>
      </c>
      <c r="G125" s="250" t="s">
        <v>1080</v>
      </c>
      <c r="H125" s="253">
        <f t="shared" si="0"/>
        <v>122</v>
      </c>
      <c r="I125" s="253" t="str">
        <f>IF('School Level Expenditures'!$B$2=A125,'School Tables'!H125,"")</f>
        <v/>
      </c>
      <c r="J125" s="253" t="str">
        <f t="shared" si="1"/>
        <v/>
      </c>
      <c r="K125" s="254" t="b">
        <f t="shared" si="2"/>
        <v>0</v>
      </c>
      <c r="P125" s="256"/>
      <c r="Q125" s="256"/>
      <c r="R125" s="256"/>
      <c r="S125" s="256"/>
      <c r="T125" s="256"/>
      <c r="U125" s="256"/>
      <c r="V125" s="256"/>
      <c r="W125" s="208"/>
      <c r="AH125" s="253">
        <v>729</v>
      </c>
      <c r="AI125" s="253">
        <v>729</v>
      </c>
      <c r="AJ125" s="253" t="s">
        <v>1559</v>
      </c>
      <c r="AK125" s="253">
        <v>416</v>
      </c>
      <c r="AL125" s="253" t="s">
        <v>1559</v>
      </c>
    </row>
    <row r="126" spans="1:38" ht="11.25" customHeight="1">
      <c r="A126" s="250">
        <v>335</v>
      </c>
      <c r="B126" s="250" t="s">
        <v>1123</v>
      </c>
      <c r="C126" s="250" t="s">
        <v>1560</v>
      </c>
      <c r="D126" s="250">
        <v>21560</v>
      </c>
      <c r="E126" s="250" t="s">
        <v>505</v>
      </c>
      <c r="F126" s="250">
        <v>37</v>
      </c>
      <c r="G126" s="250" t="s">
        <v>1125</v>
      </c>
      <c r="H126" s="253">
        <f t="shared" si="0"/>
        <v>123</v>
      </c>
      <c r="I126" s="253" t="str">
        <f>IF('School Level Expenditures'!$B$2=A126,'School Tables'!H126,"")</f>
        <v/>
      </c>
      <c r="J126" s="253" t="str">
        <f t="shared" si="1"/>
        <v/>
      </c>
      <c r="K126" s="254" t="b">
        <f t="shared" si="2"/>
        <v>0</v>
      </c>
      <c r="AH126" s="135">
        <v>359</v>
      </c>
      <c r="AI126" s="135">
        <v>359</v>
      </c>
      <c r="AJ126" s="135" t="s">
        <v>1341</v>
      </c>
      <c r="AK126" s="135">
        <v>64</v>
      </c>
      <c r="AL126" s="135" t="s">
        <v>1343</v>
      </c>
    </row>
    <row r="127" spans="1:38" ht="11.25" customHeight="1">
      <c r="A127" s="250">
        <v>267</v>
      </c>
      <c r="B127" s="250" t="s">
        <v>1031</v>
      </c>
      <c r="C127" s="250" t="s">
        <v>1561</v>
      </c>
      <c r="D127" s="250">
        <v>27900</v>
      </c>
      <c r="E127" s="250" t="s">
        <v>505</v>
      </c>
      <c r="F127" s="250">
        <v>81</v>
      </c>
      <c r="G127" s="250" t="s">
        <v>1033</v>
      </c>
      <c r="H127" s="253">
        <f t="shared" si="0"/>
        <v>124</v>
      </c>
      <c r="I127" s="253" t="str">
        <f>IF('School Level Expenditures'!$B$2=A127,'School Tables'!H127,"")</f>
        <v/>
      </c>
      <c r="J127" s="253" t="str">
        <f t="shared" si="1"/>
        <v/>
      </c>
      <c r="K127" s="254" t="b">
        <f t="shared" si="2"/>
        <v>0</v>
      </c>
      <c r="AH127" s="135">
        <v>363</v>
      </c>
      <c r="AI127" s="135">
        <v>0</v>
      </c>
      <c r="AJ127" s="135" t="s">
        <v>1308</v>
      </c>
      <c r="AK127" s="135">
        <v>93</v>
      </c>
      <c r="AL127" s="135" t="s">
        <v>1310</v>
      </c>
    </row>
    <row r="128" spans="1:38" ht="11.25" customHeight="1">
      <c r="A128" s="250">
        <v>251</v>
      </c>
      <c r="B128" s="250" t="s">
        <v>1189</v>
      </c>
      <c r="C128" s="250" t="s">
        <v>1562</v>
      </c>
      <c r="D128" s="250">
        <v>20955</v>
      </c>
      <c r="E128" s="250" t="s">
        <v>505</v>
      </c>
      <c r="F128" s="250">
        <v>34</v>
      </c>
      <c r="G128" s="250" t="s">
        <v>1191</v>
      </c>
      <c r="H128" s="253">
        <f t="shared" si="0"/>
        <v>125</v>
      </c>
      <c r="I128" s="253" t="str">
        <f>IF('School Level Expenditures'!$B$2=A128,'School Tables'!H128,"")</f>
        <v/>
      </c>
      <c r="J128" s="253" t="str">
        <f t="shared" si="1"/>
        <v/>
      </c>
      <c r="K128" s="254" t="b">
        <f t="shared" si="2"/>
        <v>0</v>
      </c>
      <c r="AH128" s="135">
        <v>365</v>
      </c>
      <c r="AI128" s="135">
        <v>365</v>
      </c>
      <c r="AJ128" s="135" t="s">
        <v>1563</v>
      </c>
      <c r="AK128" s="135">
        <v>77</v>
      </c>
      <c r="AL128" s="135" t="s">
        <v>1564</v>
      </c>
    </row>
    <row r="129" spans="1:38" ht="11.25" customHeight="1">
      <c r="A129" s="250">
        <v>255</v>
      </c>
      <c r="B129" s="250" t="s">
        <v>1198</v>
      </c>
      <c r="C129" s="250" t="s">
        <v>1565</v>
      </c>
      <c r="D129" s="250">
        <v>21680</v>
      </c>
      <c r="E129" s="250" t="s">
        <v>505</v>
      </c>
      <c r="F129" s="250">
        <v>92</v>
      </c>
      <c r="G129" s="250" t="s">
        <v>1200</v>
      </c>
      <c r="H129" s="253">
        <f t="shared" si="0"/>
        <v>126</v>
      </c>
      <c r="I129" s="253" t="str">
        <f>IF('School Level Expenditures'!$B$2=A129,'School Tables'!H129,"")</f>
        <v/>
      </c>
      <c r="J129" s="253" t="str">
        <f t="shared" si="1"/>
        <v/>
      </c>
      <c r="K129" s="254" t="b">
        <f t="shared" si="2"/>
        <v>0</v>
      </c>
      <c r="AH129" s="135">
        <v>367</v>
      </c>
      <c r="AI129" s="135">
        <v>367</v>
      </c>
      <c r="AJ129" s="135" t="s">
        <v>1566</v>
      </c>
      <c r="AK129" s="135">
        <v>39</v>
      </c>
      <c r="AL129" s="135" t="s">
        <v>1041</v>
      </c>
    </row>
    <row r="130" spans="1:38" ht="11.25" customHeight="1">
      <c r="A130" s="250">
        <v>257</v>
      </c>
      <c r="B130" s="250" t="s">
        <v>1476</v>
      </c>
      <c r="C130" s="250" t="s">
        <v>1567</v>
      </c>
      <c r="D130" s="250">
        <v>22345</v>
      </c>
      <c r="E130" s="250" t="s">
        <v>505</v>
      </c>
      <c r="F130" s="250">
        <v>48</v>
      </c>
      <c r="G130" s="250" t="s">
        <v>1158</v>
      </c>
      <c r="H130" s="253">
        <f t="shared" si="0"/>
        <v>127</v>
      </c>
      <c r="I130" s="253" t="str">
        <f>IF('School Level Expenditures'!$B$2=A130,'School Tables'!H130,"")</f>
        <v/>
      </c>
      <c r="J130" s="253" t="str">
        <f t="shared" si="1"/>
        <v/>
      </c>
      <c r="K130" s="254" t="b">
        <f t="shared" si="2"/>
        <v>0</v>
      </c>
      <c r="AH130" s="135">
        <v>369</v>
      </c>
      <c r="AI130" s="135">
        <v>369</v>
      </c>
      <c r="AJ130" s="135" t="s">
        <v>1314</v>
      </c>
      <c r="AK130" s="135">
        <v>45</v>
      </c>
      <c r="AL130" s="135" t="s">
        <v>1316</v>
      </c>
    </row>
    <row r="131" spans="1:38" ht="11.25" customHeight="1">
      <c r="A131" s="250">
        <v>259</v>
      </c>
      <c r="B131" s="250" t="s">
        <v>1479</v>
      </c>
      <c r="C131" s="250" t="s">
        <v>1568</v>
      </c>
      <c r="D131" s="250">
        <v>21815</v>
      </c>
      <c r="E131" s="250" t="s">
        <v>505</v>
      </c>
      <c r="F131" s="250">
        <v>41</v>
      </c>
      <c r="G131" s="250" t="s">
        <v>1152</v>
      </c>
      <c r="H131" s="253">
        <f t="shared" si="0"/>
        <v>128</v>
      </c>
      <c r="I131" s="253" t="str">
        <f>IF('School Level Expenditures'!$B$2=A131,'School Tables'!H131,"")</f>
        <v/>
      </c>
      <c r="J131" s="253" t="str">
        <f t="shared" si="1"/>
        <v/>
      </c>
      <c r="K131" s="254" t="b">
        <f t="shared" si="2"/>
        <v>0</v>
      </c>
      <c r="AH131" s="253">
        <v>704</v>
      </c>
      <c r="AI131" s="253">
        <v>704</v>
      </c>
      <c r="AJ131" s="253" t="s">
        <v>1569</v>
      </c>
      <c r="AK131" s="253">
        <v>427</v>
      </c>
      <c r="AL131" s="253" t="s">
        <v>1569</v>
      </c>
    </row>
    <row r="132" spans="1:38" ht="11.25" customHeight="1">
      <c r="A132" s="250">
        <v>259</v>
      </c>
      <c r="B132" s="250" t="s">
        <v>1479</v>
      </c>
      <c r="C132" s="250" t="s">
        <v>1570</v>
      </c>
      <c r="D132" s="250">
        <v>27530</v>
      </c>
      <c r="E132" s="250" t="s">
        <v>505</v>
      </c>
      <c r="F132" s="250">
        <v>41</v>
      </c>
      <c r="G132" s="250" t="s">
        <v>1152</v>
      </c>
      <c r="H132" s="253">
        <f t="shared" si="0"/>
        <v>129</v>
      </c>
      <c r="I132" s="253" t="str">
        <f>IF('School Level Expenditures'!$B$2=A132,'School Tables'!H132,"")</f>
        <v/>
      </c>
      <c r="J132" s="253" t="str">
        <f t="shared" si="1"/>
        <v/>
      </c>
      <c r="K132" s="254" t="b">
        <f t="shared" si="2"/>
        <v>0</v>
      </c>
      <c r="AH132" s="135">
        <v>371</v>
      </c>
      <c r="AI132" s="135">
        <v>371</v>
      </c>
      <c r="AJ132" s="135" t="s">
        <v>1068</v>
      </c>
      <c r="AK132" s="135">
        <v>42</v>
      </c>
      <c r="AL132" s="135" t="s">
        <v>1070</v>
      </c>
    </row>
    <row r="133" spans="1:38" ht="11.25" customHeight="1">
      <c r="A133" s="250">
        <v>261</v>
      </c>
      <c r="B133" s="250" t="s">
        <v>1111</v>
      </c>
      <c r="C133" s="250" t="s">
        <v>1571</v>
      </c>
      <c r="D133" s="250">
        <v>20540</v>
      </c>
      <c r="E133" s="250" t="s">
        <v>505</v>
      </c>
      <c r="F133" s="250">
        <v>15</v>
      </c>
      <c r="G133" s="250" t="s">
        <v>1076</v>
      </c>
      <c r="H133" s="253">
        <f t="shared" si="0"/>
        <v>130</v>
      </c>
      <c r="I133" s="253" t="str">
        <f>IF('School Level Expenditures'!$B$2=A133,'School Tables'!H133,"")</f>
        <v/>
      </c>
      <c r="J133" s="253" t="str">
        <f t="shared" si="1"/>
        <v/>
      </c>
      <c r="K133" s="254" t="b">
        <f t="shared" si="2"/>
        <v>0</v>
      </c>
      <c r="AH133" s="135">
        <v>375</v>
      </c>
      <c r="AI133" s="135">
        <v>375</v>
      </c>
      <c r="AJ133" s="135" t="s">
        <v>1572</v>
      </c>
      <c r="AK133" s="135">
        <v>29</v>
      </c>
      <c r="AL133" s="135" t="s">
        <v>1187</v>
      </c>
    </row>
    <row r="134" spans="1:38" ht="11.25" customHeight="1">
      <c r="A134" s="250">
        <v>141</v>
      </c>
      <c r="B134" s="250" t="s">
        <v>1116</v>
      </c>
      <c r="C134" s="250" t="s">
        <v>1573</v>
      </c>
      <c r="D134" s="250">
        <v>20445</v>
      </c>
      <c r="E134" s="250" t="s">
        <v>505</v>
      </c>
      <c r="F134" s="250">
        <v>11</v>
      </c>
      <c r="G134" s="250" t="s">
        <v>1118</v>
      </c>
      <c r="H134" s="253">
        <f t="shared" si="0"/>
        <v>131</v>
      </c>
      <c r="I134" s="253" t="str">
        <f>IF('School Level Expenditures'!$B$2=A134,'School Tables'!H134,"")</f>
        <v/>
      </c>
      <c r="J134" s="253" t="str">
        <f t="shared" si="1"/>
        <v/>
      </c>
      <c r="K134" s="254" t="b">
        <f t="shared" si="2"/>
        <v>0</v>
      </c>
      <c r="AH134" s="135">
        <v>377</v>
      </c>
      <c r="AI134" s="135">
        <v>377</v>
      </c>
      <c r="AJ134" s="135" t="s">
        <v>1574</v>
      </c>
      <c r="AK134" s="135">
        <v>19</v>
      </c>
      <c r="AL134" s="135" t="s">
        <v>1140</v>
      </c>
    </row>
    <row r="135" spans="1:38" ht="11.25" customHeight="1">
      <c r="A135" s="250">
        <v>491</v>
      </c>
      <c r="B135" s="250" t="s">
        <v>1389</v>
      </c>
      <c r="C135" s="250" t="s">
        <v>1575</v>
      </c>
      <c r="D135" s="250">
        <v>29202</v>
      </c>
      <c r="E135" s="250" t="s">
        <v>505</v>
      </c>
      <c r="F135" s="250">
        <v>56</v>
      </c>
      <c r="G135" s="250" t="s">
        <v>1391</v>
      </c>
      <c r="H135" s="253">
        <f t="shared" si="0"/>
        <v>132</v>
      </c>
      <c r="I135" s="253" t="str">
        <f>IF('School Level Expenditures'!$B$2=A135,'School Tables'!H135,"")</f>
        <v/>
      </c>
      <c r="J135" s="253" t="str">
        <f t="shared" si="1"/>
        <v/>
      </c>
      <c r="K135" s="254" t="b">
        <f t="shared" si="2"/>
        <v>0</v>
      </c>
      <c r="AH135" s="135">
        <v>381</v>
      </c>
      <c r="AI135" s="135">
        <v>381</v>
      </c>
      <c r="AJ135" s="135" t="s">
        <v>1576</v>
      </c>
      <c r="AK135" s="135">
        <v>50</v>
      </c>
      <c r="AL135" s="135" t="s">
        <v>1422</v>
      </c>
    </row>
    <row r="136" spans="1:38" ht="11.25" customHeight="1">
      <c r="A136" s="250">
        <v>343</v>
      </c>
      <c r="B136" s="250" t="s">
        <v>1247</v>
      </c>
      <c r="C136" s="250" t="s">
        <v>1577</v>
      </c>
      <c r="D136" s="250">
        <v>26405</v>
      </c>
      <c r="E136" s="250" t="s">
        <v>505</v>
      </c>
      <c r="F136" s="250">
        <v>62</v>
      </c>
      <c r="G136" s="250" t="s">
        <v>1249</v>
      </c>
      <c r="H136" s="253">
        <f t="shared" si="0"/>
        <v>133</v>
      </c>
      <c r="I136" s="253" t="str">
        <f>IF('School Level Expenditures'!$B$2=A136,'School Tables'!H136,"")</f>
        <v/>
      </c>
      <c r="J136" s="253" t="str">
        <f t="shared" si="1"/>
        <v/>
      </c>
      <c r="K136" s="254" t="b">
        <f t="shared" si="2"/>
        <v>0</v>
      </c>
      <c r="AH136" s="135">
        <v>387</v>
      </c>
      <c r="AI136" s="135">
        <v>387</v>
      </c>
      <c r="AJ136" s="135" t="s">
        <v>1578</v>
      </c>
      <c r="AK136" s="135">
        <v>16</v>
      </c>
      <c r="AL136" s="135" t="s">
        <v>1096</v>
      </c>
    </row>
    <row r="137" spans="1:38" ht="11.25" customHeight="1">
      <c r="A137" s="250">
        <v>269</v>
      </c>
      <c r="B137" s="250" t="s">
        <v>1243</v>
      </c>
      <c r="C137" s="250" t="s">
        <v>1579</v>
      </c>
      <c r="D137" s="250">
        <v>29200</v>
      </c>
      <c r="E137" s="250" t="s">
        <v>505</v>
      </c>
      <c r="F137" s="250">
        <v>2</v>
      </c>
      <c r="G137" s="250" t="s">
        <v>1067</v>
      </c>
      <c r="H137" s="253">
        <f t="shared" si="0"/>
        <v>134</v>
      </c>
      <c r="I137" s="253" t="str">
        <f>IF('School Level Expenditures'!$B$2=A137,'School Tables'!H137,"")</f>
        <v/>
      </c>
      <c r="J137" s="253" t="str">
        <f t="shared" si="1"/>
        <v/>
      </c>
      <c r="K137" s="254" t="b">
        <f t="shared" si="2"/>
        <v>0</v>
      </c>
      <c r="AH137" s="135">
        <v>388</v>
      </c>
      <c r="AI137" s="135">
        <v>0</v>
      </c>
      <c r="AJ137" s="135" t="s">
        <v>1580</v>
      </c>
      <c r="AK137" s="135">
        <v>4</v>
      </c>
      <c r="AL137" s="135" t="s">
        <v>1222</v>
      </c>
    </row>
    <row r="138" spans="1:38" ht="11.25" customHeight="1">
      <c r="A138" s="250">
        <v>269</v>
      </c>
      <c r="B138" s="250" t="s">
        <v>1243</v>
      </c>
      <c r="C138" s="250" t="s">
        <v>1581</v>
      </c>
      <c r="D138" s="250">
        <v>29201</v>
      </c>
      <c r="E138" s="250" t="s">
        <v>505</v>
      </c>
      <c r="F138" s="250">
        <v>2</v>
      </c>
      <c r="G138" s="250" t="s">
        <v>1067</v>
      </c>
      <c r="H138" s="253">
        <f t="shared" si="0"/>
        <v>135</v>
      </c>
      <c r="I138" s="253" t="str">
        <f>IF('School Level Expenditures'!$B$2=A138,'School Tables'!H138,"")</f>
        <v/>
      </c>
      <c r="J138" s="253" t="str">
        <f t="shared" si="1"/>
        <v/>
      </c>
      <c r="K138" s="254" t="b">
        <f t="shared" si="2"/>
        <v>0</v>
      </c>
      <c r="AH138" s="135">
        <v>391</v>
      </c>
      <c r="AI138" s="135">
        <v>391</v>
      </c>
      <c r="AJ138" s="135" t="s">
        <v>1582</v>
      </c>
      <c r="AK138" s="135">
        <v>50</v>
      </c>
      <c r="AL138" s="135" t="s">
        <v>1422</v>
      </c>
    </row>
    <row r="139" spans="1:38" ht="11.25" customHeight="1">
      <c r="A139" s="250">
        <v>271</v>
      </c>
      <c r="B139" s="250" t="s">
        <v>1494</v>
      </c>
      <c r="C139" s="250" t="s">
        <v>1583</v>
      </c>
      <c r="D139" s="250">
        <v>20355</v>
      </c>
      <c r="E139" s="250" t="s">
        <v>505</v>
      </c>
      <c r="F139" s="250">
        <v>9</v>
      </c>
      <c r="G139" s="250" t="s">
        <v>1024</v>
      </c>
      <c r="H139" s="253">
        <f t="shared" si="0"/>
        <v>136</v>
      </c>
      <c r="I139" s="253" t="str">
        <f>IF('School Level Expenditures'!$B$2=A139,'School Tables'!H139,"")</f>
        <v/>
      </c>
      <c r="J139" s="253" t="str">
        <f t="shared" si="1"/>
        <v/>
      </c>
      <c r="K139" s="254" t="b">
        <f t="shared" si="2"/>
        <v>0</v>
      </c>
      <c r="AH139" s="135">
        <v>399</v>
      </c>
      <c r="AI139" s="135">
        <v>399</v>
      </c>
      <c r="AJ139" s="135" t="s">
        <v>1400</v>
      </c>
      <c r="AK139" s="135">
        <v>31</v>
      </c>
      <c r="AL139" s="135" t="s">
        <v>1402</v>
      </c>
    </row>
    <row r="140" spans="1:38" ht="11.25" customHeight="1">
      <c r="A140" s="250">
        <v>357</v>
      </c>
      <c r="B140" s="250" t="s">
        <v>781</v>
      </c>
      <c r="C140" s="250" t="s">
        <v>1584</v>
      </c>
      <c r="D140" s="250">
        <v>26580</v>
      </c>
      <c r="E140" s="250" t="s">
        <v>505</v>
      </c>
      <c r="F140" s="250">
        <v>40</v>
      </c>
      <c r="G140" s="250" t="s">
        <v>1304</v>
      </c>
      <c r="H140" s="253">
        <f t="shared" si="0"/>
        <v>137</v>
      </c>
      <c r="I140" s="253" t="str">
        <f>IF('School Level Expenditures'!$B$2=A140,'School Tables'!H140,"")</f>
        <v/>
      </c>
      <c r="J140" s="253" t="str">
        <f t="shared" si="1"/>
        <v/>
      </c>
      <c r="K140" s="254" t="b">
        <f t="shared" si="2"/>
        <v>0</v>
      </c>
      <c r="AH140" s="135">
        <v>401</v>
      </c>
      <c r="AI140" s="135">
        <v>401</v>
      </c>
      <c r="AJ140" s="135" t="s">
        <v>1331</v>
      </c>
      <c r="AK140" s="135">
        <v>43</v>
      </c>
      <c r="AL140" s="135" t="s">
        <v>1333</v>
      </c>
    </row>
    <row r="141" spans="1:38" ht="11.25" customHeight="1">
      <c r="A141" s="250">
        <v>274</v>
      </c>
      <c r="B141" s="250" t="s">
        <v>1119</v>
      </c>
      <c r="C141" s="250" t="s">
        <v>1585</v>
      </c>
      <c r="D141" s="250">
        <v>22275</v>
      </c>
      <c r="E141" s="250" t="s">
        <v>505</v>
      </c>
      <c r="F141" s="250">
        <v>47</v>
      </c>
      <c r="G141" s="250" t="s">
        <v>1121</v>
      </c>
      <c r="H141" s="253">
        <f t="shared" si="0"/>
        <v>138</v>
      </c>
      <c r="I141" s="253" t="str">
        <f>IF('School Level Expenditures'!$B$2=A141,'School Tables'!H141,"")</f>
        <v/>
      </c>
      <c r="J141" s="253" t="str">
        <f t="shared" si="1"/>
        <v/>
      </c>
      <c r="K141" s="254" t="b">
        <f t="shared" si="2"/>
        <v>0</v>
      </c>
      <c r="AH141" s="253">
        <v>740</v>
      </c>
      <c r="AI141" s="253">
        <v>740</v>
      </c>
      <c r="AJ141" s="253" t="s">
        <v>1412</v>
      </c>
      <c r="AK141" s="253">
        <v>422</v>
      </c>
      <c r="AL141" s="253" t="s">
        <v>1412</v>
      </c>
    </row>
    <row r="142" spans="1:38" ht="11.25" customHeight="1">
      <c r="A142" s="250">
        <v>503</v>
      </c>
      <c r="B142" s="250" t="s">
        <v>1586</v>
      </c>
      <c r="C142" s="250" t="s">
        <v>1587</v>
      </c>
      <c r="D142" s="250">
        <v>20980</v>
      </c>
      <c r="E142" s="250" t="s">
        <v>505</v>
      </c>
      <c r="F142" s="250">
        <v>24</v>
      </c>
      <c r="G142" s="250" t="s">
        <v>1254</v>
      </c>
      <c r="H142" s="253">
        <f t="shared" si="0"/>
        <v>139</v>
      </c>
      <c r="I142" s="253" t="str">
        <f>IF('School Level Expenditures'!$B$2=A142,'School Tables'!H142,"")</f>
        <v/>
      </c>
      <c r="J142" s="253" t="str">
        <f t="shared" si="1"/>
        <v/>
      </c>
      <c r="K142" s="254" t="b">
        <f t="shared" si="2"/>
        <v>0</v>
      </c>
      <c r="AH142" s="253">
        <v>703</v>
      </c>
      <c r="AI142" s="253">
        <v>703</v>
      </c>
      <c r="AJ142" s="253" t="s">
        <v>1337</v>
      </c>
      <c r="AK142" s="253">
        <v>402</v>
      </c>
      <c r="AL142" s="253" t="s">
        <v>1337</v>
      </c>
    </row>
    <row r="143" spans="1:38" ht="11.25" customHeight="1">
      <c r="A143" s="250">
        <v>276</v>
      </c>
      <c r="B143" s="250" t="s">
        <v>1231</v>
      </c>
      <c r="C143" s="250" t="s">
        <v>1588</v>
      </c>
      <c r="D143" s="250">
        <v>26565</v>
      </c>
      <c r="E143" s="250" t="s">
        <v>1321</v>
      </c>
      <c r="F143" s="250">
        <v>65</v>
      </c>
      <c r="G143" s="250" t="s">
        <v>1233</v>
      </c>
      <c r="H143" s="253">
        <f t="shared" si="0"/>
        <v>140</v>
      </c>
      <c r="I143" s="253" t="str">
        <f>IF('School Level Expenditures'!$B$2=A143,'School Tables'!H143,"")</f>
        <v/>
      </c>
      <c r="J143" s="253" t="str">
        <f t="shared" si="1"/>
        <v/>
      </c>
      <c r="K143" s="254" t="b">
        <f t="shared" si="2"/>
        <v>0</v>
      </c>
      <c r="AH143" s="135">
        <v>405</v>
      </c>
      <c r="AI143" s="135">
        <v>405</v>
      </c>
      <c r="AJ143" s="135" t="s">
        <v>1589</v>
      </c>
      <c r="AK143" s="135">
        <v>21</v>
      </c>
      <c r="AL143" s="135" t="s">
        <v>1447</v>
      </c>
    </row>
    <row r="144" spans="1:38" ht="11.25" customHeight="1">
      <c r="A144" s="250">
        <v>351</v>
      </c>
      <c r="B144" s="250" t="s">
        <v>1289</v>
      </c>
      <c r="C144" s="250" t="s">
        <v>1590</v>
      </c>
      <c r="D144" s="250">
        <v>21020</v>
      </c>
      <c r="E144" s="250" t="s">
        <v>505</v>
      </c>
      <c r="F144" s="250">
        <v>26</v>
      </c>
      <c r="G144" s="250" t="s">
        <v>1291</v>
      </c>
      <c r="H144" s="253">
        <f t="shared" si="0"/>
        <v>141</v>
      </c>
      <c r="I144" s="253" t="str">
        <f>IF('School Level Expenditures'!$B$2=A144,'School Tables'!H144,"")</f>
        <v/>
      </c>
      <c r="J144" s="253" t="str">
        <f t="shared" si="1"/>
        <v/>
      </c>
      <c r="K144" s="254" t="b">
        <f t="shared" si="2"/>
        <v>0</v>
      </c>
      <c r="AH144" s="253">
        <v>716</v>
      </c>
      <c r="AI144" s="253">
        <v>716</v>
      </c>
      <c r="AJ144" s="253" t="s">
        <v>1591</v>
      </c>
      <c r="AK144" s="253">
        <v>441</v>
      </c>
      <c r="AL144" s="253" t="s">
        <v>1591</v>
      </c>
    </row>
    <row r="145" spans="1:38" ht="11.25" customHeight="1">
      <c r="A145" s="250">
        <v>351</v>
      </c>
      <c r="B145" s="250" t="s">
        <v>1289</v>
      </c>
      <c r="C145" s="250" t="s">
        <v>1592</v>
      </c>
      <c r="D145" s="250">
        <v>21025</v>
      </c>
      <c r="E145" s="250" t="s">
        <v>505</v>
      </c>
      <c r="F145" s="250">
        <v>26</v>
      </c>
      <c r="G145" s="250" t="s">
        <v>1291</v>
      </c>
      <c r="H145" s="253">
        <f t="shared" si="0"/>
        <v>142</v>
      </c>
      <c r="I145" s="253" t="str">
        <f>IF('School Level Expenditures'!$B$2=A145,'School Tables'!H145,"")</f>
        <v/>
      </c>
      <c r="J145" s="253" t="str">
        <f t="shared" si="1"/>
        <v/>
      </c>
      <c r="K145" s="254" t="b">
        <f t="shared" si="2"/>
        <v>0</v>
      </c>
      <c r="AH145" s="135">
        <v>407</v>
      </c>
      <c r="AI145" s="135">
        <v>407</v>
      </c>
      <c r="AJ145" s="135" t="s">
        <v>1212</v>
      </c>
      <c r="AK145" s="135">
        <v>58</v>
      </c>
      <c r="AL145" s="135" t="s">
        <v>1214</v>
      </c>
    </row>
    <row r="146" spans="1:38" ht="11.25" customHeight="1">
      <c r="A146" s="250">
        <v>247</v>
      </c>
      <c r="B146" s="250" t="s">
        <v>1466</v>
      </c>
      <c r="C146" s="250" t="s">
        <v>1593</v>
      </c>
      <c r="D146" s="250">
        <v>20670</v>
      </c>
      <c r="E146" s="250" t="s">
        <v>505</v>
      </c>
      <c r="F146" s="250">
        <v>103</v>
      </c>
      <c r="G146" s="250" t="s">
        <v>1467</v>
      </c>
      <c r="H146" s="253">
        <f t="shared" si="0"/>
        <v>143</v>
      </c>
      <c r="I146" s="253" t="str">
        <f>IF('School Level Expenditures'!$B$2=A146,'School Tables'!H146,"")</f>
        <v/>
      </c>
      <c r="J146" s="253" t="str">
        <f t="shared" si="1"/>
        <v/>
      </c>
      <c r="K146" s="254" t="b">
        <f t="shared" si="2"/>
        <v>0</v>
      </c>
      <c r="AH146" s="135">
        <v>411</v>
      </c>
      <c r="AI146" s="135">
        <v>411</v>
      </c>
      <c r="AJ146" s="135" t="s">
        <v>1594</v>
      </c>
      <c r="AK146" s="135">
        <v>44</v>
      </c>
      <c r="AL146" s="135" t="s">
        <v>1595</v>
      </c>
    </row>
    <row r="147" spans="1:38" ht="11.25" customHeight="1">
      <c r="A147" s="250">
        <v>335</v>
      </c>
      <c r="B147" s="250" t="s">
        <v>1123</v>
      </c>
      <c r="C147" s="250" t="s">
        <v>1596</v>
      </c>
      <c r="D147" s="250">
        <v>21590</v>
      </c>
      <c r="E147" s="250" t="s">
        <v>505</v>
      </c>
      <c r="F147" s="250">
        <v>37</v>
      </c>
      <c r="G147" s="250" t="s">
        <v>1125</v>
      </c>
      <c r="H147" s="253">
        <f t="shared" si="0"/>
        <v>144</v>
      </c>
      <c r="I147" s="253" t="str">
        <f>IF('School Level Expenditures'!$B$2=A147,'School Tables'!H147,"")</f>
        <v/>
      </c>
      <c r="J147" s="253" t="str">
        <f t="shared" si="1"/>
        <v/>
      </c>
      <c r="K147" s="254" t="b">
        <f t="shared" si="2"/>
        <v>0</v>
      </c>
      <c r="AH147" s="135">
        <v>413</v>
      </c>
      <c r="AI147" s="135">
        <v>413</v>
      </c>
      <c r="AJ147" s="135" t="s">
        <v>1597</v>
      </c>
      <c r="AK147" s="135">
        <v>44</v>
      </c>
      <c r="AL147" s="135" t="s">
        <v>1595</v>
      </c>
    </row>
    <row r="148" spans="1:38" ht="11.25" customHeight="1">
      <c r="A148" s="250">
        <v>341</v>
      </c>
      <c r="B148" s="250" t="s">
        <v>1542</v>
      </c>
      <c r="C148" s="250" t="s">
        <v>1598</v>
      </c>
      <c r="D148" s="250">
        <v>23000</v>
      </c>
      <c r="E148" s="250" t="s">
        <v>505</v>
      </c>
      <c r="F148" s="250">
        <v>29</v>
      </c>
      <c r="G148" s="250" t="s">
        <v>1187</v>
      </c>
      <c r="H148" s="253">
        <f t="shared" si="0"/>
        <v>145</v>
      </c>
      <c r="I148" s="253" t="str">
        <f>IF('School Level Expenditures'!$B$2=A148,'School Tables'!H148,"")</f>
        <v/>
      </c>
      <c r="J148" s="253" t="str">
        <f t="shared" si="1"/>
        <v/>
      </c>
      <c r="K148" s="254" t="b">
        <f t="shared" si="2"/>
        <v>0</v>
      </c>
      <c r="AH148" s="135">
        <v>423</v>
      </c>
      <c r="AI148" s="135">
        <v>0</v>
      </c>
      <c r="AJ148" s="135" t="s">
        <v>1346</v>
      </c>
      <c r="AK148" s="135">
        <v>5</v>
      </c>
      <c r="AL148" s="135" t="s">
        <v>1348</v>
      </c>
    </row>
    <row r="149" spans="1:38" ht="11.25" customHeight="1">
      <c r="A149" s="250">
        <v>113</v>
      </c>
      <c r="B149" s="250" t="s">
        <v>1022</v>
      </c>
      <c r="C149" s="250" t="s">
        <v>1599</v>
      </c>
      <c r="D149" s="250">
        <v>20335</v>
      </c>
      <c r="E149" s="250" t="s">
        <v>505</v>
      </c>
      <c r="F149" s="250">
        <v>9</v>
      </c>
      <c r="G149" s="250" t="s">
        <v>1024</v>
      </c>
      <c r="H149" s="253">
        <f t="shared" si="0"/>
        <v>146</v>
      </c>
      <c r="I149" s="253" t="str">
        <f>IF('School Level Expenditures'!$B$2=A149,'School Tables'!H149,"")</f>
        <v/>
      </c>
      <c r="J149" s="253" t="str">
        <f t="shared" si="1"/>
        <v/>
      </c>
      <c r="K149" s="254" t="b">
        <f t="shared" si="2"/>
        <v>0</v>
      </c>
      <c r="AH149" s="135">
        <v>425</v>
      </c>
      <c r="AI149" s="135">
        <v>425</v>
      </c>
      <c r="AJ149" s="135" t="s">
        <v>1434</v>
      </c>
      <c r="AK149" s="135">
        <v>28</v>
      </c>
      <c r="AL149" s="135" t="s">
        <v>1436</v>
      </c>
    </row>
    <row r="150" spans="1:38" ht="11.25" customHeight="1">
      <c r="A150" s="250">
        <v>279</v>
      </c>
      <c r="B150" s="250" t="s">
        <v>1236</v>
      </c>
      <c r="C150" s="250" t="s">
        <v>1600</v>
      </c>
      <c r="D150" s="250">
        <v>29180</v>
      </c>
      <c r="E150" s="250" t="s">
        <v>1321</v>
      </c>
      <c r="F150" s="250">
        <v>29</v>
      </c>
      <c r="G150" s="250" t="s">
        <v>1187</v>
      </c>
      <c r="H150" s="253">
        <f t="shared" si="0"/>
        <v>147</v>
      </c>
      <c r="I150" s="253" t="str">
        <f>IF('School Level Expenditures'!$B$2=A150,'School Tables'!H150,"")</f>
        <v/>
      </c>
      <c r="J150" s="253" t="str">
        <f t="shared" si="1"/>
        <v/>
      </c>
      <c r="K150" s="254" t="b">
        <f t="shared" si="2"/>
        <v>0</v>
      </c>
      <c r="AH150" s="135">
        <v>427</v>
      </c>
      <c r="AI150" s="135">
        <v>427</v>
      </c>
      <c r="AJ150" s="135" t="s">
        <v>1441</v>
      </c>
      <c r="AK150" s="135">
        <v>53</v>
      </c>
      <c r="AL150" s="135" t="s">
        <v>1035</v>
      </c>
    </row>
    <row r="151" spans="1:38" ht="11.25" customHeight="1">
      <c r="A151" s="250">
        <v>35</v>
      </c>
      <c r="B151" s="250" t="s">
        <v>1098</v>
      </c>
      <c r="C151" s="250" t="s">
        <v>1601</v>
      </c>
      <c r="D151" s="250">
        <v>20325</v>
      </c>
      <c r="E151" s="250" t="s">
        <v>505</v>
      </c>
      <c r="F151" s="250">
        <v>9</v>
      </c>
      <c r="G151" s="250" t="s">
        <v>1024</v>
      </c>
      <c r="H151" s="253">
        <f t="shared" si="0"/>
        <v>148</v>
      </c>
      <c r="I151" s="253" t="str">
        <f>IF('School Level Expenditures'!$B$2=A151,'School Tables'!H151,"")</f>
        <v/>
      </c>
      <c r="J151" s="253" t="str">
        <f t="shared" si="1"/>
        <v/>
      </c>
      <c r="K151" s="254" t="b">
        <f t="shared" si="2"/>
        <v>0</v>
      </c>
      <c r="AH151" s="135">
        <v>428</v>
      </c>
      <c r="AI151" s="135">
        <v>0</v>
      </c>
      <c r="AJ151" s="135" t="s">
        <v>1455</v>
      </c>
      <c r="AK151" s="135">
        <v>48</v>
      </c>
      <c r="AL151" s="135" t="s">
        <v>1158</v>
      </c>
    </row>
    <row r="152" spans="1:38" ht="11.25" customHeight="1">
      <c r="A152" s="250">
        <v>276</v>
      </c>
      <c r="B152" s="250" t="s">
        <v>1231</v>
      </c>
      <c r="C152" s="250" t="s">
        <v>1602</v>
      </c>
      <c r="D152" s="250">
        <v>21980</v>
      </c>
      <c r="E152" s="250" t="s">
        <v>505</v>
      </c>
      <c r="F152" s="250">
        <v>65</v>
      </c>
      <c r="G152" s="250" t="s">
        <v>1233</v>
      </c>
      <c r="H152" s="253">
        <f t="shared" si="0"/>
        <v>149</v>
      </c>
      <c r="I152" s="253" t="str">
        <f>IF('School Level Expenditures'!$B$2=A152,'School Tables'!H152,"")</f>
        <v/>
      </c>
      <c r="J152" s="253" t="str">
        <f t="shared" si="1"/>
        <v/>
      </c>
      <c r="K152" s="254" t="b">
        <f t="shared" si="2"/>
        <v>0</v>
      </c>
      <c r="AH152" s="135">
        <v>435</v>
      </c>
      <c r="AI152" s="135">
        <v>435</v>
      </c>
      <c r="AJ152" s="135" t="s">
        <v>1603</v>
      </c>
      <c r="AK152" s="135">
        <v>23</v>
      </c>
      <c r="AL152" s="135" t="s">
        <v>1107</v>
      </c>
    </row>
    <row r="153" spans="1:38" ht="11.25" customHeight="1">
      <c r="A153" s="250">
        <v>276</v>
      </c>
      <c r="B153" s="250" t="s">
        <v>1231</v>
      </c>
      <c r="C153" s="250" t="s">
        <v>1604</v>
      </c>
      <c r="D153" s="250">
        <v>26530</v>
      </c>
      <c r="E153" s="250" t="s">
        <v>505</v>
      </c>
      <c r="F153" s="250">
        <v>65</v>
      </c>
      <c r="G153" s="250" t="s">
        <v>1233</v>
      </c>
      <c r="H153" s="253">
        <f t="shared" si="0"/>
        <v>150</v>
      </c>
      <c r="I153" s="253" t="str">
        <f>IF('School Level Expenditures'!$B$2=A153,'School Tables'!H153,"")</f>
        <v/>
      </c>
      <c r="J153" s="253" t="str">
        <f t="shared" si="1"/>
        <v/>
      </c>
      <c r="K153" s="254" t="b">
        <f t="shared" si="2"/>
        <v>0</v>
      </c>
      <c r="AH153" s="135">
        <v>437</v>
      </c>
      <c r="AI153" s="135">
        <v>437</v>
      </c>
      <c r="AJ153" s="135" t="s">
        <v>1449</v>
      </c>
      <c r="AK153" s="135">
        <v>7</v>
      </c>
      <c r="AL153" s="135" t="s">
        <v>1105</v>
      </c>
    </row>
    <row r="154" spans="1:38" ht="11.25" customHeight="1">
      <c r="A154" s="250">
        <v>525</v>
      </c>
      <c r="B154" s="250" t="s">
        <v>1605</v>
      </c>
      <c r="C154" s="250" t="s">
        <v>1606</v>
      </c>
      <c r="D154" s="250">
        <v>20365</v>
      </c>
      <c r="E154" s="250" t="s">
        <v>505</v>
      </c>
      <c r="F154" s="250">
        <v>13</v>
      </c>
      <c r="G154" s="250" t="s">
        <v>1359</v>
      </c>
      <c r="H154" s="253">
        <f t="shared" si="0"/>
        <v>151</v>
      </c>
      <c r="I154" s="253" t="str">
        <f>IF('School Level Expenditures'!$B$2=A154,'School Tables'!H154,"")</f>
        <v/>
      </c>
      <c r="J154" s="253" t="str">
        <f t="shared" si="1"/>
        <v/>
      </c>
      <c r="K154" s="254" t="b">
        <f t="shared" si="2"/>
        <v>0</v>
      </c>
      <c r="AH154" s="135">
        <v>439</v>
      </c>
      <c r="AI154" s="135">
        <v>439</v>
      </c>
      <c r="AJ154" s="135" t="s">
        <v>1354</v>
      </c>
      <c r="AK154" s="135">
        <v>51</v>
      </c>
      <c r="AL154" s="135" t="s">
        <v>1356</v>
      </c>
    </row>
    <row r="155" spans="1:38" ht="11.25" customHeight="1">
      <c r="A155" s="250">
        <v>281</v>
      </c>
      <c r="B155" s="250" t="s">
        <v>1509</v>
      </c>
      <c r="C155" s="250" t="s">
        <v>1607</v>
      </c>
      <c r="D155" s="250">
        <v>20605</v>
      </c>
      <c r="E155" s="250" t="s">
        <v>505</v>
      </c>
      <c r="F155" s="250">
        <v>16</v>
      </c>
      <c r="G155" s="250" t="s">
        <v>1096</v>
      </c>
      <c r="H155" s="253">
        <f t="shared" si="0"/>
        <v>152</v>
      </c>
      <c r="I155" s="253" t="str">
        <f>IF('School Level Expenditures'!$B$2=A155,'School Tables'!H155,"")</f>
        <v/>
      </c>
      <c r="J155" s="253" t="str">
        <f t="shared" si="1"/>
        <v/>
      </c>
      <c r="K155" s="254" t="b">
        <f t="shared" si="2"/>
        <v>0</v>
      </c>
      <c r="AH155" s="135">
        <v>441</v>
      </c>
      <c r="AI155" s="135">
        <v>441</v>
      </c>
      <c r="AJ155" s="135" t="s">
        <v>1608</v>
      </c>
      <c r="AK155" s="135">
        <v>32</v>
      </c>
      <c r="AL155" s="135" t="s">
        <v>1609</v>
      </c>
    </row>
    <row r="156" spans="1:38" ht="11.25" customHeight="1">
      <c r="A156" s="250">
        <v>288</v>
      </c>
      <c r="B156" s="250" t="s">
        <v>1517</v>
      </c>
      <c r="C156" s="250" t="s">
        <v>1610</v>
      </c>
      <c r="D156" s="250">
        <v>21405</v>
      </c>
      <c r="E156" s="250" t="s">
        <v>505</v>
      </c>
      <c r="F156" s="250">
        <v>35</v>
      </c>
      <c r="G156" s="250" t="s">
        <v>1132</v>
      </c>
      <c r="H156" s="253">
        <f t="shared" si="0"/>
        <v>153</v>
      </c>
      <c r="I156" s="253" t="str">
        <f>IF('School Level Expenditures'!$B$2=A156,'School Tables'!H156,"")</f>
        <v/>
      </c>
      <c r="J156" s="253" t="str">
        <f t="shared" si="1"/>
        <v/>
      </c>
      <c r="K156" s="254" t="b">
        <f t="shared" si="2"/>
        <v>0</v>
      </c>
      <c r="AH156" s="135">
        <v>447</v>
      </c>
      <c r="AI156" s="135">
        <v>447</v>
      </c>
      <c r="AJ156" s="135" t="s">
        <v>1611</v>
      </c>
      <c r="AK156" s="135">
        <v>48</v>
      </c>
      <c r="AL156" s="135" t="s">
        <v>1158</v>
      </c>
    </row>
    <row r="157" spans="1:38" ht="11.25" customHeight="1">
      <c r="A157" s="250">
        <v>453</v>
      </c>
      <c r="B157" s="250" t="s">
        <v>1223</v>
      </c>
      <c r="C157" s="250" t="s">
        <v>1612</v>
      </c>
      <c r="D157" s="250">
        <v>21385</v>
      </c>
      <c r="E157" s="250" t="s">
        <v>505</v>
      </c>
      <c r="F157" s="250">
        <v>33</v>
      </c>
      <c r="G157" s="250" t="s">
        <v>1225</v>
      </c>
      <c r="H157" s="253">
        <f t="shared" si="0"/>
        <v>154</v>
      </c>
      <c r="I157" s="253" t="str">
        <f>IF('School Level Expenditures'!$B$2=A157,'School Tables'!H157,"")</f>
        <v/>
      </c>
      <c r="J157" s="253" t="str">
        <f t="shared" si="1"/>
        <v/>
      </c>
      <c r="K157" s="254" t="b">
        <f t="shared" si="2"/>
        <v>0</v>
      </c>
      <c r="AH157" s="253">
        <v>735</v>
      </c>
      <c r="AI157" s="253">
        <v>735</v>
      </c>
      <c r="AJ157" s="253" t="s">
        <v>1613</v>
      </c>
      <c r="AK157" s="253">
        <v>419</v>
      </c>
      <c r="AL157" s="253" t="s">
        <v>1613</v>
      </c>
    </row>
    <row r="158" spans="1:38" ht="11.25" customHeight="1">
      <c r="A158" s="250">
        <v>568</v>
      </c>
      <c r="B158" s="250" t="s">
        <v>1504</v>
      </c>
      <c r="C158" s="250" t="s">
        <v>1614</v>
      </c>
      <c r="D158" s="250">
        <v>21475</v>
      </c>
      <c r="E158" s="250" t="s">
        <v>505</v>
      </c>
      <c r="F158" s="250">
        <v>36</v>
      </c>
      <c r="G158" s="250" t="s">
        <v>1506</v>
      </c>
      <c r="H158" s="253">
        <f t="shared" si="0"/>
        <v>155</v>
      </c>
      <c r="I158" s="253" t="str">
        <f>IF('School Level Expenditures'!$B$2=A158,'School Tables'!H158,"")</f>
        <v/>
      </c>
      <c r="J158" s="253" t="str">
        <f t="shared" si="1"/>
        <v/>
      </c>
      <c r="K158" s="254" t="b">
        <f t="shared" si="2"/>
        <v>0</v>
      </c>
      <c r="AH158" s="135">
        <v>449</v>
      </c>
      <c r="AI158" s="135">
        <v>449</v>
      </c>
      <c r="AJ158" s="135" t="s">
        <v>1361</v>
      </c>
      <c r="AK158" s="135">
        <v>52</v>
      </c>
      <c r="AL158" s="135" t="s">
        <v>1363</v>
      </c>
    </row>
    <row r="159" spans="1:38" ht="11.25" customHeight="1">
      <c r="A159" s="250">
        <v>291</v>
      </c>
      <c r="B159" s="250" t="s">
        <v>1520</v>
      </c>
      <c r="C159" s="250" t="s">
        <v>1615</v>
      </c>
      <c r="D159" s="250">
        <v>21410</v>
      </c>
      <c r="E159" s="250" t="s">
        <v>505</v>
      </c>
      <c r="F159" s="250">
        <v>35</v>
      </c>
      <c r="G159" s="250" t="s">
        <v>1132</v>
      </c>
      <c r="H159" s="253">
        <f t="shared" si="0"/>
        <v>156</v>
      </c>
      <c r="I159" s="253" t="str">
        <f>IF('School Level Expenditures'!$B$2=A159,'School Tables'!H159,"")</f>
        <v/>
      </c>
      <c r="J159" s="253" t="str">
        <f t="shared" si="1"/>
        <v/>
      </c>
      <c r="K159" s="254" t="b">
        <f t="shared" si="2"/>
        <v>0</v>
      </c>
      <c r="AH159" s="135">
        <v>450</v>
      </c>
      <c r="AI159" s="135">
        <v>0</v>
      </c>
      <c r="AJ159" s="135" t="s">
        <v>1368</v>
      </c>
      <c r="AK159" s="135">
        <v>35</v>
      </c>
      <c r="AL159" s="135" t="s">
        <v>1132</v>
      </c>
    </row>
    <row r="160" spans="1:38" ht="11.25" customHeight="1">
      <c r="A160" s="250">
        <v>371</v>
      </c>
      <c r="B160" s="250" t="s">
        <v>1068</v>
      </c>
      <c r="C160" s="250" t="s">
        <v>1616</v>
      </c>
      <c r="D160" s="250">
        <v>21915</v>
      </c>
      <c r="E160" s="250" t="s">
        <v>505</v>
      </c>
      <c r="F160" s="250">
        <v>42</v>
      </c>
      <c r="G160" s="250" t="s">
        <v>1070</v>
      </c>
      <c r="H160" s="253">
        <f t="shared" si="0"/>
        <v>157</v>
      </c>
      <c r="I160" s="253" t="str">
        <f>IF('School Level Expenditures'!$B$2=A160,'School Tables'!H160,"")</f>
        <v/>
      </c>
      <c r="J160" s="253" t="str">
        <f t="shared" si="1"/>
        <v/>
      </c>
      <c r="K160" s="254" t="b">
        <f t="shared" si="2"/>
        <v>0</v>
      </c>
      <c r="AH160" s="135">
        <v>453</v>
      </c>
      <c r="AI160" s="135">
        <v>453</v>
      </c>
      <c r="AJ160" s="135" t="s">
        <v>1223</v>
      </c>
      <c r="AK160" s="135">
        <v>33</v>
      </c>
      <c r="AL160" s="135" t="s">
        <v>1225</v>
      </c>
    </row>
    <row r="161" spans="1:38" ht="11.25" customHeight="1">
      <c r="A161" s="250">
        <v>299</v>
      </c>
      <c r="B161" s="250" t="s">
        <v>1525</v>
      </c>
      <c r="C161" s="250" t="s">
        <v>1617</v>
      </c>
      <c r="D161" s="250">
        <v>29169</v>
      </c>
      <c r="E161" s="250" t="s">
        <v>505</v>
      </c>
      <c r="F161" s="250">
        <v>71</v>
      </c>
      <c r="G161" s="250" t="s">
        <v>1526</v>
      </c>
      <c r="H161" s="253">
        <f t="shared" si="0"/>
        <v>158</v>
      </c>
      <c r="I161" s="253" t="str">
        <f>IF('School Level Expenditures'!$B$2=A161,'School Tables'!H161,"")</f>
        <v/>
      </c>
      <c r="J161" s="253" t="str">
        <f t="shared" si="1"/>
        <v/>
      </c>
      <c r="K161" s="254" t="b">
        <f t="shared" si="2"/>
        <v>0</v>
      </c>
      <c r="AH161" s="135">
        <v>457</v>
      </c>
      <c r="AI161" s="135">
        <v>0</v>
      </c>
      <c r="AJ161" s="135" t="s">
        <v>1471</v>
      </c>
      <c r="AK161" s="135">
        <v>78</v>
      </c>
      <c r="AL161" s="135" t="s">
        <v>1473</v>
      </c>
    </row>
    <row r="162" spans="1:38" ht="11.25" customHeight="1">
      <c r="A162" s="250">
        <v>227</v>
      </c>
      <c r="B162" s="250" t="s">
        <v>1446</v>
      </c>
      <c r="C162" s="250" t="s">
        <v>1618</v>
      </c>
      <c r="D162" s="250">
        <v>20800</v>
      </c>
      <c r="E162" s="250" t="s">
        <v>505</v>
      </c>
      <c r="F162" s="250">
        <v>21</v>
      </c>
      <c r="G162" s="250" t="s">
        <v>1447</v>
      </c>
      <c r="H162" s="253">
        <f t="shared" si="0"/>
        <v>159</v>
      </c>
      <c r="I162" s="253" t="str">
        <f>IF('School Level Expenditures'!$B$2=A162,'School Tables'!H162,"")</f>
        <v/>
      </c>
      <c r="J162" s="253" t="str">
        <f t="shared" si="1"/>
        <v/>
      </c>
      <c r="K162" s="254" t="b">
        <f t="shared" si="2"/>
        <v>0</v>
      </c>
      <c r="AH162" s="253">
        <v>737</v>
      </c>
      <c r="AI162" s="253">
        <v>737</v>
      </c>
      <c r="AJ162" s="253" t="s">
        <v>1619</v>
      </c>
      <c r="AK162" s="253">
        <v>420</v>
      </c>
      <c r="AL162" s="253" t="s">
        <v>1619</v>
      </c>
    </row>
    <row r="163" spans="1:38" ht="11.25" customHeight="1">
      <c r="A163" s="250">
        <v>173</v>
      </c>
      <c r="B163" s="250" t="s">
        <v>1335</v>
      </c>
      <c r="C163" s="250" t="s">
        <v>1620</v>
      </c>
      <c r="D163" s="250">
        <v>20595</v>
      </c>
      <c r="E163" s="250" t="s">
        <v>505</v>
      </c>
      <c r="F163" s="250">
        <v>16</v>
      </c>
      <c r="G163" s="250" t="s">
        <v>1096</v>
      </c>
      <c r="H163" s="253">
        <f t="shared" si="0"/>
        <v>160</v>
      </c>
      <c r="I163" s="253" t="str">
        <f>IF('School Level Expenditures'!$B$2=A163,'School Tables'!H163,"")</f>
        <v/>
      </c>
      <c r="J163" s="253" t="str">
        <f t="shared" si="1"/>
        <v/>
      </c>
      <c r="K163" s="254" t="b">
        <f t="shared" si="2"/>
        <v>0</v>
      </c>
      <c r="AH163" s="135">
        <v>461</v>
      </c>
      <c r="AI163" s="135">
        <v>461</v>
      </c>
      <c r="AJ163" s="135" t="s">
        <v>1072</v>
      </c>
      <c r="AK163" s="135">
        <v>54</v>
      </c>
      <c r="AL163" s="135" t="s">
        <v>1074</v>
      </c>
    </row>
    <row r="164" spans="1:38" ht="11.25" customHeight="1">
      <c r="A164" s="250">
        <v>305</v>
      </c>
      <c r="B164" s="250" t="s">
        <v>1270</v>
      </c>
      <c r="C164" s="250" t="s">
        <v>1621</v>
      </c>
      <c r="D164" s="250">
        <v>20880</v>
      </c>
      <c r="E164" s="250" t="s">
        <v>505</v>
      </c>
      <c r="F164" s="250">
        <v>68</v>
      </c>
      <c r="G164" s="250" t="s">
        <v>1272</v>
      </c>
      <c r="H164" s="253">
        <f t="shared" si="0"/>
        <v>161</v>
      </c>
      <c r="I164" s="253" t="str">
        <f>IF('School Level Expenditures'!$B$2=A164,'School Tables'!H164,"")</f>
        <v/>
      </c>
      <c r="J164" s="253" t="str">
        <f t="shared" si="1"/>
        <v/>
      </c>
      <c r="K164" s="254" t="b">
        <f t="shared" si="2"/>
        <v>0</v>
      </c>
      <c r="AH164" s="135">
        <v>463</v>
      </c>
      <c r="AI164" s="135">
        <v>463</v>
      </c>
      <c r="AJ164" s="135" t="s">
        <v>1622</v>
      </c>
      <c r="AK164" s="135">
        <v>104</v>
      </c>
      <c r="AL164" s="135" t="s">
        <v>1623</v>
      </c>
    </row>
    <row r="165" spans="1:38" ht="11.25" customHeight="1">
      <c r="A165" s="250">
        <v>306</v>
      </c>
      <c r="B165" s="250" t="s">
        <v>1277</v>
      </c>
      <c r="C165" s="250" t="s">
        <v>1624</v>
      </c>
      <c r="D165" s="250">
        <v>21420</v>
      </c>
      <c r="E165" s="250" t="s">
        <v>505</v>
      </c>
      <c r="F165" s="250">
        <v>35</v>
      </c>
      <c r="G165" s="250" t="s">
        <v>1132</v>
      </c>
      <c r="H165" s="253">
        <f t="shared" si="0"/>
        <v>162</v>
      </c>
      <c r="I165" s="253" t="str">
        <f>IF('School Level Expenditures'!$B$2=A165,'School Tables'!H165,"")</f>
        <v/>
      </c>
      <c r="J165" s="253" t="str">
        <f t="shared" si="1"/>
        <v/>
      </c>
      <c r="K165" s="254" t="b">
        <f t="shared" si="2"/>
        <v>0</v>
      </c>
      <c r="AH165" s="135">
        <v>467</v>
      </c>
      <c r="AI165" s="135">
        <v>467</v>
      </c>
      <c r="AJ165" s="135" t="s">
        <v>1625</v>
      </c>
      <c r="AK165" s="135">
        <v>48</v>
      </c>
      <c r="AL165" s="135" t="s">
        <v>1158</v>
      </c>
    </row>
    <row r="166" spans="1:38" ht="11.25" customHeight="1">
      <c r="A166" s="250">
        <v>449</v>
      </c>
      <c r="B166" s="250" t="s">
        <v>1361</v>
      </c>
      <c r="C166" s="250" t="s">
        <v>1626</v>
      </c>
      <c r="D166" s="250">
        <v>22515</v>
      </c>
      <c r="E166" s="250" t="s">
        <v>505</v>
      </c>
      <c r="F166" s="250">
        <v>52</v>
      </c>
      <c r="G166" s="250" t="s">
        <v>1363</v>
      </c>
      <c r="H166" s="253">
        <f t="shared" si="0"/>
        <v>163</v>
      </c>
      <c r="I166" s="253" t="str">
        <f>IF('School Level Expenditures'!$B$2=A166,'School Tables'!H166,"")</f>
        <v/>
      </c>
      <c r="J166" s="253" t="str">
        <f t="shared" si="1"/>
        <v/>
      </c>
      <c r="K166" s="254" t="b">
        <f t="shared" si="2"/>
        <v>0</v>
      </c>
      <c r="AH166" s="135">
        <v>471</v>
      </c>
      <c r="AI166" s="135">
        <v>471</v>
      </c>
      <c r="AJ166" s="135" t="s">
        <v>1627</v>
      </c>
      <c r="AK166" s="135">
        <v>50</v>
      </c>
      <c r="AL166" s="135" t="s">
        <v>1422</v>
      </c>
    </row>
    <row r="167" spans="1:38" ht="11.25" customHeight="1">
      <c r="A167" s="250">
        <v>352</v>
      </c>
      <c r="B167" s="250" t="s">
        <v>1207</v>
      </c>
      <c r="C167" s="250" t="s">
        <v>1628</v>
      </c>
      <c r="D167" s="250">
        <v>22180</v>
      </c>
      <c r="E167" s="250" t="s">
        <v>505</v>
      </c>
      <c r="F167" s="250">
        <v>46</v>
      </c>
      <c r="G167" s="250" t="s">
        <v>1060</v>
      </c>
      <c r="H167" s="253">
        <f t="shared" si="0"/>
        <v>164</v>
      </c>
      <c r="I167" s="253" t="str">
        <f>IF('School Level Expenditures'!$B$2=A167,'School Tables'!H167,"")</f>
        <v/>
      </c>
      <c r="J167" s="253" t="str">
        <f t="shared" si="1"/>
        <v/>
      </c>
      <c r="K167" s="254" t="b">
        <f t="shared" si="2"/>
        <v>0</v>
      </c>
      <c r="AH167" s="135">
        <v>473</v>
      </c>
      <c r="AI167" s="135">
        <v>473</v>
      </c>
      <c r="AJ167" s="135" t="s">
        <v>1408</v>
      </c>
      <c r="AK167" s="135">
        <v>57</v>
      </c>
      <c r="AL167" s="135" t="s">
        <v>1410</v>
      </c>
    </row>
    <row r="168" spans="1:38" ht="11.25" customHeight="1">
      <c r="A168" s="250">
        <v>327</v>
      </c>
      <c r="B168" s="250" t="s">
        <v>1533</v>
      </c>
      <c r="C168" s="250" t="s">
        <v>1629</v>
      </c>
      <c r="D168" s="250">
        <v>20835</v>
      </c>
      <c r="E168" s="250" t="s">
        <v>505</v>
      </c>
      <c r="F168" s="250">
        <v>76</v>
      </c>
      <c r="G168" s="250" t="s">
        <v>1534</v>
      </c>
      <c r="H168" s="253">
        <f t="shared" si="0"/>
        <v>165</v>
      </c>
      <c r="I168" s="253" t="str">
        <f>IF('School Level Expenditures'!$B$2=A168,'School Tables'!H168,"")</f>
        <v/>
      </c>
      <c r="J168" s="253" t="str">
        <f t="shared" si="1"/>
        <v/>
      </c>
      <c r="K168" s="254" t="b">
        <f t="shared" si="2"/>
        <v>0</v>
      </c>
      <c r="AH168" s="135">
        <v>476</v>
      </c>
      <c r="AI168" s="135">
        <v>0</v>
      </c>
      <c r="AJ168" s="135" t="s">
        <v>1372</v>
      </c>
      <c r="AK168" s="135">
        <v>17</v>
      </c>
      <c r="AL168" s="135" t="s">
        <v>1374</v>
      </c>
    </row>
    <row r="169" spans="1:38" ht="11.25" customHeight="1">
      <c r="A169" s="250">
        <v>572</v>
      </c>
      <c r="B169" s="250" t="s">
        <v>1424</v>
      </c>
      <c r="C169" s="250" t="s">
        <v>1630</v>
      </c>
      <c r="D169" s="250">
        <v>23035</v>
      </c>
      <c r="E169" s="250" t="s">
        <v>505</v>
      </c>
      <c r="F169" s="250">
        <v>63</v>
      </c>
      <c r="G169" s="250" t="s">
        <v>1426</v>
      </c>
      <c r="H169" s="253">
        <f t="shared" si="0"/>
        <v>166</v>
      </c>
      <c r="I169" s="253" t="str">
        <f>IF('School Level Expenditures'!$B$2=A169,'School Tables'!H169,"")</f>
        <v/>
      </c>
      <c r="J169" s="253" t="str">
        <f t="shared" si="1"/>
        <v/>
      </c>
      <c r="K169" s="254" t="b">
        <f t="shared" si="2"/>
        <v>0</v>
      </c>
      <c r="AH169" s="135">
        <v>485</v>
      </c>
      <c r="AI169" s="135">
        <v>485</v>
      </c>
      <c r="AJ169" s="135" t="s">
        <v>1631</v>
      </c>
      <c r="AK169" s="135">
        <v>21</v>
      </c>
      <c r="AL169" s="135" t="s">
        <v>1447</v>
      </c>
    </row>
    <row r="170" spans="1:38" ht="11.25" customHeight="1">
      <c r="A170" s="250">
        <v>333</v>
      </c>
      <c r="B170" s="250" t="s">
        <v>1536</v>
      </c>
      <c r="C170" s="250" t="s">
        <v>1632</v>
      </c>
      <c r="D170" s="250">
        <v>20360</v>
      </c>
      <c r="E170" s="250" t="s">
        <v>505</v>
      </c>
      <c r="F170" s="250">
        <v>13</v>
      </c>
      <c r="G170" s="250" t="s">
        <v>1359</v>
      </c>
      <c r="H170" s="253">
        <f t="shared" si="0"/>
        <v>167</v>
      </c>
      <c r="I170" s="253" t="str">
        <f>IF('School Level Expenditures'!$B$2=A170,'School Tables'!H170,"")</f>
        <v/>
      </c>
      <c r="J170" s="253" t="str">
        <f t="shared" si="1"/>
        <v/>
      </c>
      <c r="K170" s="254" t="b">
        <f t="shared" si="2"/>
        <v>0</v>
      </c>
      <c r="AH170" s="253">
        <v>705</v>
      </c>
      <c r="AI170" s="253">
        <v>705</v>
      </c>
      <c r="AJ170" s="253" t="s">
        <v>1633</v>
      </c>
      <c r="AK170" s="253">
        <v>403</v>
      </c>
      <c r="AL170" s="253" t="s">
        <v>1633</v>
      </c>
    </row>
    <row r="171" spans="1:38" ht="11.25" customHeight="1">
      <c r="A171" s="250">
        <v>371</v>
      </c>
      <c r="B171" s="250" t="s">
        <v>1068</v>
      </c>
      <c r="C171" s="250" t="s">
        <v>1634</v>
      </c>
      <c r="D171" s="250">
        <v>21935</v>
      </c>
      <c r="E171" s="250" t="s">
        <v>505</v>
      </c>
      <c r="F171" s="250">
        <v>42</v>
      </c>
      <c r="G171" s="250" t="s">
        <v>1070</v>
      </c>
      <c r="H171" s="253">
        <f t="shared" si="0"/>
        <v>168</v>
      </c>
      <c r="I171" s="253" t="str">
        <f>IF('School Level Expenditures'!$B$2=A171,'School Tables'!H171,"")</f>
        <v/>
      </c>
      <c r="J171" s="253" t="str">
        <f t="shared" si="1"/>
        <v/>
      </c>
      <c r="K171" s="254" t="b">
        <f t="shared" si="2"/>
        <v>0</v>
      </c>
      <c r="AH171" s="135">
        <v>486</v>
      </c>
      <c r="AI171" s="135">
        <v>0</v>
      </c>
      <c r="AJ171" s="135" t="s">
        <v>1051</v>
      </c>
      <c r="AK171" s="135">
        <v>80</v>
      </c>
      <c r="AL171" s="135" t="s">
        <v>1053</v>
      </c>
    </row>
    <row r="172" spans="1:38" ht="11.25" customHeight="1">
      <c r="A172" s="250">
        <v>173</v>
      </c>
      <c r="B172" s="250" t="s">
        <v>1335</v>
      </c>
      <c r="C172" s="250" t="s">
        <v>1635</v>
      </c>
      <c r="D172" s="250">
        <v>20575</v>
      </c>
      <c r="E172" s="250" t="s">
        <v>505</v>
      </c>
      <c r="F172" s="250">
        <v>16</v>
      </c>
      <c r="G172" s="250" t="s">
        <v>1096</v>
      </c>
      <c r="H172" s="253">
        <f t="shared" si="0"/>
        <v>169</v>
      </c>
      <c r="I172" s="253" t="str">
        <f>IF('School Level Expenditures'!$B$2=A172,'School Tables'!H172,"")</f>
        <v/>
      </c>
      <c r="J172" s="253" t="str">
        <f t="shared" si="1"/>
        <v/>
      </c>
      <c r="K172" s="254" t="b">
        <f t="shared" si="2"/>
        <v>0</v>
      </c>
      <c r="AH172" s="135">
        <v>491</v>
      </c>
      <c r="AI172" s="135">
        <v>491</v>
      </c>
      <c r="AJ172" s="135" t="s">
        <v>1389</v>
      </c>
      <c r="AK172" s="135">
        <v>56</v>
      </c>
      <c r="AL172" s="135" t="s">
        <v>1391</v>
      </c>
    </row>
    <row r="173" spans="1:38" ht="11.25" customHeight="1">
      <c r="A173" s="250">
        <v>101</v>
      </c>
      <c r="B173" s="250" t="s">
        <v>1089</v>
      </c>
      <c r="C173" s="250" t="s">
        <v>1636</v>
      </c>
      <c r="D173" s="250">
        <v>20160</v>
      </c>
      <c r="E173" s="250" t="s">
        <v>505</v>
      </c>
      <c r="F173" s="250">
        <v>6</v>
      </c>
      <c r="G173" s="250" t="s">
        <v>1091</v>
      </c>
      <c r="H173" s="253">
        <f t="shared" si="0"/>
        <v>170</v>
      </c>
      <c r="I173" s="253" t="str">
        <f>IF('School Level Expenditures'!$B$2=A173,'School Tables'!H173,"")</f>
        <v/>
      </c>
      <c r="J173" s="253" t="str">
        <f t="shared" si="1"/>
        <v/>
      </c>
      <c r="K173" s="254" t="b">
        <f t="shared" si="2"/>
        <v>0</v>
      </c>
      <c r="AH173" s="135">
        <v>493</v>
      </c>
      <c r="AI173" s="135">
        <v>0</v>
      </c>
      <c r="AJ173" s="135" t="s">
        <v>1483</v>
      </c>
      <c r="AK173" s="135">
        <v>39</v>
      </c>
      <c r="AL173" s="135" t="s">
        <v>1041</v>
      </c>
    </row>
    <row r="174" spans="1:38" ht="11.25" customHeight="1">
      <c r="A174" s="250">
        <v>199</v>
      </c>
      <c r="B174" s="250" t="s">
        <v>1138</v>
      </c>
      <c r="C174" s="250" t="s">
        <v>1637</v>
      </c>
      <c r="D174" s="250">
        <v>20690</v>
      </c>
      <c r="E174" s="250" t="s">
        <v>505</v>
      </c>
      <c r="F174" s="250">
        <v>19</v>
      </c>
      <c r="G174" s="250" t="s">
        <v>1140</v>
      </c>
      <c r="H174" s="253">
        <f t="shared" si="0"/>
        <v>171</v>
      </c>
      <c r="I174" s="253" t="str">
        <f>IF('School Level Expenditures'!$B$2=A174,'School Tables'!H174,"")</f>
        <v/>
      </c>
      <c r="J174" s="253" t="str">
        <f t="shared" si="1"/>
        <v/>
      </c>
      <c r="K174" s="254" t="b">
        <f t="shared" si="2"/>
        <v>0</v>
      </c>
      <c r="AH174" s="135">
        <v>495</v>
      </c>
      <c r="AI174" s="135">
        <v>495</v>
      </c>
      <c r="AJ174" s="135" t="s">
        <v>1638</v>
      </c>
      <c r="AK174" s="135">
        <v>21</v>
      </c>
      <c r="AL174" s="135" t="s">
        <v>1447</v>
      </c>
    </row>
    <row r="175" spans="1:38" ht="11.25" customHeight="1">
      <c r="A175" s="250">
        <v>263</v>
      </c>
      <c r="B175" s="250" t="s">
        <v>1209</v>
      </c>
      <c r="C175" s="250" t="s">
        <v>1639</v>
      </c>
      <c r="D175" s="250">
        <v>20965</v>
      </c>
      <c r="E175" s="250" t="s">
        <v>505</v>
      </c>
      <c r="F175" s="250">
        <v>66</v>
      </c>
      <c r="G175" s="250" t="s">
        <v>1211</v>
      </c>
      <c r="H175" s="253">
        <f t="shared" si="0"/>
        <v>172</v>
      </c>
      <c r="I175" s="253" t="str">
        <f>IF('School Level Expenditures'!$B$2=A175,'School Tables'!H175,"")</f>
        <v/>
      </c>
      <c r="J175" s="253" t="str">
        <f t="shared" si="1"/>
        <v/>
      </c>
      <c r="K175" s="254" t="b">
        <f t="shared" si="2"/>
        <v>0</v>
      </c>
      <c r="AH175" s="253">
        <v>714</v>
      </c>
      <c r="AI175" s="253">
        <v>714</v>
      </c>
      <c r="AJ175" s="253" t="s">
        <v>1486</v>
      </c>
      <c r="AK175" s="253">
        <v>437</v>
      </c>
      <c r="AL175" s="253" t="s">
        <v>1486</v>
      </c>
    </row>
    <row r="176" spans="1:38" ht="11.25" customHeight="1">
      <c r="A176" s="250">
        <v>461</v>
      </c>
      <c r="B176" s="250" t="s">
        <v>1072</v>
      </c>
      <c r="C176" s="250" t="s">
        <v>1640</v>
      </c>
      <c r="D176" s="250">
        <v>29080</v>
      </c>
      <c r="E176" s="250" t="s">
        <v>505</v>
      </c>
      <c r="F176" s="250">
        <v>54</v>
      </c>
      <c r="G176" s="250" t="s">
        <v>1074</v>
      </c>
      <c r="H176" s="253">
        <f t="shared" si="0"/>
        <v>173</v>
      </c>
      <c r="I176" s="253" t="str">
        <f>IF('School Level Expenditures'!$B$2=A176,'School Tables'!H176,"")</f>
        <v/>
      </c>
      <c r="J176" s="253" t="str">
        <f t="shared" si="1"/>
        <v/>
      </c>
      <c r="K176" s="254" t="b">
        <f t="shared" si="2"/>
        <v>0</v>
      </c>
      <c r="AH176" s="135">
        <v>499</v>
      </c>
      <c r="AI176" s="135">
        <v>499</v>
      </c>
      <c r="AJ176" s="135" t="s">
        <v>1641</v>
      </c>
      <c r="AK176" s="135">
        <v>58</v>
      </c>
      <c r="AL176" s="135" t="s">
        <v>1214</v>
      </c>
    </row>
    <row r="177" spans="1:38" ht="11.25" customHeight="1">
      <c r="A177" s="250">
        <v>491</v>
      </c>
      <c r="B177" s="250" t="s">
        <v>1389</v>
      </c>
      <c r="C177" s="250" t="s">
        <v>1642</v>
      </c>
      <c r="D177" s="250">
        <v>29203</v>
      </c>
      <c r="E177" s="250" t="s">
        <v>505</v>
      </c>
      <c r="F177" s="250">
        <v>56</v>
      </c>
      <c r="G177" s="250" t="s">
        <v>1391</v>
      </c>
      <c r="H177" s="253">
        <f t="shared" si="0"/>
        <v>174</v>
      </c>
      <c r="I177" s="253" t="str">
        <f>IF('School Level Expenditures'!$B$2=A177,'School Tables'!H177,"")</f>
        <v/>
      </c>
      <c r="J177" s="253" t="str">
        <f t="shared" si="1"/>
        <v/>
      </c>
      <c r="K177" s="254" t="b">
        <f t="shared" si="2"/>
        <v>0</v>
      </c>
      <c r="AH177" s="135">
        <v>501</v>
      </c>
      <c r="AI177" s="135">
        <v>501</v>
      </c>
      <c r="AJ177" s="135" t="s">
        <v>1643</v>
      </c>
      <c r="AK177" s="135">
        <v>7</v>
      </c>
      <c r="AL177" s="135" t="s">
        <v>1105</v>
      </c>
    </row>
    <row r="178" spans="1:38" ht="11.25" customHeight="1">
      <c r="A178" s="250">
        <v>339</v>
      </c>
      <c r="B178" s="250" t="s">
        <v>1540</v>
      </c>
      <c r="C178" s="250" t="s">
        <v>1644</v>
      </c>
      <c r="D178" s="250">
        <v>21210</v>
      </c>
      <c r="E178" s="250" t="s">
        <v>505</v>
      </c>
      <c r="F178" s="250">
        <v>29</v>
      </c>
      <c r="G178" s="250" t="s">
        <v>1187</v>
      </c>
      <c r="H178" s="253">
        <f t="shared" si="0"/>
        <v>175</v>
      </c>
      <c r="I178" s="253" t="str">
        <f>IF('School Level Expenditures'!$B$2=A178,'School Tables'!H178,"")</f>
        <v/>
      </c>
      <c r="J178" s="253" t="str">
        <f t="shared" si="1"/>
        <v/>
      </c>
      <c r="K178" s="254" t="b">
        <f t="shared" si="2"/>
        <v>0</v>
      </c>
      <c r="AH178" s="135">
        <v>503</v>
      </c>
      <c r="AI178" s="135">
        <v>503</v>
      </c>
      <c r="AJ178" s="135" t="s">
        <v>1586</v>
      </c>
      <c r="AK178" s="135">
        <v>24</v>
      </c>
      <c r="AL178" s="135" t="s">
        <v>1254</v>
      </c>
    </row>
    <row r="179" spans="1:38" ht="11.25" customHeight="1">
      <c r="A179" s="250">
        <v>473</v>
      </c>
      <c r="B179" s="250" t="s">
        <v>1408</v>
      </c>
      <c r="C179" s="250" t="s">
        <v>1645</v>
      </c>
      <c r="D179" s="250">
        <v>22875</v>
      </c>
      <c r="E179" s="250" t="s">
        <v>505</v>
      </c>
      <c r="F179" s="250">
        <v>57</v>
      </c>
      <c r="G179" s="250" t="s">
        <v>1410</v>
      </c>
      <c r="H179" s="253">
        <f t="shared" si="0"/>
        <v>176</v>
      </c>
      <c r="I179" s="253" t="str">
        <f>IF('School Level Expenditures'!$B$2=A179,'School Tables'!H179,"")</f>
        <v/>
      </c>
      <c r="J179" s="253" t="str">
        <f t="shared" si="1"/>
        <v/>
      </c>
      <c r="K179" s="254" t="b">
        <f t="shared" si="2"/>
        <v>0</v>
      </c>
      <c r="AH179" s="135">
        <v>507</v>
      </c>
      <c r="AI179" s="135">
        <v>507</v>
      </c>
      <c r="AJ179" s="135" t="s">
        <v>1646</v>
      </c>
      <c r="AK179" s="135">
        <v>105</v>
      </c>
      <c r="AL179" s="135" t="s">
        <v>1647</v>
      </c>
    </row>
    <row r="180" spans="1:38" ht="11.25" customHeight="1">
      <c r="A180" s="250">
        <v>449</v>
      </c>
      <c r="B180" s="250" t="s">
        <v>1361</v>
      </c>
      <c r="C180" s="250" t="s">
        <v>1648</v>
      </c>
      <c r="D180" s="250">
        <v>22545</v>
      </c>
      <c r="E180" s="250" t="s">
        <v>505</v>
      </c>
      <c r="F180" s="250">
        <v>52</v>
      </c>
      <c r="G180" s="250" t="s">
        <v>1363</v>
      </c>
      <c r="H180" s="253">
        <f t="shared" si="0"/>
        <v>177</v>
      </c>
      <c r="I180" s="253" t="str">
        <f>IF('School Level Expenditures'!$B$2=A180,'School Tables'!H180,"")</f>
        <v/>
      </c>
      <c r="J180" s="253" t="str">
        <f t="shared" si="1"/>
        <v/>
      </c>
      <c r="K180" s="254" t="b">
        <f t="shared" si="2"/>
        <v>0</v>
      </c>
      <c r="AH180" s="135">
        <v>509</v>
      </c>
      <c r="AI180" s="135">
        <v>509</v>
      </c>
      <c r="AJ180" s="135" t="s">
        <v>1649</v>
      </c>
      <c r="AK180" s="135">
        <v>58</v>
      </c>
      <c r="AL180" s="135" t="s">
        <v>1214</v>
      </c>
    </row>
    <row r="181" spans="1:38" ht="11.25" customHeight="1">
      <c r="A181" s="250">
        <v>345</v>
      </c>
      <c r="B181" s="250" t="s">
        <v>1546</v>
      </c>
      <c r="C181" s="250" t="s">
        <v>772</v>
      </c>
      <c r="D181" s="250">
        <v>23040</v>
      </c>
      <c r="E181" s="250" t="s">
        <v>505</v>
      </c>
      <c r="F181" s="250">
        <v>89</v>
      </c>
      <c r="G181" s="250" t="s">
        <v>1547</v>
      </c>
      <c r="H181" s="253">
        <f t="shared" si="0"/>
        <v>178</v>
      </c>
      <c r="I181" s="253">
        <f>IF('School Level Expenditures'!$B$2=A181,'School Tables'!H181,"")</f>
        <v>178</v>
      </c>
      <c r="J181" s="253" t="str">
        <f t="shared" si="1"/>
        <v/>
      </c>
      <c r="K181" s="254" t="b">
        <f t="shared" si="2"/>
        <v>0</v>
      </c>
      <c r="AH181" s="257">
        <v>511</v>
      </c>
      <c r="AI181" s="257">
        <v>511</v>
      </c>
      <c r="AJ181" s="257" t="s">
        <v>1650</v>
      </c>
      <c r="AK181" s="257">
        <v>16</v>
      </c>
      <c r="AL181" s="257" t="s">
        <v>1096</v>
      </c>
    </row>
    <row r="182" spans="1:38" ht="11.25" customHeight="1">
      <c r="A182" s="250">
        <v>423</v>
      </c>
      <c r="B182" s="250" t="s">
        <v>1346</v>
      </c>
      <c r="C182" s="250" t="s">
        <v>1651</v>
      </c>
      <c r="D182" s="250">
        <v>22805</v>
      </c>
      <c r="E182" s="250" t="s">
        <v>505</v>
      </c>
      <c r="F182" s="250">
        <v>5</v>
      </c>
      <c r="G182" s="250" t="s">
        <v>1348</v>
      </c>
      <c r="H182" s="253">
        <f t="shared" si="0"/>
        <v>179</v>
      </c>
      <c r="I182" s="253" t="str">
        <f>IF('School Level Expenditures'!$B$2=A182,'School Tables'!H182,"")</f>
        <v/>
      </c>
      <c r="J182" s="253" t="str">
        <f t="shared" si="1"/>
        <v/>
      </c>
      <c r="K182" s="254" t="b">
        <f t="shared" si="2"/>
        <v>0</v>
      </c>
      <c r="AH182" s="258">
        <v>721</v>
      </c>
      <c r="AI182" s="258">
        <v>721</v>
      </c>
      <c r="AJ182" s="258" t="s">
        <v>1652</v>
      </c>
      <c r="AK182" s="258">
        <v>409</v>
      </c>
      <c r="AL182" s="258" t="s">
        <v>1652</v>
      </c>
    </row>
    <row r="183" spans="1:38" ht="11.25" customHeight="1">
      <c r="A183" s="250">
        <v>319</v>
      </c>
      <c r="B183" s="250" t="s">
        <v>1284</v>
      </c>
      <c r="C183" s="250" t="s">
        <v>1653</v>
      </c>
      <c r="D183" s="250">
        <v>20485</v>
      </c>
      <c r="E183" s="250" t="s">
        <v>505</v>
      </c>
      <c r="F183" s="250">
        <v>12</v>
      </c>
      <c r="G183" s="250" t="s">
        <v>1286</v>
      </c>
      <c r="H183" s="253">
        <f t="shared" si="0"/>
        <v>180</v>
      </c>
      <c r="I183" s="253" t="str">
        <f>IF('School Level Expenditures'!$B$2=A183,'School Tables'!H183,"")</f>
        <v/>
      </c>
      <c r="J183" s="253" t="str">
        <f t="shared" si="1"/>
        <v/>
      </c>
      <c r="K183" s="254" t="b">
        <f t="shared" si="2"/>
        <v>0</v>
      </c>
      <c r="AH183" s="257">
        <v>513</v>
      </c>
      <c r="AI183" s="257">
        <v>513</v>
      </c>
      <c r="AJ183" s="257" t="s">
        <v>1654</v>
      </c>
      <c r="AK183" s="257">
        <v>96</v>
      </c>
      <c r="AL183" s="257" t="s">
        <v>1655</v>
      </c>
    </row>
    <row r="184" spans="1:38" ht="11.25" customHeight="1">
      <c r="A184" s="250">
        <v>381</v>
      </c>
      <c r="B184" s="250" t="s">
        <v>1576</v>
      </c>
      <c r="C184" s="250" t="s">
        <v>1656</v>
      </c>
      <c r="D184" s="250">
        <v>22455</v>
      </c>
      <c r="E184" s="250" t="s">
        <v>505</v>
      </c>
      <c r="F184" s="250">
        <v>50</v>
      </c>
      <c r="G184" s="250" t="s">
        <v>1422</v>
      </c>
      <c r="H184" s="253">
        <f t="shared" si="0"/>
        <v>181</v>
      </c>
      <c r="I184" s="253" t="str">
        <f>IF('School Level Expenditures'!$B$2=A184,'School Tables'!H184,"")</f>
        <v/>
      </c>
      <c r="J184" s="253" t="str">
        <f t="shared" si="1"/>
        <v/>
      </c>
      <c r="K184" s="254" t="b">
        <f t="shared" si="2"/>
        <v>0</v>
      </c>
      <c r="AH184" s="257">
        <v>515</v>
      </c>
      <c r="AI184" s="257">
        <v>515</v>
      </c>
      <c r="AJ184" s="257" t="s">
        <v>1404</v>
      </c>
      <c r="AK184" s="257">
        <v>85</v>
      </c>
      <c r="AL184" s="257" t="s">
        <v>1406</v>
      </c>
    </row>
    <row r="185" spans="1:38" ht="11.25" customHeight="1">
      <c r="A185" s="250">
        <v>461</v>
      </c>
      <c r="B185" s="250" t="s">
        <v>1072</v>
      </c>
      <c r="C185" s="250" t="s">
        <v>1657</v>
      </c>
      <c r="D185" s="250">
        <v>22665</v>
      </c>
      <c r="E185" s="250" t="s">
        <v>505</v>
      </c>
      <c r="F185" s="250">
        <v>54</v>
      </c>
      <c r="G185" s="250" t="s">
        <v>1074</v>
      </c>
      <c r="H185" s="253">
        <f t="shared" si="0"/>
        <v>182</v>
      </c>
      <c r="I185" s="253" t="str">
        <f>IF('School Level Expenditures'!$B$2=A185,'School Tables'!H185,"")</f>
        <v/>
      </c>
      <c r="J185" s="253" t="str">
        <f t="shared" si="1"/>
        <v/>
      </c>
      <c r="K185" s="254" t="b">
        <f t="shared" si="2"/>
        <v>0</v>
      </c>
      <c r="AH185" s="257">
        <v>519</v>
      </c>
      <c r="AI185" s="257">
        <v>519</v>
      </c>
      <c r="AJ185" s="257" t="s">
        <v>1658</v>
      </c>
      <c r="AK185" s="257">
        <v>91</v>
      </c>
      <c r="AL185" s="257" t="s">
        <v>1659</v>
      </c>
    </row>
    <row r="186" spans="1:38" ht="11.25" customHeight="1">
      <c r="A186" s="250">
        <v>335</v>
      </c>
      <c r="B186" s="250" t="s">
        <v>1123</v>
      </c>
      <c r="C186" s="250" t="s">
        <v>1660</v>
      </c>
      <c r="D186" s="250">
        <v>21565</v>
      </c>
      <c r="E186" s="250" t="s">
        <v>505</v>
      </c>
      <c r="F186" s="250">
        <v>37</v>
      </c>
      <c r="G186" s="250" t="s">
        <v>1125</v>
      </c>
      <c r="H186" s="253">
        <f t="shared" si="0"/>
        <v>183</v>
      </c>
      <c r="I186" s="253" t="str">
        <f>IF('School Level Expenditures'!$B$2=A186,'School Tables'!H186,"")</f>
        <v/>
      </c>
      <c r="J186" s="253" t="str">
        <f t="shared" si="1"/>
        <v/>
      </c>
      <c r="K186" s="254" t="b">
        <f t="shared" si="2"/>
        <v>0</v>
      </c>
      <c r="AH186" s="258">
        <v>717</v>
      </c>
      <c r="AI186" s="258">
        <v>717</v>
      </c>
      <c r="AJ186" s="258" t="s">
        <v>1661</v>
      </c>
      <c r="AK186" s="258">
        <v>407</v>
      </c>
      <c r="AL186" s="258" t="s">
        <v>1661</v>
      </c>
    </row>
    <row r="187" spans="1:38" ht="11.25" customHeight="1">
      <c r="A187" s="250">
        <v>41</v>
      </c>
      <c r="B187" s="250" t="s">
        <v>1042</v>
      </c>
      <c r="C187" s="250" t="s">
        <v>1662</v>
      </c>
      <c r="D187" s="250">
        <v>21005</v>
      </c>
      <c r="E187" s="250" t="s">
        <v>505</v>
      </c>
      <c r="F187" s="250">
        <v>25</v>
      </c>
      <c r="G187" s="250" t="s">
        <v>1044</v>
      </c>
      <c r="H187" s="253">
        <f t="shared" si="0"/>
        <v>184</v>
      </c>
      <c r="I187" s="253" t="str">
        <f>IF('School Level Expenditures'!$B$2=A187,'School Tables'!H187,"")</f>
        <v/>
      </c>
      <c r="J187" s="253" t="str">
        <f t="shared" si="1"/>
        <v/>
      </c>
      <c r="K187" s="254" t="b">
        <f t="shared" si="2"/>
        <v>0</v>
      </c>
      <c r="AH187" s="257">
        <v>525</v>
      </c>
      <c r="AI187" s="257">
        <v>525</v>
      </c>
      <c r="AJ187" s="257" t="s">
        <v>1605</v>
      </c>
      <c r="AK187" s="257">
        <v>13</v>
      </c>
      <c r="AL187" s="257" t="s">
        <v>1359</v>
      </c>
    </row>
    <row r="188" spans="1:38" ht="11.25" customHeight="1">
      <c r="A188" s="250">
        <v>476</v>
      </c>
      <c r="B188" s="250" t="s">
        <v>1372</v>
      </c>
      <c r="C188" s="250" t="s">
        <v>1663</v>
      </c>
      <c r="D188" s="250">
        <v>20635</v>
      </c>
      <c r="E188" s="250" t="s">
        <v>505</v>
      </c>
      <c r="F188" s="250">
        <v>17</v>
      </c>
      <c r="G188" s="250" t="s">
        <v>1374</v>
      </c>
      <c r="H188" s="253">
        <f t="shared" si="0"/>
        <v>185</v>
      </c>
      <c r="I188" s="253" t="str">
        <f>IF('School Level Expenditures'!$B$2=A188,'School Tables'!H188,"")</f>
        <v/>
      </c>
      <c r="J188" s="253" t="str">
        <f t="shared" si="1"/>
        <v/>
      </c>
      <c r="K188" s="254" t="b">
        <f t="shared" si="2"/>
        <v>0</v>
      </c>
      <c r="AH188" s="258">
        <v>731</v>
      </c>
      <c r="AI188" s="258">
        <v>731</v>
      </c>
      <c r="AJ188" s="258" t="s">
        <v>1664</v>
      </c>
      <c r="AK188" s="258">
        <v>417</v>
      </c>
      <c r="AL188" s="258" t="s">
        <v>1664</v>
      </c>
    </row>
    <row r="189" spans="1:38" ht="11.25" customHeight="1">
      <c r="A189" s="250">
        <v>41</v>
      </c>
      <c r="B189" s="250" t="s">
        <v>1042</v>
      </c>
      <c r="C189" s="250" t="s">
        <v>1665</v>
      </c>
      <c r="D189" s="250">
        <v>20990</v>
      </c>
      <c r="E189" s="250" t="s">
        <v>505</v>
      </c>
      <c r="F189" s="250">
        <v>25</v>
      </c>
      <c r="G189" s="250" t="s">
        <v>1044</v>
      </c>
      <c r="H189" s="253">
        <f t="shared" si="0"/>
        <v>186</v>
      </c>
      <c r="I189" s="253" t="str">
        <f>IF('School Level Expenditures'!$B$2=A189,'School Tables'!H189,"")</f>
        <v/>
      </c>
      <c r="J189" s="253" t="str">
        <f t="shared" si="1"/>
        <v/>
      </c>
      <c r="K189" s="254" t="b">
        <f t="shared" si="2"/>
        <v>0</v>
      </c>
      <c r="AH189" s="258">
        <v>741</v>
      </c>
      <c r="AI189" s="258">
        <v>741</v>
      </c>
      <c r="AJ189" s="258" t="s">
        <v>1496</v>
      </c>
      <c r="AK189" s="258">
        <v>423</v>
      </c>
      <c r="AL189" s="258" t="s">
        <v>1496</v>
      </c>
    </row>
    <row r="190" spans="1:38" ht="11.25" customHeight="1">
      <c r="A190" s="250">
        <v>744</v>
      </c>
      <c r="B190" s="250" t="s">
        <v>1551</v>
      </c>
      <c r="C190" s="250" t="s">
        <v>1551</v>
      </c>
      <c r="D190" s="250">
        <v>29167</v>
      </c>
      <c r="E190" s="250" t="s">
        <v>505</v>
      </c>
      <c r="F190" s="250">
        <v>430</v>
      </c>
      <c r="G190" s="250" t="s">
        <v>1551</v>
      </c>
      <c r="H190" s="253">
        <f t="shared" si="0"/>
        <v>187</v>
      </c>
      <c r="I190" s="253" t="str">
        <f>IF('School Level Expenditures'!$B$2=A190,'School Tables'!H190,"")</f>
        <v/>
      </c>
      <c r="J190" s="253" t="str">
        <f t="shared" si="1"/>
        <v/>
      </c>
      <c r="K190" s="254" t="b">
        <f t="shared" si="2"/>
        <v>0</v>
      </c>
      <c r="AH190" s="257">
        <v>531</v>
      </c>
      <c r="AI190" s="257">
        <v>531</v>
      </c>
      <c r="AJ190" s="257" t="s">
        <v>1666</v>
      </c>
      <c r="AK190" s="257">
        <v>48</v>
      </c>
      <c r="AL190" s="257" t="s">
        <v>1158</v>
      </c>
    </row>
    <row r="191" spans="1:38" ht="11.25" customHeight="1">
      <c r="A191" s="250">
        <v>353</v>
      </c>
      <c r="B191" s="250" t="s">
        <v>1553</v>
      </c>
      <c r="C191" s="250" t="s">
        <v>1667</v>
      </c>
      <c r="D191" s="250">
        <v>29178</v>
      </c>
      <c r="E191" s="250" t="s">
        <v>505</v>
      </c>
      <c r="F191" s="250">
        <v>69</v>
      </c>
      <c r="G191" s="250" t="s">
        <v>1554</v>
      </c>
      <c r="H191" s="253">
        <f t="shared" si="0"/>
        <v>188</v>
      </c>
      <c r="I191" s="253" t="str">
        <f>IF('School Level Expenditures'!$B$2=A191,'School Tables'!H191,"")</f>
        <v/>
      </c>
      <c r="J191" s="253" t="str">
        <f t="shared" si="1"/>
        <v/>
      </c>
      <c r="K191" s="254" t="b">
        <f t="shared" si="2"/>
        <v>0</v>
      </c>
      <c r="AH191" s="257">
        <v>534</v>
      </c>
      <c r="AI191" s="257">
        <v>0</v>
      </c>
      <c r="AJ191" s="257" t="s">
        <v>1108</v>
      </c>
      <c r="AK191" s="257">
        <v>106</v>
      </c>
      <c r="AL191" s="257" t="s">
        <v>1110</v>
      </c>
    </row>
    <row r="192" spans="1:38" ht="11.25" customHeight="1">
      <c r="A192" s="250">
        <v>355</v>
      </c>
      <c r="B192" s="250" t="s">
        <v>1556</v>
      </c>
      <c r="C192" s="250" t="s">
        <v>1668</v>
      </c>
      <c r="D192" s="250">
        <v>20760</v>
      </c>
      <c r="E192" s="250" t="s">
        <v>505</v>
      </c>
      <c r="F192" s="250">
        <v>20</v>
      </c>
      <c r="G192" s="250" t="s">
        <v>1149</v>
      </c>
      <c r="H192" s="253">
        <f t="shared" si="0"/>
        <v>189</v>
      </c>
      <c r="I192" s="253" t="str">
        <f>IF('School Level Expenditures'!$B$2=A192,'School Tables'!H192,"")</f>
        <v/>
      </c>
      <c r="J192" s="253" t="str">
        <f t="shared" si="1"/>
        <v/>
      </c>
      <c r="K192" s="254" t="b">
        <f t="shared" si="2"/>
        <v>0</v>
      </c>
      <c r="AH192" s="257">
        <v>539</v>
      </c>
      <c r="AI192" s="257">
        <v>539</v>
      </c>
      <c r="AJ192" s="257" t="s">
        <v>1669</v>
      </c>
      <c r="AK192" s="257">
        <v>6</v>
      </c>
      <c r="AL192" s="257" t="s">
        <v>1091</v>
      </c>
    </row>
    <row r="193" spans="1:38" ht="11.25" customHeight="1">
      <c r="A193" s="250">
        <v>317</v>
      </c>
      <c r="B193" s="250" t="s">
        <v>1100</v>
      </c>
      <c r="C193" s="250" t="s">
        <v>1670</v>
      </c>
      <c r="D193" s="250">
        <v>21450</v>
      </c>
      <c r="E193" s="250" t="s">
        <v>505</v>
      </c>
      <c r="F193" s="250">
        <v>84</v>
      </c>
      <c r="G193" s="250" t="s">
        <v>1102</v>
      </c>
      <c r="H193" s="253">
        <f t="shared" si="0"/>
        <v>190</v>
      </c>
      <c r="I193" s="253" t="str">
        <f>IF('School Level Expenditures'!$B$2=A193,'School Tables'!H193,"")</f>
        <v/>
      </c>
      <c r="J193" s="253" t="str">
        <f t="shared" si="1"/>
        <v/>
      </c>
      <c r="K193" s="254" t="b">
        <f t="shared" si="2"/>
        <v>0</v>
      </c>
      <c r="AH193" s="258">
        <v>727</v>
      </c>
      <c r="AI193" s="258">
        <v>727</v>
      </c>
      <c r="AJ193" s="258" t="s">
        <v>1501</v>
      </c>
      <c r="AK193" s="258">
        <v>412</v>
      </c>
      <c r="AL193" s="258" t="s">
        <v>1501</v>
      </c>
    </row>
    <row r="194" spans="1:38" ht="11.25" customHeight="1">
      <c r="A194" s="250">
        <v>111</v>
      </c>
      <c r="B194" s="250" t="s">
        <v>1019</v>
      </c>
      <c r="C194" s="250" t="s">
        <v>1671</v>
      </c>
      <c r="D194" s="250">
        <v>20250</v>
      </c>
      <c r="E194" s="250" t="s">
        <v>505</v>
      </c>
      <c r="F194" s="250">
        <v>8</v>
      </c>
      <c r="G194" s="250" t="s">
        <v>1021</v>
      </c>
      <c r="H194" s="253">
        <f t="shared" si="0"/>
        <v>191</v>
      </c>
      <c r="I194" s="253" t="str">
        <f>IF('School Level Expenditures'!$B$2=A194,'School Tables'!H194,"")</f>
        <v/>
      </c>
      <c r="J194" s="253" t="str">
        <f t="shared" si="1"/>
        <v/>
      </c>
      <c r="K194" s="254" t="b">
        <f t="shared" si="2"/>
        <v>0</v>
      </c>
      <c r="AH194" s="257">
        <v>543</v>
      </c>
      <c r="AI194" s="257">
        <v>543</v>
      </c>
      <c r="AJ194" s="257" t="s">
        <v>1672</v>
      </c>
      <c r="AK194" s="257">
        <v>101</v>
      </c>
      <c r="AL194" s="257" t="s">
        <v>1673</v>
      </c>
    </row>
    <row r="195" spans="1:38" ht="11.25" customHeight="1">
      <c r="A195" s="250">
        <v>729</v>
      </c>
      <c r="B195" s="250" t="s">
        <v>1559</v>
      </c>
      <c r="C195" s="250" t="s">
        <v>1559</v>
      </c>
      <c r="D195" s="250">
        <v>29040</v>
      </c>
      <c r="E195" s="250" t="s">
        <v>505</v>
      </c>
      <c r="F195" s="250">
        <v>416</v>
      </c>
      <c r="G195" s="250" t="s">
        <v>1559</v>
      </c>
      <c r="H195" s="253">
        <f t="shared" si="0"/>
        <v>192</v>
      </c>
      <c r="I195" s="253" t="str">
        <f>IF('School Level Expenditures'!$B$2=A195,'School Tables'!H195,"")</f>
        <v/>
      </c>
      <c r="J195" s="253" t="str">
        <f t="shared" si="1"/>
        <v/>
      </c>
      <c r="K195" s="254" t="b">
        <f t="shared" si="2"/>
        <v>0</v>
      </c>
      <c r="AH195" s="257">
        <v>549</v>
      </c>
      <c r="AI195" s="257">
        <v>549</v>
      </c>
      <c r="AJ195" s="257" t="s">
        <v>1674</v>
      </c>
      <c r="AK195" s="257">
        <v>23</v>
      </c>
      <c r="AL195" s="257" t="s">
        <v>1107</v>
      </c>
    </row>
    <row r="196" spans="1:38" ht="11.25" customHeight="1">
      <c r="A196" s="250">
        <v>359</v>
      </c>
      <c r="B196" s="250" t="s">
        <v>1341</v>
      </c>
      <c r="C196" s="250" t="s">
        <v>1675</v>
      </c>
      <c r="D196" s="250">
        <v>22075</v>
      </c>
      <c r="E196" s="250" t="s">
        <v>505</v>
      </c>
      <c r="F196" s="250">
        <v>64</v>
      </c>
      <c r="G196" s="250" t="s">
        <v>1343</v>
      </c>
      <c r="H196" s="253">
        <f t="shared" si="0"/>
        <v>193</v>
      </c>
      <c r="I196" s="253" t="str">
        <f>IF('School Level Expenditures'!$B$2=A196,'School Tables'!H196,"")</f>
        <v/>
      </c>
      <c r="J196" s="253" t="str">
        <f t="shared" si="1"/>
        <v/>
      </c>
      <c r="K196" s="254" t="b">
        <f t="shared" si="2"/>
        <v>0</v>
      </c>
      <c r="AH196" s="257">
        <v>551</v>
      </c>
      <c r="AI196" s="257">
        <v>551</v>
      </c>
      <c r="AJ196" s="257" t="s">
        <v>1676</v>
      </c>
      <c r="AK196" s="257">
        <v>34</v>
      </c>
      <c r="AL196" s="257" t="s">
        <v>1191</v>
      </c>
    </row>
    <row r="197" spans="1:38" ht="11.25" customHeight="1">
      <c r="A197" s="250">
        <v>423</v>
      </c>
      <c r="B197" s="250" t="s">
        <v>1346</v>
      </c>
      <c r="C197" s="250" t="s">
        <v>1677</v>
      </c>
      <c r="D197" s="250">
        <v>26660</v>
      </c>
      <c r="E197" s="250" t="s">
        <v>505</v>
      </c>
      <c r="F197" s="250">
        <v>5</v>
      </c>
      <c r="G197" s="250" t="s">
        <v>1348</v>
      </c>
      <c r="H197" s="253">
        <f t="shared" si="0"/>
        <v>194</v>
      </c>
      <c r="I197" s="253" t="str">
        <f>IF('School Level Expenditures'!$B$2=A197,'School Tables'!H197,"")</f>
        <v/>
      </c>
      <c r="J197" s="253" t="str">
        <f t="shared" si="1"/>
        <v/>
      </c>
      <c r="K197" s="254" t="b">
        <f t="shared" si="2"/>
        <v>0</v>
      </c>
      <c r="AH197" s="257">
        <v>553</v>
      </c>
      <c r="AI197" s="257">
        <v>553</v>
      </c>
      <c r="AJ197" s="257" t="s">
        <v>1678</v>
      </c>
      <c r="AK197" s="257">
        <v>48</v>
      </c>
      <c r="AL197" s="257" t="s">
        <v>1158</v>
      </c>
    </row>
    <row r="198" spans="1:38" ht="11.25" customHeight="1">
      <c r="A198" s="250">
        <v>365</v>
      </c>
      <c r="B198" s="250" t="s">
        <v>1563</v>
      </c>
      <c r="C198" s="250" t="s">
        <v>1679</v>
      </c>
      <c r="D198" s="250">
        <v>20885</v>
      </c>
      <c r="E198" s="250" t="s">
        <v>505</v>
      </c>
      <c r="F198" s="250">
        <v>77</v>
      </c>
      <c r="G198" s="250" t="s">
        <v>1564</v>
      </c>
      <c r="H198" s="253">
        <f t="shared" si="0"/>
        <v>195</v>
      </c>
      <c r="I198" s="253" t="str">
        <f>IF('School Level Expenditures'!$B$2=A198,'School Tables'!H198,"")</f>
        <v/>
      </c>
      <c r="J198" s="253" t="str">
        <f t="shared" si="1"/>
        <v/>
      </c>
      <c r="K198" s="254" t="b">
        <f t="shared" si="2"/>
        <v>0</v>
      </c>
      <c r="AH198" s="257">
        <v>555</v>
      </c>
      <c r="AI198" s="257">
        <v>555</v>
      </c>
      <c r="AJ198" s="257" t="s">
        <v>1275</v>
      </c>
      <c r="AK198" s="257">
        <v>24</v>
      </c>
      <c r="AL198" s="257" t="s">
        <v>1254</v>
      </c>
    </row>
    <row r="199" spans="1:38" ht="11.25" customHeight="1">
      <c r="A199" s="250">
        <v>367</v>
      </c>
      <c r="B199" s="250" t="s">
        <v>1566</v>
      </c>
      <c r="C199" s="250" t="s">
        <v>1680</v>
      </c>
      <c r="D199" s="250">
        <v>21790</v>
      </c>
      <c r="E199" s="250" t="s">
        <v>505</v>
      </c>
      <c r="F199" s="250">
        <v>39</v>
      </c>
      <c r="G199" s="250" t="s">
        <v>1041</v>
      </c>
      <c r="H199" s="253">
        <f t="shared" si="0"/>
        <v>196</v>
      </c>
      <c r="I199" s="253" t="str">
        <f>IF('School Level Expenditures'!$B$2=A199,'School Tables'!H199,"")</f>
        <v/>
      </c>
      <c r="J199" s="253" t="str">
        <f t="shared" si="1"/>
        <v/>
      </c>
      <c r="K199" s="254" t="b">
        <f t="shared" si="2"/>
        <v>0</v>
      </c>
      <c r="AH199" s="257">
        <v>559</v>
      </c>
      <c r="AI199" s="257">
        <v>559</v>
      </c>
      <c r="AJ199" s="257" t="s">
        <v>1681</v>
      </c>
      <c r="AK199" s="257">
        <v>48</v>
      </c>
      <c r="AL199" s="257" t="s">
        <v>1158</v>
      </c>
    </row>
    <row r="200" spans="1:38" ht="11.25" customHeight="1">
      <c r="A200" s="250">
        <v>319</v>
      </c>
      <c r="B200" s="250" t="s">
        <v>1284</v>
      </c>
      <c r="C200" s="250" t="s">
        <v>1682</v>
      </c>
      <c r="D200" s="250">
        <v>27905</v>
      </c>
      <c r="E200" s="250" t="s">
        <v>505</v>
      </c>
      <c r="F200" s="250">
        <v>12</v>
      </c>
      <c r="G200" s="250" t="s">
        <v>1286</v>
      </c>
      <c r="H200" s="253">
        <f t="shared" si="0"/>
        <v>197</v>
      </c>
      <c r="I200" s="253" t="str">
        <f>IF('School Level Expenditures'!$B$2=A200,'School Tables'!H200,"")</f>
        <v/>
      </c>
      <c r="J200" s="253" t="str">
        <f t="shared" si="1"/>
        <v/>
      </c>
      <c r="K200" s="254" t="b">
        <f t="shared" si="2"/>
        <v>0</v>
      </c>
      <c r="AH200" s="257">
        <v>563</v>
      </c>
      <c r="AI200" s="257">
        <v>563</v>
      </c>
      <c r="AJ200" s="257" t="s">
        <v>1683</v>
      </c>
      <c r="AK200" s="257">
        <v>29</v>
      </c>
      <c r="AL200" s="257" t="s">
        <v>1187</v>
      </c>
    </row>
    <row r="201" spans="1:38" ht="11.25" customHeight="1">
      <c r="A201" s="250">
        <v>369</v>
      </c>
      <c r="B201" s="250" t="s">
        <v>1314</v>
      </c>
      <c r="C201" s="250" t="s">
        <v>1684</v>
      </c>
      <c r="D201" s="250">
        <v>22115</v>
      </c>
      <c r="E201" s="250" t="s">
        <v>505</v>
      </c>
      <c r="F201" s="250">
        <v>45</v>
      </c>
      <c r="G201" s="250" t="s">
        <v>1316</v>
      </c>
      <c r="H201" s="253">
        <f t="shared" si="0"/>
        <v>198</v>
      </c>
      <c r="I201" s="253" t="str">
        <f>IF('School Level Expenditures'!$B$2=A201,'School Tables'!H201,"")</f>
        <v/>
      </c>
      <c r="J201" s="253" t="str">
        <f t="shared" si="1"/>
        <v/>
      </c>
      <c r="K201" s="254" t="b">
        <f t="shared" si="2"/>
        <v>0</v>
      </c>
      <c r="AH201" s="257">
        <v>568</v>
      </c>
      <c r="AI201" s="257">
        <v>0</v>
      </c>
      <c r="AJ201" s="257" t="s">
        <v>1504</v>
      </c>
      <c r="AK201" s="257">
        <v>36</v>
      </c>
      <c r="AL201" s="257" t="s">
        <v>1506</v>
      </c>
    </row>
    <row r="202" spans="1:38" ht="11.25" customHeight="1">
      <c r="A202" s="250">
        <v>704</v>
      </c>
      <c r="B202" s="250" t="s">
        <v>1569</v>
      </c>
      <c r="C202" s="250" t="s">
        <v>1569</v>
      </c>
      <c r="D202" s="250">
        <v>29154</v>
      </c>
      <c r="E202" s="250" t="s">
        <v>505</v>
      </c>
      <c r="F202" s="250">
        <v>427</v>
      </c>
      <c r="G202" s="250" t="s">
        <v>1569</v>
      </c>
      <c r="H202" s="253">
        <f t="shared" si="0"/>
        <v>199</v>
      </c>
      <c r="I202" s="253" t="str">
        <f>IF('School Level Expenditures'!$B$2=A202,'School Tables'!H202,"")</f>
        <v/>
      </c>
      <c r="J202" s="253" t="str">
        <f t="shared" si="1"/>
        <v/>
      </c>
      <c r="K202" s="254" t="b">
        <f t="shared" si="2"/>
        <v>0</v>
      </c>
      <c r="AH202" s="257">
        <v>572</v>
      </c>
      <c r="AI202" s="257">
        <v>0</v>
      </c>
      <c r="AJ202" s="257" t="s">
        <v>1424</v>
      </c>
      <c r="AK202" s="257">
        <v>63</v>
      </c>
      <c r="AL202" s="257" t="s">
        <v>1426</v>
      </c>
    </row>
    <row r="203" spans="1:38" ht="11.25" customHeight="1">
      <c r="A203" s="250">
        <v>363</v>
      </c>
      <c r="B203" s="250" t="s">
        <v>1308</v>
      </c>
      <c r="C203" s="250" t="s">
        <v>1685</v>
      </c>
      <c r="D203" s="250">
        <v>21695</v>
      </c>
      <c r="E203" s="250" t="s">
        <v>505</v>
      </c>
      <c r="F203" s="250">
        <v>93</v>
      </c>
      <c r="G203" s="250" t="s">
        <v>1310</v>
      </c>
      <c r="H203" s="253">
        <f t="shared" si="0"/>
        <v>200</v>
      </c>
      <c r="I203" s="253" t="str">
        <f>IF('School Level Expenditures'!$B$2=A203,'School Tables'!H203,"")</f>
        <v/>
      </c>
      <c r="J203" s="253" t="str">
        <f t="shared" si="1"/>
        <v/>
      </c>
      <c r="K203" s="254" t="b">
        <f t="shared" si="2"/>
        <v>0</v>
      </c>
      <c r="AH203" s="257">
        <v>573</v>
      </c>
      <c r="AI203" s="257">
        <v>573</v>
      </c>
      <c r="AJ203" s="257" t="s">
        <v>1686</v>
      </c>
      <c r="AK203" s="257">
        <v>94</v>
      </c>
      <c r="AL203" s="257" t="s">
        <v>1687</v>
      </c>
    </row>
    <row r="204" spans="1:38" ht="11.25" customHeight="1">
      <c r="A204" s="250">
        <v>295</v>
      </c>
      <c r="B204" s="250" t="s">
        <v>1265</v>
      </c>
      <c r="C204" s="250" t="s">
        <v>1688</v>
      </c>
      <c r="D204" s="250">
        <v>21355</v>
      </c>
      <c r="E204" s="250" t="s">
        <v>505</v>
      </c>
      <c r="F204" s="250">
        <v>88</v>
      </c>
      <c r="G204" s="250" t="s">
        <v>1267</v>
      </c>
      <c r="H204" s="253">
        <f t="shared" si="0"/>
        <v>201</v>
      </c>
      <c r="I204" s="253" t="str">
        <f>IF('School Level Expenditures'!$B$2=A204,'School Tables'!H204,"")</f>
        <v/>
      </c>
      <c r="J204" s="253" t="str">
        <f t="shared" si="1"/>
        <v/>
      </c>
      <c r="K204" s="254" t="b">
        <f t="shared" si="2"/>
        <v>0</v>
      </c>
      <c r="AH204" s="257">
        <v>575</v>
      </c>
      <c r="AI204" s="257">
        <v>575</v>
      </c>
      <c r="AJ204" s="257" t="s">
        <v>1431</v>
      </c>
      <c r="AK204" s="257">
        <v>95</v>
      </c>
      <c r="AL204" s="257" t="s">
        <v>1433</v>
      </c>
    </row>
    <row r="205" spans="1:38" ht="11.25" customHeight="1">
      <c r="A205" s="250">
        <v>371</v>
      </c>
      <c r="B205" s="250" t="s">
        <v>1068</v>
      </c>
      <c r="C205" s="250" t="s">
        <v>1689</v>
      </c>
      <c r="D205" s="250">
        <v>21885</v>
      </c>
      <c r="E205" s="250" t="s">
        <v>505</v>
      </c>
      <c r="F205" s="250">
        <v>42</v>
      </c>
      <c r="G205" s="250" t="s">
        <v>1070</v>
      </c>
      <c r="H205" s="253">
        <f t="shared" si="0"/>
        <v>202</v>
      </c>
      <c r="I205" s="253" t="str">
        <f>IF('School Level Expenditures'!$B$2=A205,'School Tables'!H205,"")</f>
        <v/>
      </c>
      <c r="J205" s="253" t="str">
        <f t="shared" si="1"/>
        <v/>
      </c>
      <c r="K205" s="254" t="b">
        <f t="shared" si="2"/>
        <v>0</v>
      </c>
      <c r="AH205" s="258">
        <v>712</v>
      </c>
      <c r="AI205" s="258">
        <v>712</v>
      </c>
      <c r="AJ205" s="258" t="s">
        <v>1690</v>
      </c>
      <c r="AK205" s="258">
        <v>434</v>
      </c>
      <c r="AL205" s="258" t="s">
        <v>1690</v>
      </c>
    </row>
    <row r="206" spans="1:38" ht="11.25" customHeight="1">
      <c r="A206" s="250">
        <v>174</v>
      </c>
      <c r="B206" s="250" t="s">
        <v>1027</v>
      </c>
      <c r="C206" s="250" t="s">
        <v>1691</v>
      </c>
      <c r="D206" s="250">
        <v>22980</v>
      </c>
      <c r="E206" s="250" t="s">
        <v>505</v>
      </c>
      <c r="F206" s="250">
        <v>60</v>
      </c>
      <c r="G206" s="250" t="s">
        <v>1029</v>
      </c>
      <c r="H206" s="253">
        <f t="shared" si="0"/>
        <v>203</v>
      </c>
      <c r="I206" s="253" t="str">
        <f>IF('School Level Expenditures'!$B$2=A206,'School Tables'!H206,"")</f>
        <v/>
      </c>
      <c r="J206" s="253" t="str">
        <f t="shared" si="1"/>
        <v/>
      </c>
      <c r="K206" s="254" t="b">
        <f t="shared" si="2"/>
        <v>0</v>
      </c>
      <c r="AH206" s="257">
        <v>579</v>
      </c>
      <c r="AI206" s="257">
        <v>579</v>
      </c>
      <c r="AJ206" s="257" t="s">
        <v>1692</v>
      </c>
      <c r="AK206" s="257">
        <v>34</v>
      </c>
      <c r="AL206" s="257" t="s">
        <v>1191</v>
      </c>
    </row>
    <row r="207" spans="1:38" ht="11.25" customHeight="1">
      <c r="A207" s="250">
        <v>461</v>
      </c>
      <c r="B207" s="250" t="s">
        <v>1072</v>
      </c>
      <c r="C207" s="250" t="s">
        <v>1693</v>
      </c>
      <c r="D207" s="250">
        <v>22660</v>
      </c>
      <c r="E207" s="250" t="s">
        <v>505</v>
      </c>
      <c r="F207" s="250">
        <v>54</v>
      </c>
      <c r="G207" s="250" t="s">
        <v>1074</v>
      </c>
      <c r="H207" s="253">
        <f t="shared" si="0"/>
        <v>204</v>
      </c>
      <c r="I207" s="253" t="str">
        <f>IF('School Level Expenditures'!$B$2=A207,'School Tables'!H207,"")</f>
        <v/>
      </c>
      <c r="J207" s="253" t="str">
        <f t="shared" si="1"/>
        <v/>
      </c>
      <c r="K207" s="254" t="b">
        <f t="shared" si="2"/>
        <v>0</v>
      </c>
      <c r="AH207" s="257">
        <v>581</v>
      </c>
      <c r="AI207" s="257">
        <v>0</v>
      </c>
      <c r="AJ207" s="257" t="s">
        <v>1513</v>
      </c>
      <c r="AK207" s="257">
        <v>21</v>
      </c>
      <c r="AL207" s="257" t="s">
        <v>1447</v>
      </c>
    </row>
    <row r="208" spans="1:38" ht="11.25" customHeight="1">
      <c r="A208" s="250">
        <v>375</v>
      </c>
      <c r="B208" s="250" t="s">
        <v>1572</v>
      </c>
      <c r="C208" s="250" t="s">
        <v>1694</v>
      </c>
      <c r="D208" s="250">
        <v>21215</v>
      </c>
      <c r="E208" s="250" t="s">
        <v>505</v>
      </c>
      <c r="F208" s="250">
        <v>29</v>
      </c>
      <c r="G208" s="250" t="s">
        <v>1187</v>
      </c>
      <c r="H208" s="253">
        <f t="shared" si="0"/>
        <v>205</v>
      </c>
      <c r="I208" s="253" t="str">
        <f>IF('School Level Expenditures'!$B$2=A208,'School Tables'!H208,"")</f>
        <v/>
      </c>
      <c r="J208" s="253" t="str">
        <f t="shared" si="1"/>
        <v/>
      </c>
      <c r="K208" s="254" t="b">
        <f t="shared" si="2"/>
        <v>0</v>
      </c>
      <c r="AH208" s="257">
        <v>582</v>
      </c>
      <c r="AI208" s="257">
        <v>0</v>
      </c>
      <c r="AJ208" s="257" t="s">
        <v>1438</v>
      </c>
      <c r="AK208" s="257">
        <v>59</v>
      </c>
      <c r="AL208" s="257" t="s">
        <v>1440</v>
      </c>
    </row>
    <row r="209" spans="1:11" ht="11.25" customHeight="1">
      <c r="A209" s="250">
        <v>377</v>
      </c>
      <c r="B209" s="250" t="s">
        <v>1574</v>
      </c>
      <c r="C209" s="250" t="s">
        <v>1695</v>
      </c>
      <c r="D209" s="250">
        <v>20715</v>
      </c>
      <c r="E209" s="250" t="s">
        <v>505</v>
      </c>
      <c r="F209" s="250">
        <v>19</v>
      </c>
      <c r="G209" s="250" t="s">
        <v>1140</v>
      </c>
      <c r="H209" s="253">
        <f t="shared" si="0"/>
        <v>206</v>
      </c>
      <c r="I209" s="253" t="str">
        <f>IF('School Level Expenditures'!$B$2=A209,'School Tables'!H209,"")</f>
        <v/>
      </c>
      <c r="J209" s="253" t="str">
        <f t="shared" si="1"/>
        <v/>
      </c>
      <c r="K209" s="254" t="b">
        <f t="shared" si="2"/>
        <v>0</v>
      </c>
    </row>
    <row r="210" spans="1:11" ht="11.25" customHeight="1">
      <c r="A210" s="250">
        <v>208</v>
      </c>
      <c r="B210" s="250" t="s">
        <v>1240</v>
      </c>
      <c r="C210" s="250" t="s">
        <v>1696</v>
      </c>
      <c r="D210" s="250">
        <v>22400</v>
      </c>
      <c r="E210" s="250" t="s">
        <v>505</v>
      </c>
      <c r="F210" s="250">
        <v>49</v>
      </c>
      <c r="G210" s="250" t="s">
        <v>1242</v>
      </c>
      <c r="H210" s="253">
        <f t="shared" si="0"/>
        <v>207</v>
      </c>
      <c r="I210" s="253" t="str">
        <f>IF('School Level Expenditures'!$B$2=A210,'School Tables'!H210,"")</f>
        <v/>
      </c>
      <c r="J210" s="253" t="str">
        <f t="shared" si="1"/>
        <v/>
      </c>
      <c r="K210" s="254" t="b">
        <f t="shared" si="2"/>
        <v>0</v>
      </c>
    </row>
    <row r="211" spans="1:11" ht="11.25" customHeight="1">
      <c r="A211" s="250">
        <v>449</v>
      </c>
      <c r="B211" s="250" t="s">
        <v>1361</v>
      </c>
      <c r="C211" s="250" t="s">
        <v>1697</v>
      </c>
      <c r="D211" s="250">
        <v>22525</v>
      </c>
      <c r="E211" s="250" t="s">
        <v>505</v>
      </c>
      <c r="F211" s="250">
        <v>52</v>
      </c>
      <c r="G211" s="250" t="s">
        <v>1363</v>
      </c>
      <c r="H211" s="253">
        <f t="shared" si="0"/>
        <v>208</v>
      </c>
      <c r="I211" s="253" t="str">
        <f>IF('School Level Expenditures'!$B$2=A211,'School Tables'!H211,"")</f>
        <v/>
      </c>
      <c r="J211" s="253" t="str">
        <f t="shared" si="1"/>
        <v/>
      </c>
      <c r="K211" s="254" t="b">
        <f t="shared" si="2"/>
        <v>0</v>
      </c>
    </row>
    <row r="212" spans="1:11" ht="11.25" customHeight="1">
      <c r="A212" s="250">
        <v>388</v>
      </c>
      <c r="B212" s="250" t="s">
        <v>1220</v>
      </c>
      <c r="C212" s="250" t="s">
        <v>1698</v>
      </c>
      <c r="D212" s="250">
        <v>20105</v>
      </c>
      <c r="E212" s="250" t="s">
        <v>505</v>
      </c>
      <c r="F212" s="250">
        <v>4</v>
      </c>
      <c r="G212" s="250" t="s">
        <v>1222</v>
      </c>
      <c r="H212" s="253">
        <f t="shared" si="0"/>
        <v>209</v>
      </c>
      <c r="I212" s="253" t="str">
        <f>IF('School Level Expenditures'!$B$2=A212,'School Tables'!H212,"")</f>
        <v/>
      </c>
      <c r="J212" s="253" t="str">
        <f t="shared" si="1"/>
        <v/>
      </c>
      <c r="K212" s="254" t="b">
        <f t="shared" si="2"/>
        <v>0</v>
      </c>
    </row>
    <row r="213" spans="1:11" ht="11.25" customHeight="1">
      <c r="A213" s="250">
        <v>371</v>
      </c>
      <c r="B213" s="250" t="s">
        <v>1068</v>
      </c>
      <c r="C213" s="250" t="s">
        <v>1699</v>
      </c>
      <c r="D213" s="250">
        <v>21845</v>
      </c>
      <c r="E213" s="250" t="s">
        <v>505</v>
      </c>
      <c r="F213" s="250">
        <v>42</v>
      </c>
      <c r="G213" s="250" t="s">
        <v>1070</v>
      </c>
      <c r="H213" s="253">
        <f t="shared" si="0"/>
        <v>210</v>
      </c>
      <c r="I213" s="253" t="str">
        <f>IF('School Level Expenditures'!$B$2=A213,'School Tables'!H213,"")</f>
        <v/>
      </c>
      <c r="J213" s="253" t="str">
        <f t="shared" si="1"/>
        <v/>
      </c>
      <c r="K213" s="254" t="b">
        <f t="shared" si="2"/>
        <v>0</v>
      </c>
    </row>
    <row r="214" spans="1:11" ht="11.25" customHeight="1">
      <c r="A214" s="250">
        <v>387</v>
      </c>
      <c r="B214" s="250" t="s">
        <v>1578</v>
      </c>
      <c r="C214" s="250" t="s">
        <v>1700</v>
      </c>
      <c r="D214" s="250">
        <v>20610</v>
      </c>
      <c r="E214" s="250" t="s">
        <v>505</v>
      </c>
      <c r="F214" s="250">
        <v>16</v>
      </c>
      <c r="G214" s="250" t="s">
        <v>1096</v>
      </c>
      <c r="H214" s="253">
        <f t="shared" si="0"/>
        <v>211</v>
      </c>
      <c r="I214" s="253" t="str">
        <f>IF('School Level Expenditures'!$B$2=A214,'School Tables'!H214,"")</f>
        <v/>
      </c>
      <c r="J214" s="253" t="str">
        <f t="shared" si="1"/>
        <v/>
      </c>
      <c r="K214" s="254" t="b">
        <f t="shared" si="2"/>
        <v>0</v>
      </c>
    </row>
    <row r="215" spans="1:11" ht="11.25" customHeight="1">
      <c r="A215" s="250">
        <v>391</v>
      </c>
      <c r="B215" s="250" t="s">
        <v>1582</v>
      </c>
      <c r="C215" s="250" t="s">
        <v>1701</v>
      </c>
      <c r="D215" s="250">
        <v>22465</v>
      </c>
      <c r="E215" s="250" t="s">
        <v>505</v>
      </c>
      <c r="F215" s="250">
        <v>50</v>
      </c>
      <c r="G215" s="250" t="s">
        <v>1422</v>
      </c>
      <c r="H215" s="253">
        <f t="shared" si="0"/>
        <v>212</v>
      </c>
      <c r="I215" s="253" t="str">
        <f>IF('School Level Expenditures'!$B$2=A215,'School Tables'!H215,"")</f>
        <v/>
      </c>
      <c r="J215" s="253" t="str">
        <f t="shared" si="1"/>
        <v/>
      </c>
      <c r="K215" s="254" t="b">
        <f t="shared" si="2"/>
        <v>0</v>
      </c>
    </row>
    <row r="216" spans="1:11" ht="11.25" customHeight="1">
      <c r="A216" s="250">
        <v>399</v>
      </c>
      <c r="B216" s="250" t="s">
        <v>1400</v>
      </c>
      <c r="C216" s="250" t="s">
        <v>1702</v>
      </c>
      <c r="D216" s="250">
        <v>21300</v>
      </c>
      <c r="E216" s="250" t="s">
        <v>505</v>
      </c>
      <c r="F216" s="250">
        <v>31</v>
      </c>
      <c r="G216" s="250" t="s">
        <v>1402</v>
      </c>
      <c r="H216" s="253">
        <f t="shared" si="0"/>
        <v>213</v>
      </c>
      <c r="I216" s="253" t="str">
        <f>IF('School Level Expenditures'!$B$2=A216,'School Tables'!H216,"")</f>
        <v/>
      </c>
      <c r="J216" s="253" t="str">
        <f t="shared" si="1"/>
        <v/>
      </c>
      <c r="K216" s="254" t="b">
        <f t="shared" si="2"/>
        <v>0</v>
      </c>
    </row>
    <row r="217" spans="1:11" ht="11.25" customHeight="1">
      <c r="A217" s="250">
        <v>399</v>
      </c>
      <c r="B217" s="250" t="s">
        <v>1400</v>
      </c>
      <c r="C217" s="250" t="s">
        <v>1703</v>
      </c>
      <c r="D217" s="250">
        <v>26560</v>
      </c>
      <c r="E217" s="250" t="s">
        <v>505</v>
      </c>
      <c r="F217" s="250">
        <v>31</v>
      </c>
      <c r="G217" s="250" t="s">
        <v>1402</v>
      </c>
      <c r="H217" s="253">
        <f t="shared" si="0"/>
        <v>214</v>
      </c>
      <c r="I217" s="253" t="str">
        <f>IF('School Level Expenditures'!$B$2=A217,'School Tables'!H217,"")</f>
        <v/>
      </c>
      <c r="J217" s="253" t="str">
        <f t="shared" si="1"/>
        <v/>
      </c>
      <c r="K217" s="254" t="b">
        <f t="shared" si="2"/>
        <v>0</v>
      </c>
    </row>
    <row r="218" spans="1:11" ht="11.25" customHeight="1">
      <c r="A218" s="250">
        <v>405</v>
      </c>
      <c r="B218" s="250" t="s">
        <v>1589</v>
      </c>
      <c r="C218" s="250" t="s">
        <v>1704</v>
      </c>
      <c r="D218" s="250">
        <v>20805</v>
      </c>
      <c r="E218" s="250" t="s">
        <v>505</v>
      </c>
      <c r="F218" s="250">
        <v>21</v>
      </c>
      <c r="G218" s="250" t="s">
        <v>1447</v>
      </c>
      <c r="H218" s="253">
        <f t="shared" si="0"/>
        <v>215</v>
      </c>
      <c r="I218" s="253" t="str">
        <f>IF('School Level Expenditures'!$B$2=A218,'School Tables'!H218,"")</f>
        <v/>
      </c>
      <c r="J218" s="253" t="str">
        <f t="shared" si="1"/>
        <v/>
      </c>
      <c r="K218" s="254" t="b">
        <f t="shared" si="2"/>
        <v>0</v>
      </c>
    </row>
    <row r="219" spans="1:11" ht="11.25" customHeight="1">
      <c r="A219" s="250">
        <v>319</v>
      </c>
      <c r="B219" s="250" t="s">
        <v>1284</v>
      </c>
      <c r="C219" s="250" t="s">
        <v>1705</v>
      </c>
      <c r="D219" s="250">
        <v>20470</v>
      </c>
      <c r="E219" s="250" t="s">
        <v>505</v>
      </c>
      <c r="F219" s="250">
        <v>12</v>
      </c>
      <c r="G219" s="250" t="s">
        <v>1286</v>
      </c>
      <c r="H219" s="253">
        <f t="shared" si="0"/>
        <v>216</v>
      </c>
      <c r="I219" s="253" t="str">
        <f>IF('School Level Expenditures'!$B$2=A219,'School Tables'!H219,"")</f>
        <v/>
      </c>
      <c r="J219" s="253" t="str">
        <f t="shared" si="1"/>
        <v/>
      </c>
      <c r="K219" s="254" t="b">
        <f t="shared" si="2"/>
        <v>0</v>
      </c>
    </row>
    <row r="220" spans="1:11" ht="11.25" customHeight="1">
      <c r="A220" s="250">
        <v>473</v>
      </c>
      <c r="B220" s="250" t="s">
        <v>1408</v>
      </c>
      <c r="C220" s="250" t="s">
        <v>1706</v>
      </c>
      <c r="D220" s="250">
        <v>22890</v>
      </c>
      <c r="E220" s="250" t="s">
        <v>505</v>
      </c>
      <c r="F220" s="250">
        <v>57</v>
      </c>
      <c r="G220" s="250" t="s">
        <v>1410</v>
      </c>
      <c r="H220" s="253">
        <f t="shared" si="0"/>
        <v>217</v>
      </c>
      <c r="I220" s="253" t="str">
        <f>IF('School Level Expenditures'!$B$2=A220,'School Tables'!H220,"")</f>
        <v/>
      </c>
      <c r="J220" s="253" t="str">
        <f t="shared" si="1"/>
        <v/>
      </c>
      <c r="K220" s="254" t="b">
        <f t="shared" si="2"/>
        <v>0</v>
      </c>
    </row>
    <row r="221" spans="1:11" ht="11.25" customHeight="1">
      <c r="A221" s="250">
        <v>174</v>
      </c>
      <c r="B221" s="250" t="s">
        <v>1027</v>
      </c>
      <c r="C221" s="250" t="s">
        <v>1707</v>
      </c>
      <c r="D221" s="250">
        <v>23005</v>
      </c>
      <c r="E221" s="250" t="s">
        <v>505</v>
      </c>
      <c r="F221" s="250">
        <v>60</v>
      </c>
      <c r="G221" s="250" t="s">
        <v>1029</v>
      </c>
      <c r="H221" s="253">
        <f t="shared" si="0"/>
        <v>218</v>
      </c>
      <c r="I221" s="253" t="str">
        <f>IF('School Level Expenditures'!$B$2=A221,'School Tables'!H221,"")</f>
        <v/>
      </c>
      <c r="J221" s="253" t="str">
        <f t="shared" si="1"/>
        <v/>
      </c>
      <c r="K221" s="254" t="b">
        <f t="shared" si="2"/>
        <v>0</v>
      </c>
    </row>
    <row r="222" spans="1:11" ht="11.25" customHeight="1">
      <c r="A222" s="250">
        <v>716</v>
      </c>
      <c r="B222" s="250" t="s">
        <v>1591</v>
      </c>
      <c r="C222" s="250" t="s">
        <v>1591</v>
      </c>
      <c r="D222" s="250">
        <v>29231</v>
      </c>
      <c r="E222" s="250" t="s">
        <v>505</v>
      </c>
      <c r="F222" s="250">
        <v>441</v>
      </c>
      <c r="G222" s="250" t="s">
        <v>1591</v>
      </c>
      <c r="H222" s="253">
        <f t="shared" si="0"/>
        <v>219</v>
      </c>
      <c r="I222" s="253" t="str">
        <f>IF('School Level Expenditures'!$B$2=A222,'School Tables'!H222,"")</f>
        <v/>
      </c>
      <c r="J222" s="253" t="str">
        <f t="shared" si="1"/>
        <v/>
      </c>
      <c r="K222" s="254" t="b">
        <f t="shared" si="2"/>
        <v>0</v>
      </c>
    </row>
    <row r="223" spans="1:11" ht="11.25" customHeight="1">
      <c r="A223" s="250">
        <v>335</v>
      </c>
      <c r="B223" s="250" t="s">
        <v>1123</v>
      </c>
      <c r="C223" s="250" t="s">
        <v>1708</v>
      </c>
      <c r="D223" s="250">
        <v>26435</v>
      </c>
      <c r="E223" s="250" t="s">
        <v>505</v>
      </c>
      <c r="F223" s="250">
        <v>37</v>
      </c>
      <c r="G223" s="250" t="s">
        <v>1125</v>
      </c>
      <c r="H223" s="253">
        <f t="shared" si="0"/>
        <v>220</v>
      </c>
      <c r="I223" s="253" t="str">
        <f>IF('School Level Expenditures'!$B$2=A223,'School Tables'!H223,"")</f>
        <v/>
      </c>
      <c r="J223" s="253" t="str">
        <f t="shared" si="1"/>
        <v/>
      </c>
      <c r="K223" s="254" t="b">
        <f t="shared" si="2"/>
        <v>0</v>
      </c>
    </row>
    <row r="224" spans="1:11" ht="11.25" customHeight="1">
      <c r="A224" s="250">
        <v>411</v>
      </c>
      <c r="B224" s="250" t="s">
        <v>1594</v>
      </c>
      <c r="C224" s="250" t="s">
        <v>1709</v>
      </c>
      <c r="D224" s="250">
        <v>22085</v>
      </c>
      <c r="E224" s="250" t="s">
        <v>505</v>
      </c>
      <c r="F224" s="250">
        <v>44</v>
      </c>
      <c r="G224" s="250" t="s">
        <v>1595</v>
      </c>
      <c r="H224" s="253">
        <f t="shared" si="0"/>
        <v>221</v>
      </c>
      <c r="I224" s="253" t="str">
        <f>IF('School Level Expenditures'!$B$2=A224,'School Tables'!H224,"")</f>
        <v/>
      </c>
      <c r="J224" s="253" t="str">
        <f t="shared" si="1"/>
        <v/>
      </c>
      <c r="K224" s="254" t="b">
        <f t="shared" si="2"/>
        <v>0</v>
      </c>
    </row>
    <row r="225" spans="1:11" ht="11.25" customHeight="1">
      <c r="A225" s="250">
        <v>413</v>
      </c>
      <c r="B225" s="250" t="s">
        <v>1597</v>
      </c>
      <c r="C225" s="250" t="s">
        <v>1710</v>
      </c>
      <c r="D225" s="250">
        <v>22095</v>
      </c>
      <c r="E225" s="250" t="s">
        <v>505</v>
      </c>
      <c r="F225" s="250">
        <v>44</v>
      </c>
      <c r="G225" s="250" t="s">
        <v>1595</v>
      </c>
      <c r="H225" s="253">
        <f t="shared" si="0"/>
        <v>222</v>
      </c>
      <c r="I225" s="253" t="str">
        <f>IF('School Level Expenditures'!$B$2=A225,'School Tables'!H225,"")</f>
        <v/>
      </c>
      <c r="J225" s="253" t="str">
        <f t="shared" si="1"/>
        <v/>
      </c>
      <c r="K225" s="254" t="b">
        <f t="shared" si="2"/>
        <v>0</v>
      </c>
    </row>
    <row r="226" spans="1:11" ht="11.25" customHeight="1">
      <c r="A226" s="250">
        <v>267</v>
      </c>
      <c r="B226" s="250" t="s">
        <v>1031</v>
      </c>
      <c r="C226" s="250" t="s">
        <v>1711</v>
      </c>
      <c r="D226" s="250">
        <v>29232</v>
      </c>
      <c r="E226" s="250" t="s">
        <v>1321</v>
      </c>
      <c r="F226" s="250">
        <v>81</v>
      </c>
      <c r="G226" s="250" t="s">
        <v>1033</v>
      </c>
      <c r="H226" s="253">
        <f t="shared" si="0"/>
        <v>223</v>
      </c>
      <c r="I226" s="253" t="str">
        <f>IF('School Level Expenditures'!$B$2=A226,'School Tables'!H226,"")</f>
        <v/>
      </c>
      <c r="J226" s="253" t="str">
        <f t="shared" si="1"/>
        <v/>
      </c>
      <c r="K226" s="254" t="b">
        <f t="shared" si="2"/>
        <v>0</v>
      </c>
    </row>
    <row r="227" spans="1:11" ht="11.25" customHeight="1">
      <c r="A227" s="250">
        <v>267</v>
      </c>
      <c r="B227" s="250" t="s">
        <v>1031</v>
      </c>
      <c r="C227" s="250" t="s">
        <v>1712</v>
      </c>
      <c r="D227" s="250">
        <v>26765</v>
      </c>
      <c r="E227" s="250" t="s">
        <v>505</v>
      </c>
      <c r="F227" s="250">
        <v>81</v>
      </c>
      <c r="G227" s="250" t="s">
        <v>1033</v>
      </c>
      <c r="H227" s="253">
        <f t="shared" si="0"/>
        <v>224</v>
      </c>
      <c r="I227" s="253" t="str">
        <f>IF('School Level Expenditures'!$B$2=A227,'School Tables'!H227,"")</f>
        <v/>
      </c>
      <c r="J227" s="253" t="str">
        <f t="shared" si="1"/>
        <v/>
      </c>
      <c r="K227" s="254" t="b">
        <f t="shared" si="2"/>
        <v>0</v>
      </c>
    </row>
    <row r="228" spans="1:11" ht="11.25" customHeight="1">
      <c r="A228" s="250">
        <v>208</v>
      </c>
      <c r="B228" s="250" t="s">
        <v>1240</v>
      </c>
      <c r="C228" s="250" t="s">
        <v>1713</v>
      </c>
      <c r="D228" s="250">
        <v>22405</v>
      </c>
      <c r="E228" s="250" t="s">
        <v>505</v>
      </c>
      <c r="F228" s="250">
        <v>49</v>
      </c>
      <c r="G228" s="250" t="s">
        <v>1242</v>
      </c>
      <c r="H228" s="253">
        <f t="shared" si="0"/>
        <v>225</v>
      </c>
      <c r="I228" s="253" t="str">
        <f>IF('School Level Expenditures'!$B$2=A228,'School Tables'!H228,"")</f>
        <v/>
      </c>
      <c r="J228" s="253" t="str">
        <f t="shared" si="1"/>
        <v/>
      </c>
      <c r="K228" s="254" t="b">
        <f t="shared" si="2"/>
        <v>0</v>
      </c>
    </row>
    <row r="229" spans="1:11" ht="11.25" customHeight="1">
      <c r="A229" s="250">
        <v>423</v>
      </c>
      <c r="B229" s="250" t="s">
        <v>1346</v>
      </c>
      <c r="C229" s="250" t="s">
        <v>1714</v>
      </c>
      <c r="D229" s="250">
        <v>29210</v>
      </c>
      <c r="E229" s="250" t="s">
        <v>1321</v>
      </c>
      <c r="F229" s="250">
        <v>5</v>
      </c>
      <c r="G229" s="250" t="s">
        <v>1348</v>
      </c>
      <c r="H229" s="253">
        <f t="shared" si="0"/>
        <v>226</v>
      </c>
      <c r="I229" s="253" t="str">
        <f>IF('School Level Expenditures'!$B$2=A229,'School Tables'!H229,"")</f>
        <v/>
      </c>
      <c r="J229" s="253" t="str">
        <f t="shared" si="1"/>
        <v/>
      </c>
      <c r="K229" s="254" t="b">
        <f t="shared" si="2"/>
        <v>0</v>
      </c>
    </row>
    <row r="230" spans="1:11" ht="11.25" customHeight="1">
      <c r="A230" s="250">
        <v>335</v>
      </c>
      <c r="B230" s="250" t="s">
        <v>1123</v>
      </c>
      <c r="C230" s="250" t="s">
        <v>1715</v>
      </c>
      <c r="D230" s="250">
        <v>21540</v>
      </c>
      <c r="E230" s="250" t="s">
        <v>505</v>
      </c>
      <c r="F230" s="250">
        <v>37</v>
      </c>
      <c r="G230" s="250" t="s">
        <v>1125</v>
      </c>
      <c r="H230" s="253">
        <f t="shared" si="0"/>
        <v>227</v>
      </c>
      <c r="I230" s="253" t="str">
        <f>IF('School Level Expenditures'!$B$2=A230,'School Tables'!H230,"")</f>
        <v/>
      </c>
      <c r="J230" s="253" t="str">
        <f t="shared" si="1"/>
        <v/>
      </c>
      <c r="K230" s="254" t="b">
        <f t="shared" si="2"/>
        <v>0</v>
      </c>
    </row>
    <row r="231" spans="1:11" ht="11.25" customHeight="1">
      <c r="A231" s="250">
        <v>185</v>
      </c>
      <c r="B231" s="250" t="s">
        <v>1169</v>
      </c>
      <c r="C231" s="250" t="s">
        <v>1716</v>
      </c>
      <c r="D231" s="250">
        <v>20650</v>
      </c>
      <c r="E231" s="250" t="s">
        <v>505</v>
      </c>
      <c r="F231" s="250">
        <v>18</v>
      </c>
      <c r="G231" s="250" t="s">
        <v>1171</v>
      </c>
      <c r="H231" s="253">
        <f t="shared" si="0"/>
        <v>228</v>
      </c>
      <c r="I231" s="253" t="str">
        <f>IF('School Level Expenditures'!$B$2=A231,'School Tables'!H231,"")</f>
        <v/>
      </c>
      <c r="J231" s="253" t="str">
        <f t="shared" si="1"/>
        <v/>
      </c>
      <c r="K231" s="254" t="b">
        <f t="shared" si="2"/>
        <v>0</v>
      </c>
    </row>
    <row r="232" spans="1:11" ht="11.25" customHeight="1">
      <c r="A232" s="250">
        <v>543</v>
      </c>
      <c r="B232" s="250" t="s">
        <v>1672</v>
      </c>
      <c r="C232" s="250" t="s">
        <v>1717</v>
      </c>
      <c r="D232" s="250">
        <v>22110</v>
      </c>
      <c r="E232" s="250" t="s">
        <v>505</v>
      </c>
      <c r="F232" s="250">
        <v>101</v>
      </c>
      <c r="G232" s="250" t="s">
        <v>1673</v>
      </c>
      <c r="H232" s="253">
        <f t="shared" si="0"/>
        <v>229</v>
      </c>
      <c r="I232" s="253" t="str">
        <f>IF('School Level Expenditures'!$B$2=A232,'School Tables'!H232,"")</f>
        <v/>
      </c>
      <c r="J232" s="253" t="str">
        <f t="shared" si="1"/>
        <v/>
      </c>
      <c r="K232" s="254" t="b">
        <f t="shared" si="2"/>
        <v>0</v>
      </c>
    </row>
    <row r="233" spans="1:11" ht="11.25" customHeight="1">
      <c r="A233" s="250">
        <v>449</v>
      </c>
      <c r="B233" s="250" t="s">
        <v>1361</v>
      </c>
      <c r="C233" s="250" t="s">
        <v>1718</v>
      </c>
      <c r="D233" s="250">
        <v>22560</v>
      </c>
      <c r="E233" s="250" t="s">
        <v>1321</v>
      </c>
      <c r="F233" s="250">
        <v>52</v>
      </c>
      <c r="G233" s="250" t="s">
        <v>1363</v>
      </c>
      <c r="H233" s="253">
        <f t="shared" si="0"/>
        <v>230</v>
      </c>
      <c r="I233" s="253" t="str">
        <f>IF('School Level Expenditures'!$B$2=A233,'School Tables'!H233,"")</f>
        <v/>
      </c>
      <c r="J233" s="253" t="str">
        <f t="shared" si="1"/>
        <v/>
      </c>
      <c r="K233" s="254" t="b">
        <f t="shared" si="2"/>
        <v>0</v>
      </c>
    </row>
    <row r="234" spans="1:11" ht="11.25" customHeight="1">
      <c r="A234" s="250">
        <v>425</v>
      </c>
      <c r="B234" s="250" t="s">
        <v>1434</v>
      </c>
      <c r="C234" s="250" t="s">
        <v>1719</v>
      </c>
      <c r="D234" s="250">
        <v>27970</v>
      </c>
      <c r="E234" s="250" t="s">
        <v>505</v>
      </c>
      <c r="F234" s="250">
        <v>28</v>
      </c>
      <c r="G234" s="250" t="s">
        <v>1436</v>
      </c>
      <c r="H234" s="253">
        <f t="shared" si="0"/>
        <v>231</v>
      </c>
      <c r="I234" s="253" t="str">
        <f>IF('School Level Expenditures'!$B$2=A234,'School Tables'!H234,"")</f>
        <v/>
      </c>
      <c r="J234" s="253" t="str">
        <f t="shared" si="1"/>
        <v/>
      </c>
      <c r="K234" s="254" t="b">
        <f t="shared" si="2"/>
        <v>0</v>
      </c>
    </row>
    <row r="235" spans="1:11" ht="11.25" customHeight="1">
      <c r="A235" s="250">
        <v>425</v>
      </c>
      <c r="B235" s="250" t="s">
        <v>1434</v>
      </c>
      <c r="C235" s="250" t="s">
        <v>1720</v>
      </c>
      <c r="D235" s="250">
        <v>21110</v>
      </c>
      <c r="E235" s="250" t="s">
        <v>505</v>
      </c>
      <c r="F235" s="250">
        <v>28</v>
      </c>
      <c r="G235" s="250" t="s">
        <v>1436</v>
      </c>
      <c r="H235" s="253">
        <f t="shared" si="0"/>
        <v>232</v>
      </c>
      <c r="I235" s="253" t="str">
        <f>IF('School Level Expenditures'!$B$2=A235,'School Tables'!H235,"")</f>
        <v/>
      </c>
      <c r="J235" s="253" t="str">
        <f t="shared" si="1"/>
        <v/>
      </c>
      <c r="K235" s="254" t="b">
        <f t="shared" si="2"/>
        <v>0</v>
      </c>
    </row>
    <row r="236" spans="1:11" ht="11.25" customHeight="1">
      <c r="A236" s="250">
        <v>427</v>
      </c>
      <c r="B236" s="250" t="s">
        <v>1441</v>
      </c>
      <c r="C236" s="250" t="s">
        <v>1721</v>
      </c>
      <c r="D236" s="250">
        <v>22615</v>
      </c>
      <c r="E236" s="250" t="s">
        <v>505</v>
      </c>
      <c r="F236" s="250">
        <v>53</v>
      </c>
      <c r="G236" s="250" t="s">
        <v>1035</v>
      </c>
      <c r="H236" s="253">
        <f t="shared" si="0"/>
        <v>233</v>
      </c>
      <c r="I236" s="253" t="str">
        <f>IF('School Level Expenditures'!$B$2=A236,'School Tables'!H236,"")</f>
        <v/>
      </c>
      <c r="J236" s="253" t="str">
        <f t="shared" si="1"/>
        <v/>
      </c>
      <c r="K236" s="254" t="b">
        <f t="shared" si="2"/>
        <v>0</v>
      </c>
    </row>
    <row r="237" spans="1:11" ht="11.25" customHeight="1">
      <c r="A237" s="250">
        <v>352</v>
      </c>
      <c r="B237" s="250" t="s">
        <v>1207</v>
      </c>
      <c r="C237" s="250" t="s">
        <v>1722</v>
      </c>
      <c r="D237" s="250">
        <v>22185</v>
      </c>
      <c r="E237" s="250" t="s">
        <v>505</v>
      </c>
      <c r="F237" s="250">
        <v>46</v>
      </c>
      <c r="G237" s="250" t="s">
        <v>1060</v>
      </c>
      <c r="H237" s="253">
        <f t="shared" si="0"/>
        <v>234</v>
      </c>
      <c r="I237" s="253" t="str">
        <f>IF('School Level Expenditures'!$B$2=A237,'School Tables'!H237,"")</f>
        <v/>
      </c>
      <c r="J237" s="253" t="str">
        <f t="shared" si="1"/>
        <v/>
      </c>
      <c r="K237" s="254" t="b">
        <f t="shared" si="2"/>
        <v>0</v>
      </c>
    </row>
    <row r="238" spans="1:11" ht="11.25" customHeight="1">
      <c r="A238" s="250">
        <v>41</v>
      </c>
      <c r="B238" s="250" t="s">
        <v>1042</v>
      </c>
      <c r="C238" s="250" t="s">
        <v>1723</v>
      </c>
      <c r="D238" s="250">
        <v>21000</v>
      </c>
      <c r="E238" s="250" t="s">
        <v>505</v>
      </c>
      <c r="F238" s="250">
        <v>25</v>
      </c>
      <c r="G238" s="250" t="s">
        <v>1044</v>
      </c>
      <c r="H238" s="253">
        <f t="shared" si="0"/>
        <v>235</v>
      </c>
      <c r="I238" s="253" t="str">
        <f>IF('School Level Expenditures'!$B$2=A238,'School Tables'!H238,"")</f>
        <v/>
      </c>
      <c r="J238" s="253" t="str">
        <f t="shared" si="1"/>
        <v/>
      </c>
      <c r="K238" s="254" t="b">
        <f t="shared" si="2"/>
        <v>0</v>
      </c>
    </row>
    <row r="239" spans="1:11" ht="11.25" customHeight="1">
      <c r="A239" s="250">
        <v>112</v>
      </c>
      <c r="B239" s="250" t="s">
        <v>1086</v>
      </c>
      <c r="C239" s="250" t="s">
        <v>1724</v>
      </c>
      <c r="D239" s="250">
        <v>22310</v>
      </c>
      <c r="E239" s="250" t="s">
        <v>505</v>
      </c>
      <c r="F239" s="250">
        <v>1</v>
      </c>
      <c r="G239" s="250" t="s">
        <v>1088</v>
      </c>
      <c r="H239" s="253">
        <f t="shared" si="0"/>
        <v>236</v>
      </c>
      <c r="I239" s="253" t="str">
        <f>IF('School Level Expenditures'!$B$2=A239,'School Tables'!H239,"")</f>
        <v/>
      </c>
      <c r="J239" s="253" t="str">
        <f t="shared" si="1"/>
        <v/>
      </c>
      <c r="K239" s="254" t="b">
        <f t="shared" si="2"/>
        <v>0</v>
      </c>
    </row>
    <row r="240" spans="1:11" ht="11.25" customHeight="1">
      <c r="A240" s="250">
        <v>112</v>
      </c>
      <c r="B240" s="250" t="s">
        <v>1086</v>
      </c>
      <c r="C240" s="250" t="s">
        <v>1725</v>
      </c>
      <c r="D240" s="250">
        <v>22225</v>
      </c>
      <c r="E240" s="250" t="s">
        <v>505</v>
      </c>
      <c r="F240" s="250">
        <v>1</v>
      </c>
      <c r="G240" s="250" t="s">
        <v>1088</v>
      </c>
      <c r="H240" s="253">
        <f t="shared" si="0"/>
        <v>237</v>
      </c>
      <c r="I240" s="253" t="str">
        <f>IF('School Level Expenditures'!$B$2=A240,'School Tables'!H240,"")</f>
        <v/>
      </c>
      <c r="J240" s="253" t="str">
        <f t="shared" si="1"/>
        <v/>
      </c>
      <c r="K240" s="254" t="b">
        <f t="shared" si="2"/>
        <v>0</v>
      </c>
    </row>
    <row r="241" spans="1:11" ht="11.25" customHeight="1">
      <c r="A241" s="250">
        <v>435</v>
      </c>
      <c r="B241" s="250" t="s">
        <v>1603</v>
      </c>
      <c r="C241" s="250" t="s">
        <v>1726</v>
      </c>
      <c r="D241" s="250">
        <v>20895</v>
      </c>
      <c r="E241" s="250" t="s">
        <v>505</v>
      </c>
      <c r="F241" s="250">
        <v>23</v>
      </c>
      <c r="G241" s="250" t="s">
        <v>1107</v>
      </c>
      <c r="H241" s="253">
        <f t="shared" si="0"/>
        <v>238</v>
      </c>
      <c r="I241" s="253" t="str">
        <f>IF('School Level Expenditures'!$B$2=A241,'School Tables'!H241,"")</f>
        <v/>
      </c>
      <c r="J241" s="253" t="str">
        <f t="shared" si="1"/>
        <v/>
      </c>
      <c r="K241" s="254" t="b">
        <f t="shared" si="2"/>
        <v>0</v>
      </c>
    </row>
    <row r="242" spans="1:11" ht="11.25" customHeight="1">
      <c r="A242" s="250">
        <v>113</v>
      </c>
      <c r="B242" s="250" t="s">
        <v>1022</v>
      </c>
      <c r="C242" s="250" t="s">
        <v>1727</v>
      </c>
      <c r="D242" s="250">
        <v>20330</v>
      </c>
      <c r="E242" s="250" t="s">
        <v>505</v>
      </c>
      <c r="F242" s="250">
        <v>9</v>
      </c>
      <c r="G242" s="250" t="s">
        <v>1024</v>
      </c>
      <c r="H242" s="253">
        <f t="shared" si="0"/>
        <v>239</v>
      </c>
      <c r="I242" s="253" t="str">
        <f>IF('School Level Expenditures'!$B$2=A242,'School Tables'!H242,"")</f>
        <v/>
      </c>
      <c r="J242" s="253" t="str">
        <f t="shared" si="1"/>
        <v/>
      </c>
      <c r="K242" s="254" t="b">
        <f t="shared" si="2"/>
        <v>0</v>
      </c>
    </row>
    <row r="243" spans="1:11" ht="11.25" customHeight="1">
      <c r="A243" s="250">
        <v>437</v>
      </c>
      <c r="B243" s="250" t="s">
        <v>1449</v>
      </c>
      <c r="C243" s="250" t="s">
        <v>1728</v>
      </c>
      <c r="D243" s="250">
        <v>20205</v>
      </c>
      <c r="E243" s="250" t="s">
        <v>505</v>
      </c>
      <c r="F243" s="250">
        <v>7</v>
      </c>
      <c r="G243" s="250" t="s">
        <v>1105</v>
      </c>
      <c r="H243" s="253">
        <f t="shared" si="0"/>
        <v>240</v>
      </c>
      <c r="I243" s="253" t="str">
        <f>IF('School Level Expenditures'!$B$2=A243,'School Tables'!H243,"")</f>
        <v/>
      </c>
      <c r="J243" s="253" t="str">
        <f t="shared" si="1"/>
        <v/>
      </c>
      <c r="K243" s="254" t="b">
        <f t="shared" si="2"/>
        <v>0</v>
      </c>
    </row>
    <row r="244" spans="1:11" ht="11.25" customHeight="1">
      <c r="A244" s="250">
        <v>439</v>
      </c>
      <c r="B244" s="250" t="s">
        <v>1354</v>
      </c>
      <c r="C244" s="250" t="s">
        <v>1729</v>
      </c>
      <c r="D244" s="250">
        <v>26595</v>
      </c>
      <c r="E244" s="250" t="s">
        <v>505</v>
      </c>
      <c r="F244" s="250">
        <v>51</v>
      </c>
      <c r="G244" s="250" t="s">
        <v>1356</v>
      </c>
      <c r="H244" s="253">
        <f t="shared" si="0"/>
        <v>241</v>
      </c>
      <c r="I244" s="253" t="str">
        <f>IF('School Level Expenditures'!$B$2=A244,'School Tables'!H244,"")</f>
        <v/>
      </c>
      <c r="J244" s="253" t="str">
        <f t="shared" si="1"/>
        <v/>
      </c>
      <c r="K244" s="254" t="b">
        <f t="shared" si="2"/>
        <v>0</v>
      </c>
    </row>
    <row r="245" spans="1:11" ht="11.25" customHeight="1">
      <c r="A245" s="250">
        <v>441</v>
      </c>
      <c r="B245" s="250" t="s">
        <v>1608</v>
      </c>
      <c r="C245" s="250" t="s">
        <v>1730</v>
      </c>
      <c r="D245" s="250">
        <v>21375</v>
      </c>
      <c r="E245" s="250" t="s">
        <v>505</v>
      </c>
      <c r="F245" s="250">
        <v>32</v>
      </c>
      <c r="G245" s="250" t="s">
        <v>1609</v>
      </c>
      <c r="H245" s="253">
        <f t="shared" si="0"/>
        <v>242</v>
      </c>
      <c r="I245" s="253" t="str">
        <f>IF('School Level Expenditures'!$B$2=A245,'School Tables'!H245,"")</f>
        <v/>
      </c>
      <c r="J245" s="253" t="str">
        <f t="shared" si="1"/>
        <v/>
      </c>
      <c r="K245" s="254" t="b">
        <f t="shared" si="2"/>
        <v>0</v>
      </c>
    </row>
    <row r="246" spans="1:11" ht="11.25" customHeight="1">
      <c r="A246" s="250">
        <v>285</v>
      </c>
      <c r="B246" s="250" t="s">
        <v>1258</v>
      </c>
      <c r="C246" s="250" t="s">
        <v>1731</v>
      </c>
      <c r="D246" s="250">
        <v>21260</v>
      </c>
      <c r="E246" s="250" t="s">
        <v>505</v>
      </c>
      <c r="F246" s="250">
        <v>30</v>
      </c>
      <c r="G246" s="250" t="s">
        <v>1260</v>
      </c>
      <c r="H246" s="253">
        <f t="shared" si="0"/>
        <v>243</v>
      </c>
      <c r="I246" s="253" t="str">
        <f>IF('School Level Expenditures'!$B$2=A246,'School Tables'!H246,"")</f>
        <v/>
      </c>
      <c r="J246" s="253" t="str">
        <f t="shared" si="1"/>
        <v/>
      </c>
      <c r="K246" s="254" t="b">
        <f t="shared" si="2"/>
        <v>0</v>
      </c>
    </row>
    <row r="247" spans="1:11" ht="11.25" customHeight="1">
      <c r="A247" s="250">
        <v>447</v>
      </c>
      <c r="B247" s="250" t="s">
        <v>1611</v>
      </c>
      <c r="C247" s="250" t="s">
        <v>1732</v>
      </c>
      <c r="D247" s="250">
        <v>22355</v>
      </c>
      <c r="E247" s="250" t="s">
        <v>505</v>
      </c>
      <c r="F247" s="250">
        <v>48</v>
      </c>
      <c r="G247" s="250" t="s">
        <v>1158</v>
      </c>
      <c r="H247" s="253">
        <f t="shared" si="0"/>
        <v>244</v>
      </c>
      <c r="I247" s="253" t="str">
        <f>IF('School Level Expenditures'!$B$2=A247,'School Tables'!H247,"")</f>
        <v/>
      </c>
      <c r="J247" s="253" t="str">
        <f t="shared" si="1"/>
        <v/>
      </c>
      <c r="K247" s="254" t="b">
        <f t="shared" si="2"/>
        <v>0</v>
      </c>
    </row>
    <row r="248" spans="1:11" ht="11.25" customHeight="1">
      <c r="A248" s="250">
        <v>735</v>
      </c>
      <c r="B248" s="250" t="s">
        <v>1613</v>
      </c>
      <c r="C248" s="250" t="s">
        <v>1613</v>
      </c>
      <c r="D248" s="250">
        <v>29065</v>
      </c>
      <c r="E248" s="250" t="s">
        <v>505</v>
      </c>
      <c r="F248" s="250">
        <v>419</v>
      </c>
      <c r="G248" s="250" t="s">
        <v>1613</v>
      </c>
      <c r="H248" s="253">
        <f t="shared" si="0"/>
        <v>245</v>
      </c>
      <c r="I248" s="253" t="str">
        <f>IF('School Level Expenditures'!$B$2=A248,'School Tables'!H248,"")</f>
        <v/>
      </c>
      <c r="J248" s="253" t="str">
        <f t="shared" si="1"/>
        <v/>
      </c>
      <c r="K248" s="254" t="b">
        <f t="shared" si="2"/>
        <v>0</v>
      </c>
    </row>
    <row r="249" spans="1:11" ht="11.25" customHeight="1">
      <c r="A249" s="250">
        <v>534</v>
      </c>
      <c r="B249" s="250" t="s">
        <v>1108</v>
      </c>
      <c r="C249" s="250" t="s">
        <v>1733</v>
      </c>
      <c r="D249" s="250">
        <v>22765</v>
      </c>
      <c r="E249" s="250" t="s">
        <v>505</v>
      </c>
      <c r="F249" s="250">
        <v>106</v>
      </c>
      <c r="G249" s="250" t="s">
        <v>1110</v>
      </c>
      <c r="H249" s="253">
        <f t="shared" si="0"/>
        <v>246</v>
      </c>
      <c r="I249" s="253" t="str">
        <f>IF('School Level Expenditures'!$B$2=A249,'School Tables'!H249,"")</f>
        <v/>
      </c>
      <c r="J249" s="253" t="str">
        <f t="shared" si="1"/>
        <v/>
      </c>
      <c r="K249" s="254" t="b">
        <f t="shared" si="2"/>
        <v>0</v>
      </c>
    </row>
    <row r="250" spans="1:11" ht="11.25" customHeight="1">
      <c r="A250" s="250">
        <v>371</v>
      </c>
      <c r="B250" s="250" t="s">
        <v>1068</v>
      </c>
      <c r="C250" s="250" t="s">
        <v>1734</v>
      </c>
      <c r="D250" s="250">
        <v>28610</v>
      </c>
      <c r="E250" s="250" t="s">
        <v>1321</v>
      </c>
      <c r="F250" s="250">
        <v>42</v>
      </c>
      <c r="G250" s="250" t="s">
        <v>1070</v>
      </c>
      <c r="H250" s="253">
        <f t="shared" si="0"/>
        <v>247</v>
      </c>
      <c r="I250" s="253" t="str">
        <f>IF('School Level Expenditures'!$B$2=A250,'School Tables'!H250,"")</f>
        <v/>
      </c>
      <c r="J250" s="253" t="str">
        <f t="shared" si="1"/>
        <v/>
      </c>
      <c r="K250" s="254" t="b">
        <f t="shared" si="2"/>
        <v>0</v>
      </c>
    </row>
    <row r="251" spans="1:11" ht="11.25" customHeight="1">
      <c r="A251" s="250">
        <v>351</v>
      </c>
      <c r="B251" s="250" t="s">
        <v>1289</v>
      </c>
      <c r="C251" s="250" t="s">
        <v>1735</v>
      </c>
      <c r="D251" s="250">
        <v>21015</v>
      </c>
      <c r="E251" s="250" t="s">
        <v>505</v>
      </c>
      <c r="F251" s="250">
        <v>26</v>
      </c>
      <c r="G251" s="250" t="s">
        <v>1291</v>
      </c>
      <c r="H251" s="253">
        <f t="shared" si="0"/>
        <v>248</v>
      </c>
      <c r="I251" s="253" t="str">
        <f>IF('School Level Expenditures'!$B$2=A251,'School Tables'!H251,"")</f>
        <v/>
      </c>
      <c r="J251" s="253" t="str">
        <f t="shared" si="1"/>
        <v/>
      </c>
      <c r="K251" s="254" t="b">
        <f t="shared" si="2"/>
        <v>0</v>
      </c>
    </row>
    <row r="252" spans="1:11" ht="11.25" customHeight="1">
      <c r="A252" s="250">
        <v>71</v>
      </c>
      <c r="B252" s="250" t="s">
        <v>1151</v>
      </c>
      <c r="C252" s="250" t="s">
        <v>1736</v>
      </c>
      <c r="D252" s="250">
        <v>21800</v>
      </c>
      <c r="E252" s="250" t="s">
        <v>505</v>
      </c>
      <c r="F252" s="250">
        <v>41</v>
      </c>
      <c r="G252" s="250" t="s">
        <v>1152</v>
      </c>
      <c r="H252" s="253">
        <f t="shared" si="0"/>
        <v>249</v>
      </c>
      <c r="I252" s="253" t="str">
        <f>IF('School Level Expenditures'!$B$2=A252,'School Tables'!H252,"")</f>
        <v/>
      </c>
      <c r="J252" s="253" t="str">
        <f t="shared" si="1"/>
        <v/>
      </c>
      <c r="K252" s="254" t="b">
        <f t="shared" si="2"/>
        <v>0</v>
      </c>
    </row>
    <row r="253" spans="1:11" ht="11.25" customHeight="1">
      <c r="A253" s="250">
        <v>401</v>
      </c>
      <c r="B253" s="250" t="s">
        <v>1331</v>
      </c>
      <c r="C253" s="250" t="s">
        <v>1737</v>
      </c>
      <c r="D253" s="250">
        <v>21995</v>
      </c>
      <c r="E253" s="250" t="s">
        <v>505</v>
      </c>
      <c r="F253" s="250">
        <v>43</v>
      </c>
      <c r="G253" s="250" t="s">
        <v>1333</v>
      </c>
      <c r="H253" s="253">
        <f t="shared" si="0"/>
        <v>250</v>
      </c>
      <c r="I253" s="253" t="str">
        <f>IF('School Level Expenditures'!$B$2=A253,'School Tables'!H253,"")</f>
        <v/>
      </c>
      <c r="J253" s="253" t="str">
        <f t="shared" si="1"/>
        <v/>
      </c>
      <c r="K253" s="254" t="b">
        <f t="shared" si="2"/>
        <v>0</v>
      </c>
    </row>
    <row r="254" spans="1:11" ht="11.25" customHeight="1">
      <c r="A254" s="250">
        <v>41</v>
      </c>
      <c r="B254" s="250" t="s">
        <v>1042</v>
      </c>
      <c r="C254" s="250" t="s">
        <v>1738</v>
      </c>
      <c r="D254" s="250">
        <v>27680</v>
      </c>
      <c r="E254" s="250" t="s">
        <v>505</v>
      </c>
      <c r="F254" s="250">
        <v>25</v>
      </c>
      <c r="G254" s="250" t="s">
        <v>1044</v>
      </c>
      <c r="H254" s="253">
        <f t="shared" si="0"/>
        <v>251</v>
      </c>
      <c r="I254" s="253" t="str">
        <f>IF('School Level Expenditures'!$B$2=A254,'School Tables'!H254,"")</f>
        <v/>
      </c>
      <c r="J254" s="253" t="str">
        <f t="shared" si="1"/>
        <v/>
      </c>
      <c r="K254" s="254" t="b">
        <f t="shared" si="2"/>
        <v>0</v>
      </c>
    </row>
    <row r="255" spans="1:11" ht="11.25" customHeight="1">
      <c r="A255" s="250">
        <v>274</v>
      </c>
      <c r="B255" s="250" t="s">
        <v>1119</v>
      </c>
      <c r="C255" s="250" t="s">
        <v>1739</v>
      </c>
      <c r="D255" s="250">
        <v>22320</v>
      </c>
      <c r="E255" s="250" t="s">
        <v>505</v>
      </c>
      <c r="F255" s="250">
        <v>47</v>
      </c>
      <c r="G255" s="250" t="s">
        <v>1121</v>
      </c>
      <c r="H255" s="253">
        <f t="shared" si="0"/>
        <v>252</v>
      </c>
      <c r="I255" s="253" t="str">
        <f>IF('School Level Expenditures'!$B$2=A255,'School Tables'!H255,"")</f>
        <v/>
      </c>
      <c r="J255" s="253" t="str">
        <f t="shared" si="1"/>
        <v/>
      </c>
      <c r="K255" s="254" t="b">
        <f t="shared" si="2"/>
        <v>0</v>
      </c>
    </row>
    <row r="256" spans="1:11" ht="11.25" customHeight="1">
      <c r="A256" s="250">
        <v>457</v>
      </c>
      <c r="B256" s="250" t="s">
        <v>1471</v>
      </c>
      <c r="C256" s="250" t="s">
        <v>1740</v>
      </c>
      <c r="D256" s="250">
        <v>29196</v>
      </c>
      <c r="E256" s="250" t="s">
        <v>505</v>
      </c>
      <c r="F256" s="250">
        <v>78</v>
      </c>
      <c r="G256" s="250" t="s">
        <v>1473</v>
      </c>
      <c r="H256" s="253">
        <f t="shared" si="0"/>
        <v>253</v>
      </c>
      <c r="I256" s="253" t="str">
        <f>IF('School Level Expenditures'!$B$2=A256,'School Tables'!H256,"")</f>
        <v/>
      </c>
      <c r="J256" s="253" t="str">
        <f t="shared" si="1"/>
        <v/>
      </c>
      <c r="K256" s="254" t="b">
        <f t="shared" si="2"/>
        <v>0</v>
      </c>
    </row>
    <row r="257" spans="1:11" ht="11.25" customHeight="1">
      <c r="A257" s="250">
        <v>737</v>
      </c>
      <c r="B257" s="250" t="s">
        <v>1619</v>
      </c>
      <c r="C257" s="250" t="s">
        <v>1619</v>
      </c>
      <c r="D257" s="250">
        <v>29070</v>
      </c>
      <c r="E257" s="250" t="s">
        <v>505</v>
      </c>
      <c r="F257" s="250">
        <v>420</v>
      </c>
      <c r="G257" s="250" t="s">
        <v>1619</v>
      </c>
      <c r="H257" s="253">
        <f t="shared" si="0"/>
        <v>254</v>
      </c>
      <c r="I257" s="253" t="str">
        <f>IF('School Level Expenditures'!$B$2=A257,'School Tables'!H257,"")</f>
        <v/>
      </c>
      <c r="J257" s="253" t="str">
        <f t="shared" si="1"/>
        <v/>
      </c>
      <c r="K257" s="254" t="b">
        <f t="shared" si="2"/>
        <v>0</v>
      </c>
    </row>
    <row r="258" spans="1:11" ht="11.25" customHeight="1">
      <c r="A258" s="250">
        <v>463</v>
      </c>
      <c r="B258" s="250" t="s">
        <v>1622</v>
      </c>
      <c r="C258" s="250" t="s">
        <v>1741</v>
      </c>
      <c r="D258" s="250">
        <v>22810</v>
      </c>
      <c r="E258" s="250" t="s">
        <v>505</v>
      </c>
      <c r="F258" s="250">
        <v>104</v>
      </c>
      <c r="G258" s="250" t="s">
        <v>1623</v>
      </c>
      <c r="H258" s="253">
        <f t="shared" si="0"/>
        <v>255</v>
      </c>
      <c r="I258" s="253" t="str">
        <f>IF('School Level Expenditures'!$B$2=A258,'School Tables'!H258,"")</f>
        <v/>
      </c>
      <c r="J258" s="253" t="str">
        <f t="shared" si="1"/>
        <v/>
      </c>
      <c r="K258" s="254" t="b">
        <f t="shared" si="2"/>
        <v>0</v>
      </c>
    </row>
    <row r="259" spans="1:11" ht="11.25" customHeight="1">
      <c r="A259" s="250">
        <v>467</v>
      </c>
      <c r="B259" s="250" t="s">
        <v>1625</v>
      </c>
      <c r="C259" s="250" t="s">
        <v>1742</v>
      </c>
      <c r="D259" s="250">
        <v>22375</v>
      </c>
      <c r="E259" s="250" t="s">
        <v>505</v>
      </c>
      <c r="F259" s="250">
        <v>48</v>
      </c>
      <c r="G259" s="250" t="s">
        <v>1158</v>
      </c>
      <c r="H259" s="253">
        <f t="shared" ref="H259:H325" si="10">ROWS($G$4:G259)</f>
        <v>256</v>
      </c>
      <c r="I259" s="253" t="str">
        <f>IF('School Level Expenditures'!$B$2=A259,'School Tables'!H259,"")</f>
        <v/>
      </c>
      <c r="J259" s="253" t="str">
        <f t="shared" ref="J259:J325" si="11">IFERROR(SMALL($I$4:$I$325,ROWS($I$4:I259)),"")</f>
        <v/>
      </c>
      <c r="K259" s="254" t="b">
        <f t="shared" ref="K259:K325" si="12">C259=C260</f>
        <v>0</v>
      </c>
    </row>
    <row r="260" spans="1:11" ht="11.25" customHeight="1">
      <c r="A260" s="250">
        <v>471</v>
      </c>
      <c r="B260" s="250" t="s">
        <v>1627</v>
      </c>
      <c r="C260" s="250" t="s">
        <v>1743</v>
      </c>
      <c r="D260" s="250">
        <v>22475</v>
      </c>
      <c r="E260" s="250" t="s">
        <v>505</v>
      </c>
      <c r="F260" s="250">
        <v>50</v>
      </c>
      <c r="G260" s="250" t="s">
        <v>1422</v>
      </c>
      <c r="H260" s="253">
        <f t="shared" si="10"/>
        <v>257</v>
      </c>
      <c r="I260" s="253" t="str">
        <f>IF('School Level Expenditures'!$B$2=A260,'School Tables'!H260,"")</f>
        <v/>
      </c>
      <c r="J260" s="253" t="str">
        <f t="shared" si="11"/>
        <v/>
      </c>
      <c r="K260" s="254" t="b">
        <f t="shared" si="12"/>
        <v>0</v>
      </c>
    </row>
    <row r="261" spans="1:11" ht="11.25" customHeight="1">
      <c r="A261" s="250">
        <v>471</v>
      </c>
      <c r="B261" s="250" t="s">
        <v>1627</v>
      </c>
      <c r="C261" s="250" t="s">
        <v>1744</v>
      </c>
      <c r="D261" s="250">
        <v>22470</v>
      </c>
      <c r="E261" s="250" t="s">
        <v>505</v>
      </c>
      <c r="F261" s="250">
        <v>50</v>
      </c>
      <c r="G261" s="250" t="s">
        <v>1422</v>
      </c>
      <c r="H261" s="253">
        <f t="shared" si="10"/>
        <v>258</v>
      </c>
      <c r="I261" s="253" t="str">
        <f>IF('School Level Expenditures'!$B$2=A261,'School Tables'!H261,"")</f>
        <v/>
      </c>
      <c r="J261" s="253" t="str">
        <f t="shared" si="11"/>
        <v/>
      </c>
      <c r="K261" s="254" t="b">
        <f t="shared" si="12"/>
        <v>0</v>
      </c>
    </row>
    <row r="262" spans="1:11" ht="11.25" customHeight="1">
      <c r="A262" s="250">
        <v>473</v>
      </c>
      <c r="B262" s="250" t="s">
        <v>1408</v>
      </c>
      <c r="C262" s="250" t="s">
        <v>1745</v>
      </c>
      <c r="D262" s="250">
        <v>29225</v>
      </c>
      <c r="E262" s="250" t="s">
        <v>1321</v>
      </c>
      <c r="F262" s="250">
        <v>57</v>
      </c>
      <c r="G262" s="250" t="s">
        <v>1410</v>
      </c>
      <c r="H262" s="253">
        <f t="shared" si="10"/>
        <v>259</v>
      </c>
      <c r="I262" s="253" t="str">
        <f>IF('School Level Expenditures'!$B$2=A262,'School Tables'!H262,"")</f>
        <v/>
      </c>
      <c r="J262" s="253" t="str">
        <f t="shared" si="11"/>
        <v/>
      </c>
      <c r="K262" s="254" t="b">
        <f t="shared" si="12"/>
        <v>0</v>
      </c>
    </row>
    <row r="263" spans="1:11" ht="11.25" customHeight="1">
      <c r="A263" s="250">
        <v>352</v>
      </c>
      <c r="B263" s="250" t="s">
        <v>1207</v>
      </c>
      <c r="C263" s="250" t="s">
        <v>1746</v>
      </c>
      <c r="D263" s="250">
        <v>22200</v>
      </c>
      <c r="E263" s="250" t="s">
        <v>505</v>
      </c>
      <c r="F263" s="250">
        <v>46</v>
      </c>
      <c r="G263" s="250" t="s">
        <v>1060</v>
      </c>
      <c r="H263" s="253">
        <f t="shared" si="10"/>
        <v>260</v>
      </c>
      <c r="I263" s="253" t="str">
        <f>IF('School Level Expenditures'!$B$2=A263,'School Tables'!H263,"")</f>
        <v/>
      </c>
      <c r="J263" s="253" t="str">
        <f t="shared" si="11"/>
        <v/>
      </c>
      <c r="K263" s="254" t="b">
        <f t="shared" si="12"/>
        <v>0</v>
      </c>
    </row>
    <row r="264" spans="1:11" ht="11.25" customHeight="1">
      <c r="A264" s="250">
        <v>582</v>
      </c>
      <c r="B264" s="250" t="s">
        <v>1438</v>
      </c>
      <c r="C264" s="250" t="s">
        <v>1747</v>
      </c>
      <c r="D264" s="250">
        <v>22925</v>
      </c>
      <c r="E264" s="250" t="s">
        <v>505</v>
      </c>
      <c r="F264" s="250">
        <v>59</v>
      </c>
      <c r="G264" s="250" t="s">
        <v>1440</v>
      </c>
      <c r="H264" s="253">
        <f t="shared" si="10"/>
        <v>261</v>
      </c>
      <c r="I264" s="253" t="str">
        <f>IF('School Level Expenditures'!$B$2=A264,'School Tables'!H264,"")</f>
        <v/>
      </c>
      <c r="J264" s="253" t="str">
        <f t="shared" si="11"/>
        <v/>
      </c>
      <c r="K264" s="254" t="b">
        <f t="shared" si="12"/>
        <v>0</v>
      </c>
    </row>
    <row r="265" spans="1:11" ht="11.25" customHeight="1">
      <c r="A265" s="250">
        <v>534</v>
      </c>
      <c r="B265" s="250" t="s">
        <v>1108</v>
      </c>
      <c r="C265" s="250" t="s">
        <v>1748</v>
      </c>
      <c r="D265" s="250">
        <v>22775</v>
      </c>
      <c r="E265" s="250" t="s">
        <v>505</v>
      </c>
      <c r="F265" s="250">
        <v>106</v>
      </c>
      <c r="G265" s="250" t="s">
        <v>1110</v>
      </c>
      <c r="H265" s="253">
        <f t="shared" si="10"/>
        <v>262</v>
      </c>
      <c r="I265" s="253" t="str">
        <f>IF('School Level Expenditures'!$B$2=A265,'School Tables'!H265,"")</f>
        <v/>
      </c>
      <c r="J265" s="253" t="str">
        <f t="shared" si="11"/>
        <v/>
      </c>
      <c r="K265" s="254" t="b">
        <f t="shared" si="12"/>
        <v>0</v>
      </c>
    </row>
    <row r="266" spans="1:11" ht="11.25" customHeight="1">
      <c r="A266" s="250">
        <v>534</v>
      </c>
      <c r="B266" s="250" t="s">
        <v>1108</v>
      </c>
      <c r="C266" s="250" t="s">
        <v>1749</v>
      </c>
      <c r="D266" s="250">
        <v>27910</v>
      </c>
      <c r="E266" s="250" t="s">
        <v>505</v>
      </c>
      <c r="F266" s="250">
        <v>106</v>
      </c>
      <c r="G266" s="250" t="s">
        <v>1110</v>
      </c>
      <c r="H266" s="253">
        <f t="shared" si="10"/>
        <v>263</v>
      </c>
      <c r="I266" s="253" t="str">
        <f>IF('School Level Expenditures'!$B$2=A266,'School Tables'!H266,"")</f>
        <v/>
      </c>
      <c r="J266" s="253" t="str">
        <f t="shared" si="11"/>
        <v/>
      </c>
      <c r="K266" s="254" t="b">
        <f t="shared" si="12"/>
        <v>0</v>
      </c>
    </row>
    <row r="267" spans="1:11" ht="11.25" customHeight="1">
      <c r="A267" s="250">
        <v>269</v>
      </c>
      <c r="B267" s="250" t="s">
        <v>1243</v>
      </c>
      <c r="C267" s="250" t="s">
        <v>1750</v>
      </c>
      <c r="D267" s="250">
        <v>20040</v>
      </c>
      <c r="E267" s="250" t="s">
        <v>505</v>
      </c>
      <c r="F267" s="250">
        <v>2</v>
      </c>
      <c r="G267" s="250" t="s">
        <v>1067</v>
      </c>
      <c r="H267" s="253">
        <f t="shared" si="10"/>
        <v>264</v>
      </c>
      <c r="I267" s="253" t="str">
        <f>IF('School Level Expenditures'!$B$2=A267,'School Tables'!H267,"")</f>
        <v/>
      </c>
      <c r="J267" s="253" t="str">
        <f t="shared" si="11"/>
        <v/>
      </c>
      <c r="K267" s="254" t="b">
        <f t="shared" si="12"/>
        <v>0</v>
      </c>
    </row>
    <row r="268" spans="1:11" ht="11.25" customHeight="1">
      <c r="A268" s="250">
        <v>174</v>
      </c>
      <c r="B268" s="250" t="s">
        <v>1027</v>
      </c>
      <c r="C268" s="250" t="s">
        <v>1751</v>
      </c>
      <c r="D268" s="250">
        <v>22995</v>
      </c>
      <c r="E268" s="250" t="s">
        <v>505</v>
      </c>
      <c r="F268" s="250">
        <v>60</v>
      </c>
      <c r="G268" s="250" t="s">
        <v>1029</v>
      </c>
      <c r="H268" s="253">
        <f t="shared" si="10"/>
        <v>265</v>
      </c>
      <c r="I268" s="253" t="str">
        <f>IF('School Level Expenditures'!$B$2=A268,'School Tables'!H268,"")</f>
        <v/>
      </c>
      <c r="J268" s="253" t="str">
        <f t="shared" si="11"/>
        <v/>
      </c>
      <c r="K268" s="254" t="b">
        <f t="shared" si="12"/>
        <v>0</v>
      </c>
    </row>
    <row r="269" spans="1:11" ht="11.25" customHeight="1">
      <c r="A269" s="250">
        <v>461</v>
      </c>
      <c r="B269" s="250" t="s">
        <v>1072</v>
      </c>
      <c r="C269" s="250" t="s">
        <v>1752</v>
      </c>
      <c r="D269" s="250">
        <v>22720</v>
      </c>
      <c r="E269" s="250" t="s">
        <v>505</v>
      </c>
      <c r="F269" s="250">
        <v>54</v>
      </c>
      <c r="G269" s="250" t="s">
        <v>1074</v>
      </c>
      <c r="H269" s="253">
        <f t="shared" si="10"/>
        <v>266</v>
      </c>
      <c r="I269" s="253" t="str">
        <f>IF('School Level Expenditures'!$B$2=A269,'School Tables'!H269,"")</f>
        <v/>
      </c>
      <c r="J269" s="253" t="str">
        <f t="shared" si="11"/>
        <v/>
      </c>
      <c r="K269" s="254" t="b">
        <f t="shared" si="12"/>
        <v>0</v>
      </c>
    </row>
    <row r="270" spans="1:11" ht="11.25" customHeight="1">
      <c r="A270" s="250">
        <v>485</v>
      </c>
      <c r="B270" s="250" t="s">
        <v>1631</v>
      </c>
      <c r="C270" s="250" t="s">
        <v>1753</v>
      </c>
      <c r="D270" s="250">
        <v>20810</v>
      </c>
      <c r="E270" s="250" t="s">
        <v>505</v>
      </c>
      <c r="F270" s="250">
        <v>21</v>
      </c>
      <c r="G270" s="250" t="s">
        <v>1447</v>
      </c>
      <c r="H270" s="253">
        <f t="shared" si="10"/>
        <v>267</v>
      </c>
      <c r="I270" s="253" t="str">
        <f>IF('School Level Expenditures'!$B$2=A270,'School Tables'!H270,"")</f>
        <v/>
      </c>
      <c r="J270" s="253" t="str">
        <f t="shared" si="11"/>
        <v/>
      </c>
      <c r="K270" s="254" t="b">
        <f t="shared" si="12"/>
        <v>0</v>
      </c>
    </row>
    <row r="271" spans="1:11" ht="11.25" customHeight="1">
      <c r="A271" s="250">
        <v>485</v>
      </c>
      <c r="B271" s="250" t="s">
        <v>1631</v>
      </c>
      <c r="C271" s="250" t="s">
        <v>1754</v>
      </c>
      <c r="D271" s="250">
        <v>27995</v>
      </c>
      <c r="E271" s="250" t="s">
        <v>505</v>
      </c>
      <c r="F271" s="250">
        <v>21</v>
      </c>
      <c r="G271" s="250" t="s">
        <v>1447</v>
      </c>
      <c r="H271" s="253">
        <f t="shared" si="10"/>
        <v>268</v>
      </c>
      <c r="I271" s="253" t="str">
        <f>IF('School Level Expenditures'!$B$2=A271,'School Tables'!H271,"")</f>
        <v/>
      </c>
      <c r="J271" s="253" t="str">
        <f t="shared" si="11"/>
        <v/>
      </c>
      <c r="K271" s="254" t="b">
        <f t="shared" si="12"/>
        <v>0</v>
      </c>
    </row>
    <row r="272" spans="1:11" ht="11.25" customHeight="1">
      <c r="A272" s="250">
        <v>705</v>
      </c>
      <c r="B272" s="250" t="s">
        <v>1633</v>
      </c>
      <c r="C272" s="250" t="s">
        <v>1633</v>
      </c>
      <c r="D272" s="250">
        <v>28400</v>
      </c>
      <c r="E272" s="250" t="s">
        <v>505</v>
      </c>
      <c r="F272" s="250">
        <v>403</v>
      </c>
      <c r="G272" s="250" t="s">
        <v>1633</v>
      </c>
      <c r="H272" s="253">
        <f t="shared" si="10"/>
        <v>269</v>
      </c>
      <c r="I272" s="253" t="str">
        <f>IF('School Level Expenditures'!$B$2=A272,'School Tables'!H272,"")</f>
        <v/>
      </c>
      <c r="J272" s="253" t="str">
        <f t="shared" si="11"/>
        <v/>
      </c>
      <c r="K272" s="254" t="b">
        <f t="shared" si="12"/>
        <v>0</v>
      </c>
    </row>
    <row r="273" spans="1:11" ht="11.25" customHeight="1">
      <c r="A273" s="250">
        <v>276</v>
      </c>
      <c r="B273" s="250" t="s">
        <v>1231</v>
      </c>
      <c r="C273" s="250" t="s">
        <v>1755</v>
      </c>
      <c r="D273" s="250">
        <v>22020</v>
      </c>
      <c r="E273" s="250" t="s">
        <v>505</v>
      </c>
      <c r="F273" s="250">
        <v>65</v>
      </c>
      <c r="G273" s="250" t="s">
        <v>1233</v>
      </c>
      <c r="H273" s="253">
        <f t="shared" si="10"/>
        <v>270</v>
      </c>
      <c r="I273" s="253" t="str">
        <f>IF('School Level Expenditures'!$B$2=A273,'School Tables'!H273,"")</f>
        <v/>
      </c>
      <c r="J273" s="253" t="str">
        <f t="shared" si="11"/>
        <v/>
      </c>
      <c r="K273" s="254" t="b">
        <f t="shared" si="12"/>
        <v>0</v>
      </c>
    </row>
    <row r="274" spans="1:11" ht="11.25" customHeight="1">
      <c r="A274" s="250">
        <v>335</v>
      </c>
      <c r="B274" s="250" t="s">
        <v>1123</v>
      </c>
      <c r="C274" s="250" t="s">
        <v>1756</v>
      </c>
      <c r="D274" s="250">
        <v>21605</v>
      </c>
      <c r="E274" s="250" t="s">
        <v>505</v>
      </c>
      <c r="F274" s="250">
        <v>37</v>
      </c>
      <c r="G274" s="250" t="s">
        <v>1125</v>
      </c>
      <c r="H274" s="253">
        <f t="shared" si="10"/>
        <v>271</v>
      </c>
      <c r="I274" s="253" t="str">
        <f>IF('School Level Expenditures'!$B$2=A274,'School Tables'!H274,"")</f>
        <v/>
      </c>
      <c r="J274" s="253" t="str">
        <f t="shared" si="11"/>
        <v/>
      </c>
      <c r="K274" s="254" t="b">
        <f t="shared" si="12"/>
        <v>0</v>
      </c>
    </row>
    <row r="275" spans="1:11" ht="11.25" customHeight="1">
      <c r="A275" s="250">
        <v>495</v>
      </c>
      <c r="B275" s="250" t="s">
        <v>1638</v>
      </c>
      <c r="C275" s="250" t="s">
        <v>1757</v>
      </c>
      <c r="D275" s="250">
        <v>20815</v>
      </c>
      <c r="E275" s="250" t="s">
        <v>505</v>
      </c>
      <c r="F275" s="250">
        <v>21</v>
      </c>
      <c r="G275" s="250" t="s">
        <v>1447</v>
      </c>
      <c r="H275" s="253">
        <f t="shared" si="10"/>
        <v>272</v>
      </c>
      <c r="I275" s="253" t="str">
        <f>IF('School Level Expenditures'!$B$2=A275,'School Tables'!H275,"")</f>
        <v/>
      </c>
      <c r="J275" s="253" t="str">
        <f t="shared" si="11"/>
        <v/>
      </c>
      <c r="K275" s="254" t="b">
        <f t="shared" si="12"/>
        <v>0</v>
      </c>
    </row>
    <row r="276" spans="1:11" ht="11.25" customHeight="1">
      <c r="A276" s="250">
        <v>319</v>
      </c>
      <c r="B276" s="250" t="s">
        <v>1284</v>
      </c>
      <c r="C276" s="250" t="s">
        <v>1758</v>
      </c>
      <c r="D276" s="250">
        <v>20475</v>
      </c>
      <c r="E276" s="250" t="s">
        <v>505</v>
      </c>
      <c r="F276" s="250">
        <v>12</v>
      </c>
      <c r="G276" s="250" t="s">
        <v>1286</v>
      </c>
      <c r="H276" s="253">
        <f t="shared" si="10"/>
        <v>273</v>
      </c>
      <c r="I276" s="253" t="str">
        <f>IF('School Level Expenditures'!$B$2=A276,'School Tables'!H276,"")</f>
        <v/>
      </c>
      <c r="J276" s="253" t="str">
        <f t="shared" si="11"/>
        <v/>
      </c>
      <c r="K276" s="254" t="b">
        <f t="shared" si="12"/>
        <v>0</v>
      </c>
    </row>
    <row r="277" spans="1:11" ht="11.25" customHeight="1">
      <c r="A277" s="250">
        <v>131</v>
      </c>
      <c r="B277" s="250" t="s">
        <v>1134</v>
      </c>
      <c r="C277" s="250" t="s">
        <v>1759</v>
      </c>
      <c r="D277" s="250">
        <v>20405</v>
      </c>
      <c r="E277" s="250" t="s">
        <v>505</v>
      </c>
      <c r="F277" s="250">
        <v>10</v>
      </c>
      <c r="G277" s="250" t="s">
        <v>1136</v>
      </c>
      <c r="H277" s="253">
        <f t="shared" si="10"/>
        <v>274</v>
      </c>
      <c r="I277" s="253" t="str">
        <f>IF('School Level Expenditures'!$B$2=A277,'School Tables'!H277,"")</f>
        <v/>
      </c>
      <c r="J277" s="253" t="str">
        <f t="shared" si="11"/>
        <v/>
      </c>
      <c r="K277" s="254" t="b">
        <f t="shared" si="12"/>
        <v>0</v>
      </c>
    </row>
    <row r="278" spans="1:11" ht="11.25" customHeight="1">
      <c r="A278" s="250">
        <v>582</v>
      </c>
      <c r="B278" s="250" t="s">
        <v>1438</v>
      </c>
      <c r="C278" s="250" t="s">
        <v>1760</v>
      </c>
      <c r="D278" s="250">
        <v>27070</v>
      </c>
      <c r="E278" s="250" t="s">
        <v>505</v>
      </c>
      <c r="F278" s="250">
        <v>59</v>
      </c>
      <c r="G278" s="250" t="s">
        <v>1440</v>
      </c>
      <c r="H278" s="253">
        <f t="shared" si="10"/>
        <v>275</v>
      </c>
      <c r="I278" s="253" t="str">
        <f>IF('School Level Expenditures'!$B$2=A278,'School Tables'!H278,"")</f>
        <v/>
      </c>
      <c r="J278" s="253" t="str">
        <f t="shared" si="11"/>
        <v/>
      </c>
      <c r="K278" s="254" t="b">
        <f t="shared" si="12"/>
        <v>0</v>
      </c>
    </row>
    <row r="279" spans="1:11" ht="11.25" customHeight="1">
      <c r="A279" s="250">
        <v>499</v>
      </c>
      <c r="B279" s="250" t="s">
        <v>1641</v>
      </c>
      <c r="C279" s="250" t="s">
        <v>1761</v>
      </c>
      <c r="D279" s="250">
        <v>22910</v>
      </c>
      <c r="E279" s="250" t="s">
        <v>505</v>
      </c>
      <c r="F279" s="250">
        <v>58</v>
      </c>
      <c r="G279" s="250" t="s">
        <v>1214</v>
      </c>
      <c r="H279" s="253">
        <f t="shared" si="10"/>
        <v>276</v>
      </c>
      <c r="I279" s="253" t="str">
        <f>IF('School Level Expenditures'!$B$2=A279,'School Tables'!H279,"")</f>
        <v/>
      </c>
      <c r="J279" s="253" t="str">
        <f t="shared" si="11"/>
        <v/>
      </c>
      <c r="K279" s="254" t="b">
        <f t="shared" si="12"/>
        <v>0</v>
      </c>
    </row>
    <row r="280" spans="1:11" ht="11.25" customHeight="1">
      <c r="A280" s="250">
        <v>501</v>
      </c>
      <c r="B280" s="250" t="s">
        <v>1643</v>
      </c>
      <c r="C280" s="250" t="s">
        <v>1762</v>
      </c>
      <c r="D280" s="250">
        <v>27560</v>
      </c>
      <c r="E280" s="250" t="s">
        <v>505</v>
      </c>
      <c r="F280" s="250">
        <v>7</v>
      </c>
      <c r="G280" s="250" t="s">
        <v>1105</v>
      </c>
      <c r="H280" s="253">
        <f t="shared" si="10"/>
        <v>277</v>
      </c>
      <c r="I280" s="253" t="str">
        <f>IF('School Level Expenditures'!$B$2=A280,'School Tables'!H280,"")</f>
        <v/>
      </c>
      <c r="J280" s="253" t="str">
        <f t="shared" si="11"/>
        <v/>
      </c>
      <c r="K280" s="254" t="b">
        <f t="shared" si="12"/>
        <v>0</v>
      </c>
    </row>
    <row r="281" spans="1:11" ht="11.25" customHeight="1">
      <c r="A281" s="250">
        <v>507</v>
      </c>
      <c r="B281" s="250" t="s">
        <v>1646</v>
      </c>
      <c r="C281" s="250" t="s">
        <v>1763</v>
      </c>
      <c r="D281" s="250">
        <v>22100</v>
      </c>
      <c r="E281" s="250" t="s">
        <v>505</v>
      </c>
      <c r="F281" s="250">
        <v>105</v>
      </c>
      <c r="G281" s="250" t="s">
        <v>1647</v>
      </c>
      <c r="H281" s="253">
        <f t="shared" si="10"/>
        <v>278</v>
      </c>
      <c r="I281" s="253" t="str">
        <f>IF('School Level Expenditures'!$B$2=A281,'School Tables'!H281,"")</f>
        <v/>
      </c>
      <c r="J281" s="253" t="str">
        <f t="shared" si="11"/>
        <v/>
      </c>
      <c r="K281" s="254" t="b">
        <f t="shared" si="12"/>
        <v>0</v>
      </c>
    </row>
    <row r="282" spans="1:11" ht="11.25" customHeight="1">
      <c r="A282" s="250">
        <v>509</v>
      </c>
      <c r="B282" s="250" t="s">
        <v>1649</v>
      </c>
      <c r="C282" s="250" t="s">
        <v>1764</v>
      </c>
      <c r="D282" s="250">
        <v>22915</v>
      </c>
      <c r="E282" s="250" t="s">
        <v>505</v>
      </c>
      <c r="F282" s="250">
        <v>58</v>
      </c>
      <c r="G282" s="250" t="s">
        <v>1214</v>
      </c>
      <c r="H282" s="253">
        <f t="shared" si="10"/>
        <v>279</v>
      </c>
      <c r="I282" s="253" t="str">
        <f>IF('School Level Expenditures'!$B$2=A282,'School Tables'!H282,"")</f>
        <v/>
      </c>
      <c r="J282" s="253" t="str">
        <f t="shared" si="11"/>
        <v/>
      </c>
      <c r="K282" s="254" t="b">
        <f t="shared" si="12"/>
        <v>0</v>
      </c>
    </row>
    <row r="283" spans="1:11" ht="11.25" customHeight="1">
      <c r="A283" s="250">
        <v>511</v>
      </c>
      <c r="B283" s="250" t="s">
        <v>1650</v>
      </c>
      <c r="C283" s="250" t="s">
        <v>1765</v>
      </c>
      <c r="D283" s="250">
        <v>20615</v>
      </c>
      <c r="E283" s="250" t="s">
        <v>505</v>
      </c>
      <c r="F283" s="250">
        <v>16</v>
      </c>
      <c r="G283" s="250" t="s">
        <v>1096</v>
      </c>
      <c r="H283" s="253">
        <f t="shared" si="10"/>
        <v>280</v>
      </c>
      <c r="I283" s="253" t="str">
        <f>IF('School Level Expenditures'!$B$2=A283,'School Tables'!H283,"")</f>
        <v/>
      </c>
      <c r="J283" s="253" t="str">
        <f t="shared" si="11"/>
        <v/>
      </c>
      <c r="K283" s="254" t="b">
        <f t="shared" si="12"/>
        <v>0</v>
      </c>
    </row>
    <row r="284" spans="1:11" ht="11.25" customHeight="1">
      <c r="A284" s="250">
        <v>721</v>
      </c>
      <c r="B284" s="250" t="s">
        <v>1652</v>
      </c>
      <c r="C284" s="250" t="s">
        <v>1652</v>
      </c>
      <c r="D284" s="250">
        <v>28570</v>
      </c>
      <c r="E284" s="250" t="s">
        <v>505</v>
      </c>
      <c r="F284" s="250">
        <v>409</v>
      </c>
      <c r="G284" s="250" t="s">
        <v>1652</v>
      </c>
      <c r="H284" s="253">
        <f t="shared" si="10"/>
        <v>281</v>
      </c>
      <c r="I284" s="253" t="str">
        <f>IF('School Level Expenditures'!$B$2=A284,'School Tables'!H284,"")</f>
        <v/>
      </c>
      <c r="J284" s="253" t="str">
        <f t="shared" si="11"/>
        <v/>
      </c>
      <c r="K284" s="254" t="b">
        <f t="shared" si="12"/>
        <v>0</v>
      </c>
    </row>
    <row r="285" spans="1:11" ht="11.25" customHeight="1">
      <c r="A285" s="250">
        <v>515</v>
      </c>
      <c r="B285" s="250" t="s">
        <v>1404</v>
      </c>
      <c r="C285" s="250" t="s">
        <v>1766</v>
      </c>
      <c r="D285" s="250">
        <v>22005</v>
      </c>
      <c r="E285" s="250" t="s">
        <v>505</v>
      </c>
      <c r="F285" s="250">
        <v>85</v>
      </c>
      <c r="G285" s="250" t="s">
        <v>1406</v>
      </c>
      <c r="H285" s="253">
        <f t="shared" si="10"/>
        <v>282</v>
      </c>
      <c r="I285" s="253" t="str">
        <f>IF('School Level Expenditures'!$B$2=A285,'School Tables'!H285,"")</f>
        <v/>
      </c>
      <c r="J285" s="253" t="str">
        <f t="shared" si="11"/>
        <v/>
      </c>
      <c r="K285" s="254" t="b">
        <f t="shared" si="12"/>
        <v>0</v>
      </c>
    </row>
    <row r="286" spans="1:11" ht="11.25" customHeight="1">
      <c r="A286" s="250">
        <v>371</v>
      </c>
      <c r="B286" s="250" t="s">
        <v>1068</v>
      </c>
      <c r="C286" s="250" t="s">
        <v>1767</v>
      </c>
      <c r="D286" s="250">
        <v>21850</v>
      </c>
      <c r="E286" s="250" t="s">
        <v>505</v>
      </c>
      <c r="F286" s="250">
        <v>42</v>
      </c>
      <c r="G286" s="250" t="s">
        <v>1070</v>
      </c>
      <c r="H286" s="253">
        <f t="shared" si="10"/>
        <v>283</v>
      </c>
      <c r="I286" s="253" t="str">
        <f>IF('School Level Expenditures'!$B$2=A286,'School Tables'!H286,"")</f>
        <v/>
      </c>
      <c r="J286" s="253" t="str">
        <f t="shared" si="11"/>
        <v/>
      </c>
      <c r="K286" s="254" t="b">
        <f t="shared" si="12"/>
        <v>0</v>
      </c>
    </row>
    <row r="287" spans="1:11" ht="11.25" customHeight="1">
      <c r="A287" s="250">
        <v>717</v>
      </c>
      <c r="B287" s="250" t="s">
        <v>1661</v>
      </c>
      <c r="C287" s="250" t="s">
        <v>1661</v>
      </c>
      <c r="D287" s="250">
        <v>28515</v>
      </c>
      <c r="E287" s="250" t="s">
        <v>505</v>
      </c>
      <c r="F287" s="250">
        <v>407</v>
      </c>
      <c r="G287" s="250" t="s">
        <v>1661</v>
      </c>
      <c r="H287" s="253">
        <f t="shared" si="10"/>
        <v>284</v>
      </c>
      <c r="I287" s="253" t="str">
        <f>IF('School Level Expenditures'!$B$2=A287,'School Tables'!H287,"")</f>
        <v/>
      </c>
      <c r="J287" s="253" t="str">
        <f t="shared" si="11"/>
        <v/>
      </c>
      <c r="K287" s="254" t="b">
        <f t="shared" si="12"/>
        <v>0</v>
      </c>
    </row>
    <row r="288" spans="1:11" ht="11.25" customHeight="1">
      <c r="A288" s="250">
        <v>276</v>
      </c>
      <c r="B288" s="250" t="s">
        <v>1231</v>
      </c>
      <c r="C288" s="250" t="s">
        <v>1768</v>
      </c>
      <c r="D288" s="250">
        <v>22010</v>
      </c>
      <c r="E288" s="250" t="s">
        <v>505</v>
      </c>
      <c r="F288" s="250">
        <v>65</v>
      </c>
      <c r="G288" s="250" t="s">
        <v>1233</v>
      </c>
      <c r="H288" s="253">
        <f t="shared" si="10"/>
        <v>285</v>
      </c>
      <c r="I288" s="253" t="str">
        <f>IF('School Level Expenditures'!$B$2=A288,'School Tables'!H288,"")</f>
        <v/>
      </c>
      <c r="J288" s="253" t="str">
        <f t="shared" si="11"/>
        <v/>
      </c>
      <c r="K288" s="254" t="b">
        <f t="shared" si="12"/>
        <v>0</v>
      </c>
    </row>
    <row r="289" spans="1:11" ht="11.25" customHeight="1">
      <c r="A289" s="250">
        <v>63</v>
      </c>
      <c r="B289" s="250" t="s">
        <v>1145</v>
      </c>
      <c r="C289" s="250" t="s">
        <v>1769</v>
      </c>
      <c r="D289" s="250">
        <v>20555</v>
      </c>
      <c r="E289" s="250" t="s">
        <v>505</v>
      </c>
      <c r="F289" s="250">
        <v>16</v>
      </c>
      <c r="G289" s="250" t="s">
        <v>1096</v>
      </c>
      <c r="H289" s="253">
        <f t="shared" si="10"/>
        <v>286</v>
      </c>
      <c r="I289" s="253" t="str">
        <f>IF('School Level Expenditures'!$B$2=A289,'School Tables'!H289,"")</f>
        <v/>
      </c>
      <c r="J289" s="253" t="str">
        <f t="shared" si="11"/>
        <v/>
      </c>
      <c r="K289" s="254" t="b">
        <f t="shared" si="12"/>
        <v>0</v>
      </c>
    </row>
    <row r="290" spans="1:11" ht="11.25" customHeight="1">
      <c r="A290" s="250">
        <v>279</v>
      </c>
      <c r="B290" s="250" t="s">
        <v>1236</v>
      </c>
      <c r="C290" s="250" t="s">
        <v>1770</v>
      </c>
      <c r="D290" s="250">
        <v>21170</v>
      </c>
      <c r="E290" s="250" t="s">
        <v>505</v>
      </c>
      <c r="F290" s="250">
        <v>29</v>
      </c>
      <c r="G290" s="250" t="s">
        <v>1187</v>
      </c>
      <c r="H290" s="253">
        <f t="shared" si="10"/>
        <v>287</v>
      </c>
      <c r="I290" s="253" t="str">
        <f>IF('School Level Expenditures'!$B$2=A290,'School Tables'!H290,"")</f>
        <v/>
      </c>
      <c r="J290" s="253" t="str">
        <f t="shared" si="11"/>
        <v/>
      </c>
      <c r="K290" s="254" t="b">
        <f t="shared" si="12"/>
        <v>0</v>
      </c>
    </row>
    <row r="291" spans="1:11" ht="11.25" customHeight="1">
      <c r="A291" s="250">
        <v>112</v>
      </c>
      <c r="B291" s="250" t="s">
        <v>1086</v>
      </c>
      <c r="C291" s="250" t="s">
        <v>1771</v>
      </c>
      <c r="D291" s="250">
        <v>22330</v>
      </c>
      <c r="E291" s="250" t="s">
        <v>505</v>
      </c>
      <c r="F291" s="250">
        <v>1</v>
      </c>
      <c r="G291" s="250" t="s">
        <v>1088</v>
      </c>
      <c r="H291" s="253">
        <f t="shared" si="10"/>
        <v>288</v>
      </c>
      <c r="I291" s="253" t="str">
        <f>IF('School Level Expenditures'!$B$2=A291,'School Tables'!H291,"")</f>
        <v/>
      </c>
      <c r="J291" s="253" t="str">
        <f t="shared" si="11"/>
        <v/>
      </c>
      <c r="K291" s="254" t="b">
        <f t="shared" si="12"/>
        <v>0</v>
      </c>
    </row>
    <row r="292" spans="1:11" ht="11.25" customHeight="1">
      <c r="A292" s="250">
        <v>731</v>
      </c>
      <c r="B292" s="250" t="s">
        <v>1664</v>
      </c>
      <c r="C292" s="250" t="s">
        <v>1772</v>
      </c>
      <c r="D292" s="250">
        <v>29055</v>
      </c>
      <c r="E292" s="250" t="s">
        <v>505</v>
      </c>
      <c r="F292" s="250">
        <v>417</v>
      </c>
      <c r="G292" s="250" t="s">
        <v>1664</v>
      </c>
      <c r="H292" s="253">
        <f t="shared" si="10"/>
        <v>289</v>
      </c>
      <c r="I292" s="253" t="str">
        <f>IF('School Level Expenditures'!$B$2=A292,'School Tables'!H292,"")</f>
        <v/>
      </c>
      <c r="J292" s="253" t="str">
        <f t="shared" si="11"/>
        <v/>
      </c>
      <c r="K292" s="254" t="b">
        <f t="shared" si="12"/>
        <v>0</v>
      </c>
    </row>
    <row r="293" spans="1:11" ht="11.25" customHeight="1">
      <c r="A293" s="250">
        <v>741</v>
      </c>
      <c r="B293" s="250" t="s">
        <v>1496</v>
      </c>
      <c r="C293" s="250" t="s">
        <v>1773</v>
      </c>
      <c r="D293" s="250">
        <v>29150</v>
      </c>
      <c r="E293" s="250" t="s">
        <v>505</v>
      </c>
      <c r="F293" s="250">
        <v>423</v>
      </c>
      <c r="G293" s="250" t="s">
        <v>1496</v>
      </c>
      <c r="H293" s="253">
        <f t="shared" si="10"/>
        <v>290</v>
      </c>
      <c r="I293" s="253" t="str">
        <f>IF('School Level Expenditures'!$B$2=A293,'School Tables'!H293,"")</f>
        <v/>
      </c>
      <c r="J293" s="253" t="str">
        <f t="shared" si="11"/>
        <v/>
      </c>
      <c r="K293" s="254" t="b">
        <f t="shared" si="12"/>
        <v>0</v>
      </c>
    </row>
    <row r="294" spans="1:11" ht="11.25" customHeight="1">
      <c r="A294" s="250">
        <v>531</v>
      </c>
      <c r="B294" s="250" t="s">
        <v>1666</v>
      </c>
      <c r="C294" s="250" t="s">
        <v>1774</v>
      </c>
      <c r="D294" s="250">
        <v>22380</v>
      </c>
      <c r="E294" s="250" t="s">
        <v>505</v>
      </c>
      <c r="F294" s="250">
        <v>48</v>
      </c>
      <c r="G294" s="250" t="s">
        <v>1158</v>
      </c>
      <c r="H294" s="253">
        <f t="shared" si="10"/>
        <v>291</v>
      </c>
      <c r="I294" s="253" t="str">
        <f>IF('School Level Expenditures'!$B$2=A294,'School Tables'!H294,"")</f>
        <v/>
      </c>
      <c r="J294" s="253" t="str">
        <f t="shared" si="11"/>
        <v/>
      </c>
      <c r="K294" s="254" t="b">
        <f t="shared" si="12"/>
        <v>0</v>
      </c>
    </row>
    <row r="295" spans="1:11" ht="11.25" customHeight="1">
      <c r="A295" s="250">
        <v>351</v>
      </c>
      <c r="B295" s="250" t="s">
        <v>1289</v>
      </c>
      <c r="C295" s="250" t="s">
        <v>1775</v>
      </c>
      <c r="D295" s="250">
        <v>21035</v>
      </c>
      <c r="E295" s="250" t="s">
        <v>505</v>
      </c>
      <c r="F295" s="250">
        <v>26</v>
      </c>
      <c r="G295" s="250" t="s">
        <v>1291</v>
      </c>
      <c r="H295" s="253">
        <f t="shared" si="10"/>
        <v>292</v>
      </c>
      <c r="I295" s="253" t="str">
        <f>IF('School Level Expenditures'!$B$2=A295,'School Tables'!H295,"")</f>
        <v/>
      </c>
      <c r="J295" s="253" t="str">
        <f t="shared" si="11"/>
        <v/>
      </c>
      <c r="K295" s="254" t="b">
        <f t="shared" si="12"/>
        <v>0</v>
      </c>
    </row>
    <row r="296" spans="1:11" ht="11.25" customHeight="1">
      <c r="A296" s="250">
        <v>427</v>
      </c>
      <c r="B296" s="250" t="s">
        <v>1441</v>
      </c>
      <c r="C296" s="250" t="s">
        <v>1776</v>
      </c>
      <c r="D296" s="250">
        <v>26925</v>
      </c>
      <c r="E296" s="250" t="s">
        <v>505</v>
      </c>
      <c r="F296" s="250">
        <v>53</v>
      </c>
      <c r="G296" s="250" t="s">
        <v>1035</v>
      </c>
      <c r="H296" s="253">
        <f t="shared" si="10"/>
        <v>293</v>
      </c>
      <c r="I296" s="253" t="str">
        <f>IF('School Level Expenditures'!$B$2=A296,'School Tables'!H296,"")</f>
        <v/>
      </c>
      <c r="J296" s="253" t="str">
        <f t="shared" si="11"/>
        <v/>
      </c>
      <c r="K296" s="254" t="b">
        <f t="shared" si="12"/>
        <v>0</v>
      </c>
    </row>
    <row r="297" spans="1:11" ht="11.25" customHeight="1">
      <c r="A297" s="250">
        <v>363</v>
      </c>
      <c r="B297" s="250" t="s">
        <v>1308</v>
      </c>
      <c r="C297" s="250" t="s">
        <v>1777</v>
      </c>
      <c r="D297" s="250">
        <v>21725</v>
      </c>
      <c r="E297" s="250" t="s">
        <v>505</v>
      </c>
      <c r="F297" s="250">
        <v>93</v>
      </c>
      <c r="G297" s="250" t="s">
        <v>1310</v>
      </c>
      <c r="H297" s="253">
        <f t="shared" si="10"/>
        <v>294</v>
      </c>
      <c r="I297" s="253" t="str">
        <f>IF('School Level Expenditures'!$B$2=A297,'School Tables'!H297,"")</f>
        <v/>
      </c>
      <c r="J297" s="253" t="str">
        <f t="shared" si="11"/>
        <v/>
      </c>
      <c r="K297" s="254" t="b">
        <f t="shared" si="12"/>
        <v>0</v>
      </c>
    </row>
    <row r="298" spans="1:11" ht="11.25" customHeight="1">
      <c r="A298" s="250">
        <v>208</v>
      </c>
      <c r="B298" s="250" t="s">
        <v>1240</v>
      </c>
      <c r="C298" s="250" t="s">
        <v>1778</v>
      </c>
      <c r="D298" s="250">
        <v>22410</v>
      </c>
      <c r="E298" s="250" t="s">
        <v>505</v>
      </c>
      <c r="F298" s="250">
        <v>49</v>
      </c>
      <c r="G298" s="250" t="s">
        <v>1242</v>
      </c>
      <c r="H298" s="253">
        <f t="shared" si="10"/>
        <v>295</v>
      </c>
      <c r="I298" s="253" t="str">
        <f>IF('School Level Expenditures'!$B$2=A298,'School Tables'!H298,"")</f>
        <v/>
      </c>
      <c r="J298" s="253" t="str">
        <f t="shared" si="11"/>
        <v/>
      </c>
      <c r="K298" s="254" t="b">
        <f t="shared" si="12"/>
        <v>0</v>
      </c>
    </row>
    <row r="299" spans="1:11" ht="11.25" customHeight="1">
      <c r="A299" s="250">
        <v>582</v>
      </c>
      <c r="B299" s="250" t="s">
        <v>1438</v>
      </c>
      <c r="C299" s="250" t="s">
        <v>1779</v>
      </c>
      <c r="D299" s="250">
        <v>22945</v>
      </c>
      <c r="E299" s="250" t="s">
        <v>505</v>
      </c>
      <c r="F299" s="250">
        <v>59</v>
      </c>
      <c r="G299" s="250" t="s">
        <v>1440</v>
      </c>
      <c r="H299" s="253">
        <f t="shared" si="10"/>
        <v>296</v>
      </c>
      <c r="I299" s="253" t="str">
        <f>IF('School Level Expenditures'!$B$2=A299,'School Tables'!H299,"")</f>
        <v/>
      </c>
      <c r="J299" s="253" t="str">
        <f t="shared" si="11"/>
        <v/>
      </c>
      <c r="K299" s="254" t="b">
        <f t="shared" si="12"/>
        <v>0</v>
      </c>
    </row>
    <row r="300" spans="1:11" ht="11.25" customHeight="1">
      <c r="A300" s="250">
        <v>539</v>
      </c>
      <c r="B300" s="250" t="s">
        <v>1669</v>
      </c>
      <c r="C300" s="250" t="s">
        <v>1780</v>
      </c>
      <c r="D300" s="250">
        <v>20180</v>
      </c>
      <c r="E300" s="250" t="s">
        <v>505</v>
      </c>
      <c r="F300" s="250">
        <v>6</v>
      </c>
      <c r="G300" s="250" t="s">
        <v>1091</v>
      </c>
      <c r="H300" s="253">
        <f t="shared" si="10"/>
        <v>297</v>
      </c>
      <c r="I300" s="253" t="str">
        <f>IF('School Level Expenditures'!$B$2=A300,'School Tables'!H300,"")</f>
        <v/>
      </c>
      <c r="J300" s="253" t="str">
        <f t="shared" si="11"/>
        <v/>
      </c>
      <c r="K300" s="254" t="b">
        <f t="shared" si="12"/>
        <v>0</v>
      </c>
    </row>
    <row r="301" spans="1:11" ht="11.25" customHeight="1">
      <c r="A301" s="250">
        <v>175</v>
      </c>
      <c r="B301" s="250" t="s">
        <v>1161</v>
      </c>
      <c r="C301" s="250" t="s">
        <v>1781</v>
      </c>
      <c r="D301" s="250">
        <v>27980</v>
      </c>
      <c r="E301" s="250" t="s">
        <v>505</v>
      </c>
      <c r="F301" s="250">
        <v>61</v>
      </c>
      <c r="G301" s="250" t="s">
        <v>1163</v>
      </c>
      <c r="H301" s="253">
        <f t="shared" si="10"/>
        <v>298</v>
      </c>
      <c r="I301" s="253" t="str">
        <f>IF('School Level Expenditures'!$B$2=A301,'School Tables'!H301,"")</f>
        <v/>
      </c>
      <c r="J301" s="253" t="str">
        <f t="shared" si="11"/>
        <v/>
      </c>
      <c r="K301" s="254" t="b">
        <f t="shared" si="12"/>
        <v>0</v>
      </c>
    </row>
    <row r="302" spans="1:11" ht="11.25" customHeight="1">
      <c r="A302" s="250">
        <v>174</v>
      </c>
      <c r="B302" s="250" t="s">
        <v>1027</v>
      </c>
      <c r="C302" s="250" t="s">
        <v>1782</v>
      </c>
      <c r="D302" s="250">
        <v>22970</v>
      </c>
      <c r="E302" s="250" t="s">
        <v>505</v>
      </c>
      <c r="F302" s="250">
        <v>60</v>
      </c>
      <c r="G302" s="250" t="s">
        <v>1029</v>
      </c>
      <c r="H302" s="253">
        <f t="shared" si="10"/>
        <v>299</v>
      </c>
      <c r="I302" s="253" t="str">
        <f>IF('School Level Expenditures'!$B$2=A302,'School Tables'!H302,"")</f>
        <v/>
      </c>
      <c r="J302" s="253" t="str">
        <f t="shared" si="11"/>
        <v/>
      </c>
      <c r="K302" s="254" t="b">
        <f t="shared" si="12"/>
        <v>0</v>
      </c>
    </row>
    <row r="303" spans="1:11" ht="11.25" customHeight="1">
      <c r="A303" s="250">
        <v>727</v>
      </c>
      <c r="B303" s="250" t="s">
        <v>1501</v>
      </c>
      <c r="C303" s="250" t="s">
        <v>1783</v>
      </c>
      <c r="D303" s="250">
        <v>28650</v>
      </c>
      <c r="E303" s="250" t="s">
        <v>505</v>
      </c>
      <c r="F303" s="250">
        <v>412</v>
      </c>
      <c r="G303" s="250" t="s">
        <v>1501</v>
      </c>
      <c r="H303" s="253">
        <f t="shared" si="10"/>
        <v>300</v>
      </c>
      <c r="I303" s="253" t="str">
        <f>IF('School Level Expenditures'!$B$2=A303,'School Tables'!H303,"")</f>
        <v/>
      </c>
      <c r="J303" s="253" t="str">
        <f t="shared" si="11"/>
        <v/>
      </c>
      <c r="K303" s="254" t="b">
        <f t="shared" si="12"/>
        <v>0</v>
      </c>
    </row>
    <row r="304" spans="1:11" ht="11.25" customHeight="1">
      <c r="A304" s="250">
        <v>174</v>
      </c>
      <c r="B304" s="250" t="s">
        <v>1027</v>
      </c>
      <c r="C304" s="250" t="s">
        <v>1784</v>
      </c>
      <c r="D304" s="250">
        <v>23015</v>
      </c>
      <c r="E304" s="250" t="s">
        <v>505</v>
      </c>
      <c r="F304" s="250">
        <v>60</v>
      </c>
      <c r="G304" s="250" t="s">
        <v>1029</v>
      </c>
      <c r="H304" s="253">
        <f t="shared" si="10"/>
        <v>301</v>
      </c>
      <c r="I304" s="253" t="str">
        <f>IF('School Level Expenditures'!$B$2=A304,'School Tables'!H304,"")</f>
        <v/>
      </c>
      <c r="J304" s="253" t="str">
        <f t="shared" si="11"/>
        <v/>
      </c>
      <c r="K304" s="254" t="b">
        <f t="shared" si="12"/>
        <v>0</v>
      </c>
    </row>
    <row r="305" spans="1:11" ht="11.25" customHeight="1">
      <c r="A305" s="250">
        <v>174</v>
      </c>
      <c r="B305" s="250" t="s">
        <v>1027</v>
      </c>
      <c r="C305" s="250" t="s">
        <v>1785</v>
      </c>
      <c r="D305" s="250">
        <v>23010</v>
      </c>
      <c r="E305" s="250" t="s">
        <v>505</v>
      </c>
      <c r="F305" s="250">
        <v>60</v>
      </c>
      <c r="G305" s="250" t="s">
        <v>1029</v>
      </c>
      <c r="H305" s="253">
        <f t="shared" si="10"/>
        <v>302</v>
      </c>
      <c r="I305" s="253" t="str">
        <f>IF('School Level Expenditures'!$B$2=A305,'School Tables'!H305,"")</f>
        <v/>
      </c>
      <c r="J305" s="253" t="str">
        <f t="shared" si="11"/>
        <v/>
      </c>
      <c r="K305" s="254" t="b">
        <f t="shared" si="12"/>
        <v>0</v>
      </c>
    </row>
    <row r="306" spans="1:11" ht="11.25" customHeight="1">
      <c r="A306" s="250">
        <v>549</v>
      </c>
      <c r="B306" s="250" t="s">
        <v>1674</v>
      </c>
      <c r="C306" s="250" t="s">
        <v>1786</v>
      </c>
      <c r="D306" s="250">
        <v>20900</v>
      </c>
      <c r="E306" s="250" t="s">
        <v>505</v>
      </c>
      <c r="F306" s="250">
        <v>23</v>
      </c>
      <c r="G306" s="250" t="s">
        <v>1107</v>
      </c>
      <c r="H306" s="253">
        <f t="shared" si="10"/>
        <v>303</v>
      </c>
      <c r="I306" s="253" t="str">
        <f>IF('School Level Expenditures'!$B$2=A306,'School Tables'!H306,"")</f>
        <v/>
      </c>
      <c r="J306" s="253" t="str">
        <f t="shared" si="11"/>
        <v/>
      </c>
      <c r="K306" s="254" t="b">
        <f t="shared" si="12"/>
        <v>0</v>
      </c>
    </row>
    <row r="307" spans="1:11" ht="11.25" customHeight="1">
      <c r="A307" s="250">
        <v>551</v>
      </c>
      <c r="B307" s="250" t="s">
        <v>1676</v>
      </c>
      <c r="C307" s="250" t="s">
        <v>1787</v>
      </c>
      <c r="D307" s="250">
        <v>20985</v>
      </c>
      <c r="E307" s="250" t="s">
        <v>505</v>
      </c>
      <c r="F307" s="250">
        <v>34</v>
      </c>
      <c r="G307" s="250" t="s">
        <v>1191</v>
      </c>
      <c r="H307" s="253">
        <f t="shared" si="10"/>
        <v>304</v>
      </c>
      <c r="I307" s="253" t="str">
        <f>IF('School Level Expenditures'!$B$2=A307,'School Tables'!H307,"")</f>
        <v/>
      </c>
      <c r="J307" s="253" t="str">
        <f t="shared" si="11"/>
        <v/>
      </c>
      <c r="K307" s="254" t="b">
        <f t="shared" si="12"/>
        <v>0</v>
      </c>
    </row>
    <row r="308" spans="1:11" ht="11.25" customHeight="1">
      <c r="A308" s="250">
        <v>553</v>
      </c>
      <c r="B308" s="250" t="s">
        <v>1678</v>
      </c>
      <c r="C308" s="250" t="s">
        <v>1788</v>
      </c>
      <c r="D308" s="250">
        <v>22385</v>
      </c>
      <c r="E308" s="250" t="s">
        <v>505</v>
      </c>
      <c r="F308" s="250">
        <v>48</v>
      </c>
      <c r="G308" s="250" t="s">
        <v>1158</v>
      </c>
      <c r="H308" s="253">
        <f t="shared" si="10"/>
        <v>305</v>
      </c>
      <c r="I308" s="253" t="str">
        <f>IF('School Level Expenditures'!$B$2=A308,'School Tables'!H308,"")</f>
        <v/>
      </c>
      <c r="J308" s="253" t="str">
        <f t="shared" si="11"/>
        <v/>
      </c>
      <c r="K308" s="254" t="b">
        <f t="shared" si="12"/>
        <v>0</v>
      </c>
    </row>
    <row r="309" spans="1:11" ht="11.25" customHeight="1">
      <c r="A309" s="250">
        <v>352</v>
      </c>
      <c r="B309" s="250" t="s">
        <v>1207</v>
      </c>
      <c r="C309" s="250" t="s">
        <v>1789</v>
      </c>
      <c r="D309" s="250">
        <v>22205</v>
      </c>
      <c r="E309" s="250" t="s">
        <v>505</v>
      </c>
      <c r="F309" s="250">
        <v>46</v>
      </c>
      <c r="G309" s="250" t="s">
        <v>1060</v>
      </c>
      <c r="H309" s="253">
        <f t="shared" si="10"/>
        <v>306</v>
      </c>
      <c r="I309" s="253" t="str">
        <f>IF('School Level Expenditures'!$B$2=A309,'School Tables'!H309,"")</f>
        <v/>
      </c>
      <c r="J309" s="253" t="str">
        <f t="shared" si="11"/>
        <v/>
      </c>
      <c r="K309" s="254" t="b">
        <f t="shared" si="12"/>
        <v>0</v>
      </c>
    </row>
    <row r="310" spans="1:11" ht="11.25" customHeight="1">
      <c r="A310" s="250">
        <v>335</v>
      </c>
      <c r="B310" s="250" t="s">
        <v>1123</v>
      </c>
      <c r="C310" s="250" t="s">
        <v>1790</v>
      </c>
      <c r="D310" s="250">
        <v>21635</v>
      </c>
      <c r="E310" s="250" t="s">
        <v>505</v>
      </c>
      <c r="F310" s="250">
        <v>37</v>
      </c>
      <c r="G310" s="250" t="s">
        <v>1125</v>
      </c>
      <c r="H310" s="253">
        <f t="shared" si="10"/>
        <v>307</v>
      </c>
      <c r="I310" s="253" t="str">
        <f>IF('School Level Expenditures'!$B$2=A310,'School Tables'!H310,"")</f>
        <v/>
      </c>
      <c r="J310" s="253" t="str">
        <f t="shared" si="11"/>
        <v/>
      </c>
      <c r="K310" s="254" t="b">
        <f t="shared" si="12"/>
        <v>0</v>
      </c>
    </row>
    <row r="311" spans="1:11" ht="11.25" customHeight="1">
      <c r="A311" s="250">
        <v>235</v>
      </c>
      <c r="B311" s="250" t="s">
        <v>1453</v>
      </c>
      <c r="C311" s="250" t="s">
        <v>1791</v>
      </c>
      <c r="D311" s="250">
        <v>21155</v>
      </c>
      <c r="E311" s="250" t="s">
        <v>505</v>
      </c>
      <c r="F311" s="250">
        <v>29</v>
      </c>
      <c r="G311" s="250" t="s">
        <v>1187</v>
      </c>
      <c r="H311" s="253">
        <f t="shared" si="10"/>
        <v>308</v>
      </c>
      <c r="I311" s="253" t="str">
        <f>IF('School Level Expenditures'!$B$2=A311,'School Tables'!H311,"")</f>
        <v/>
      </c>
      <c r="J311" s="253" t="str">
        <f t="shared" si="11"/>
        <v/>
      </c>
      <c r="K311" s="254" t="b">
        <f t="shared" si="12"/>
        <v>0</v>
      </c>
    </row>
    <row r="312" spans="1:11" ht="11.25" customHeight="1">
      <c r="A312" s="250">
        <v>559</v>
      </c>
      <c r="B312" s="250" t="s">
        <v>1681</v>
      </c>
      <c r="C312" s="250" t="s">
        <v>1792</v>
      </c>
      <c r="D312" s="250">
        <v>22390</v>
      </c>
      <c r="E312" s="250" t="s">
        <v>505</v>
      </c>
      <c r="F312" s="250">
        <v>48</v>
      </c>
      <c r="G312" s="250" t="s">
        <v>1158</v>
      </c>
      <c r="H312" s="253">
        <f t="shared" si="10"/>
        <v>309</v>
      </c>
      <c r="I312" s="253" t="str">
        <f>IF('School Level Expenditures'!$B$2=A312,'School Tables'!H312,"")</f>
        <v/>
      </c>
      <c r="J312" s="253" t="str">
        <f t="shared" si="11"/>
        <v/>
      </c>
      <c r="K312" s="254" t="b">
        <f t="shared" si="12"/>
        <v>0</v>
      </c>
    </row>
    <row r="313" spans="1:11" ht="11.25" customHeight="1">
      <c r="A313" s="250">
        <v>563</v>
      </c>
      <c r="B313" s="250" t="s">
        <v>1683</v>
      </c>
      <c r="C313" s="250" t="s">
        <v>1793</v>
      </c>
      <c r="D313" s="250">
        <v>21230</v>
      </c>
      <c r="E313" s="250" t="s">
        <v>505</v>
      </c>
      <c r="F313" s="250">
        <v>29</v>
      </c>
      <c r="G313" s="250" t="s">
        <v>1187</v>
      </c>
      <c r="H313" s="253">
        <f t="shared" si="10"/>
        <v>310</v>
      </c>
      <c r="I313" s="253" t="str">
        <f>IF('School Level Expenditures'!$B$2=A313,'School Tables'!H313,"")</f>
        <v/>
      </c>
      <c r="J313" s="253" t="str">
        <f t="shared" si="11"/>
        <v/>
      </c>
      <c r="K313" s="254" t="b">
        <f t="shared" si="12"/>
        <v>0</v>
      </c>
    </row>
    <row r="314" spans="1:11" ht="11.25" customHeight="1">
      <c r="A314" s="250">
        <v>335</v>
      </c>
      <c r="B314" s="250" t="s">
        <v>1123</v>
      </c>
      <c r="C314" s="250" t="s">
        <v>1794</v>
      </c>
      <c r="D314" s="250">
        <v>21515</v>
      </c>
      <c r="E314" s="250" t="s">
        <v>505</v>
      </c>
      <c r="F314" s="250">
        <v>37</v>
      </c>
      <c r="G314" s="250" t="s">
        <v>1125</v>
      </c>
      <c r="H314" s="253">
        <f t="shared" si="10"/>
        <v>311</v>
      </c>
      <c r="I314" s="253" t="str">
        <f>IF('School Level Expenditures'!$B$2=A314,'School Tables'!H314,"")</f>
        <v/>
      </c>
      <c r="J314" s="253" t="str">
        <f t="shared" si="11"/>
        <v/>
      </c>
      <c r="K314" s="254" t="b">
        <f t="shared" si="12"/>
        <v>0</v>
      </c>
    </row>
    <row r="315" spans="1:11" ht="11.25" customHeight="1">
      <c r="A315" s="250">
        <v>279</v>
      </c>
      <c r="B315" s="250" t="s">
        <v>1236</v>
      </c>
      <c r="C315" s="250" t="s">
        <v>1795</v>
      </c>
      <c r="D315" s="250">
        <v>21200</v>
      </c>
      <c r="E315" s="250" t="s">
        <v>505</v>
      </c>
      <c r="F315" s="250">
        <v>29</v>
      </c>
      <c r="G315" s="250" t="s">
        <v>1187</v>
      </c>
      <c r="H315" s="253">
        <f t="shared" si="10"/>
        <v>312</v>
      </c>
      <c r="I315" s="253" t="str">
        <f>IF('School Level Expenditures'!$B$2=A315,'School Tables'!H315,"")</f>
        <v/>
      </c>
      <c r="J315" s="253" t="str">
        <f t="shared" si="11"/>
        <v/>
      </c>
      <c r="K315" s="254" t="b">
        <f t="shared" si="12"/>
        <v>0</v>
      </c>
    </row>
    <row r="316" spans="1:11" ht="11.25" customHeight="1">
      <c r="A316" s="250">
        <v>568</v>
      </c>
      <c r="B316" s="250" t="s">
        <v>1504</v>
      </c>
      <c r="C316" s="250" t="s">
        <v>1796</v>
      </c>
      <c r="D316" s="250">
        <v>26930</v>
      </c>
      <c r="E316" s="250" t="s">
        <v>505</v>
      </c>
      <c r="F316" s="250">
        <v>36</v>
      </c>
      <c r="G316" s="250" t="s">
        <v>1506</v>
      </c>
      <c r="H316" s="253">
        <f t="shared" si="10"/>
        <v>313</v>
      </c>
      <c r="I316" s="253" t="str">
        <f>IF('School Level Expenditures'!$B$2=A316,'School Tables'!H316,"")</f>
        <v/>
      </c>
      <c r="J316" s="253" t="str">
        <f t="shared" si="11"/>
        <v/>
      </c>
      <c r="K316" s="254" t="b">
        <f t="shared" si="12"/>
        <v>0</v>
      </c>
    </row>
    <row r="317" spans="1:11" ht="11.25" customHeight="1">
      <c r="A317" s="250">
        <v>461</v>
      </c>
      <c r="B317" s="250" t="s">
        <v>1072</v>
      </c>
      <c r="C317" s="250" t="s">
        <v>1797</v>
      </c>
      <c r="D317" s="250">
        <v>22690</v>
      </c>
      <c r="E317" s="250" t="s">
        <v>505</v>
      </c>
      <c r="F317" s="250">
        <v>54</v>
      </c>
      <c r="G317" s="250" t="s">
        <v>1074</v>
      </c>
      <c r="H317" s="253">
        <f t="shared" si="10"/>
        <v>314</v>
      </c>
      <c r="I317" s="253" t="str">
        <f>IF('School Level Expenditures'!$B$2=A317,'School Tables'!H317,"")</f>
        <v/>
      </c>
      <c r="J317" s="253" t="str">
        <f t="shared" si="11"/>
        <v/>
      </c>
      <c r="K317" s="254" t="b">
        <f t="shared" si="12"/>
        <v>0</v>
      </c>
    </row>
    <row r="318" spans="1:11" ht="11.25" customHeight="1">
      <c r="A318" s="250">
        <v>473</v>
      </c>
      <c r="B318" s="250" t="s">
        <v>1408</v>
      </c>
      <c r="C318" s="250" t="s">
        <v>1798</v>
      </c>
      <c r="D318" s="250">
        <v>22860</v>
      </c>
      <c r="E318" s="250" t="s">
        <v>505</v>
      </c>
      <c r="F318" s="250">
        <v>57</v>
      </c>
      <c r="G318" s="250" t="s">
        <v>1410</v>
      </c>
      <c r="H318" s="253">
        <f t="shared" si="10"/>
        <v>315</v>
      </c>
      <c r="I318" s="253" t="str">
        <f>IF('School Level Expenditures'!$B$2=A318,'School Tables'!H318,"")</f>
        <v/>
      </c>
      <c r="J318" s="253" t="str">
        <f t="shared" si="11"/>
        <v/>
      </c>
      <c r="K318" s="254" t="b">
        <f t="shared" si="12"/>
        <v>0</v>
      </c>
    </row>
    <row r="319" spans="1:11" ht="11.25" customHeight="1">
      <c r="A319" s="250">
        <v>473</v>
      </c>
      <c r="B319" s="250" t="s">
        <v>1408</v>
      </c>
      <c r="C319" s="250" t="s">
        <v>1799</v>
      </c>
      <c r="D319" s="250">
        <v>22865</v>
      </c>
      <c r="E319" s="250" t="s">
        <v>505</v>
      </c>
      <c r="F319" s="250">
        <v>57</v>
      </c>
      <c r="G319" s="250" t="s">
        <v>1410</v>
      </c>
      <c r="H319" s="253">
        <f t="shared" si="10"/>
        <v>316</v>
      </c>
      <c r="I319" s="253" t="str">
        <f>IF('School Level Expenditures'!$B$2=A319,'School Tables'!H319,"")</f>
        <v/>
      </c>
      <c r="J319" s="253" t="str">
        <f t="shared" si="11"/>
        <v/>
      </c>
      <c r="K319" s="254" t="b">
        <f t="shared" si="12"/>
        <v>0</v>
      </c>
    </row>
    <row r="320" spans="1:11" ht="11.25" customHeight="1">
      <c r="A320" s="250">
        <v>573</v>
      </c>
      <c r="B320" s="250" t="s">
        <v>1686</v>
      </c>
      <c r="C320" s="250" t="s">
        <v>1800</v>
      </c>
      <c r="D320" s="250">
        <v>21735</v>
      </c>
      <c r="E320" s="250" t="s">
        <v>505</v>
      </c>
      <c r="F320" s="250">
        <v>94</v>
      </c>
      <c r="G320" s="250" t="s">
        <v>1687</v>
      </c>
      <c r="H320" s="253">
        <f t="shared" si="10"/>
        <v>317</v>
      </c>
      <c r="I320" s="253" t="str">
        <f>IF('School Level Expenditures'!$B$2=A320,'School Tables'!H320,"")</f>
        <v/>
      </c>
      <c r="J320" s="253" t="str">
        <f t="shared" si="11"/>
        <v/>
      </c>
      <c r="K320" s="254" t="b">
        <f t="shared" si="12"/>
        <v>0</v>
      </c>
    </row>
    <row r="321" spans="1:11" ht="11.25" customHeight="1">
      <c r="A321" s="250">
        <v>712</v>
      </c>
      <c r="B321" s="250" t="s">
        <v>1690</v>
      </c>
      <c r="C321" s="250" t="s">
        <v>1690</v>
      </c>
      <c r="D321" s="250">
        <v>29193</v>
      </c>
      <c r="E321" s="250" t="s">
        <v>505</v>
      </c>
      <c r="F321" s="250">
        <v>434</v>
      </c>
      <c r="G321" s="250" t="s">
        <v>1690</v>
      </c>
      <c r="H321" s="253">
        <f t="shared" si="10"/>
        <v>318</v>
      </c>
      <c r="I321" s="253" t="str">
        <f>IF('School Level Expenditures'!$B$2=A321,'School Tables'!H321,"")</f>
        <v/>
      </c>
      <c r="J321" s="253" t="str">
        <f t="shared" si="11"/>
        <v/>
      </c>
      <c r="K321" s="254" t="b">
        <f t="shared" si="12"/>
        <v>0</v>
      </c>
    </row>
    <row r="322" spans="1:11" ht="11.25" customHeight="1">
      <c r="A322" s="250">
        <v>575</v>
      </c>
      <c r="B322" s="250" t="s">
        <v>1431</v>
      </c>
      <c r="C322" s="250" t="s">
        <v>1801</v>
      </c>
      <c r="D322" s="250">
        <v>21135</v>
      </c>
      <c r="E322" s="250" t="s">
        <v>505</v>
      </c>
      <c r="F322" s="250">
        <v>95</v>
      </c>
      <c r="G322" s="250" t="s">
        <v>1433</v>
      </c>
      <c r="H322" s="253">
        <f t="shared" si="10"/>
        <v>319</v>
      </c>
      <c r="I322" s="253" t="str">
        <f>IF('School Level Expenditures'!$B$2=A322,'School Tables'!H322,"")</f>
        <v/>
      </c>
      <c r="J322" s="253" t="str">
        <f t="shared" si="11"/>
        <v/>
      </c>
      <c r="K322" s="254" t="b">
        <f t="shared" si="12"/>
        <v>0</v>
      </c>
    </row>
    <row r="323" spans="1:11" ht="11.25" customHeight="1">
      <c r="A323" s="250">
        <v>285</v>
      </c>
      <c r="B323" s="250" t="s">
        <v>1258</v>
      </c>
      <c r="C323" s="250" t="s">
        <v>1802</v>
      </c>
      <c r="D323" s="250">
        <v>21285</v>
      </c>
      <c r="E323" s="250" t="s">
        <v>505</v>
      </c>
      <c r="F323" s="250">
        <v>30</v>
      </c>
      <c r="G323" s="250" t="s">
        <v>1260</v>
      </c>
      <c r="H323" s="253">
        <f t="shared" si="10"/>
        <v>320</v>
      </c>
      <c r="I323" s="253" t="str">
        <f>IF('School Level Expenditures'!$B$2=A323,'School Tables'!H323,"")</f>
        <v/>
      </c>
      <c r="J323" s="253" t="str">
        <f t="shared" si="11"/>
        <v/>
      </c>
      <c r="K323" s="254" t="b">
        <f t="shared" si="12"/>
        <v>0</v>
      </c>
    </row>
    <row r="324" spans="1:11" ht="11.25" customHeight="1">
      <c r="A324" s="250">
        <v>141</v>
      </c>
      <c r="B324" s="250" t="s">
        <v>1116</v>
      </c>
      <c r="C324" s="250" t="s">
        <v>1803</v>
      </c>
      <c r="D324" s="250">
        <v>20460</v>
      </c>
      <c r="E324" s="250" t="s">
        <v>505</v>
      </c>
      <c r="F324" s="250">
        <v>11</v>
      </c>
      <c r="G324" s="250" t="s">
        <v>1118</v>
      </c>
      <c r="H324" s="253">
        <f t="shared" si="10"/>
        <v>321</v>
      </c>
      <c r="I324" s="253" t="str">
        <f>IF('School Level Expenditures'!$B$2=A324,'School Tables'!H324,"")</f>
        <v/>
      </c>
      <c r="J324" s="253" t="str">
        <f t="shared" si="11"/>
        <v/>
      </c>
      <c r="K324" s="254" t="b">
        <f t="shared" si="12"/>
        <v>0</v>
      </c>
    </row>
    <row r="325" spans="1:11" ht="11.25" customHeight="1">
      <c r="A325" s="250">
        <v>238</v>
      </c>
      <c r="B325" s="250" t="s">
        <v>1174</v>
      </c>
      <c r="C325" s="250" t="s">
        <v>1804</v>
      </c>
      <c r="D325" s="250">
        <v>20905</v>
      </c>
      <c r="E325" s="250" t="s">
        <v>505</v>
      </c>
      <c r="F325" s="250">
        <v>23</v>
      </c>
      <c r="G325" s="250" t="s">
        <v>1107</v>
      </c>
      <c r="H325" s="253">
        <f t="shared" si="10"/>
        <v>322</v>
      </c>
      <c r="I325" s="253" t="str">
        <f>IF('School Level Expenditures'!$B$2=A325,'School Tables'!H325,"")</f>
        <v/>
      </c>
      <c r="J325" s="253" t="str">
        <f t="shared" si="11"/>
        <v/>
      </c>
      <c r="K325" s="254" t="b">
        <f t="shared" si="12"/>
        <v>0</v>
      </c>
    </row>
    <row r="326" spans="1:11" ht="11.25" customHeight="1">
      <c r="A326" s="256"/>
      <c r="B326" s="256"/>
      <c r="C326" s="256"/>
      <c r="D326" s="256"/>
      <c r="E326" s="256"/>
      <c r="F326" s="208"/>
    </row>
    <row r="327" spans="1:11" ht="11.25" customHeight="1">
      <c r="A327" s="256"/>
      <c r="B327" s="256"/>
      <c r="C327" s="256"/>
      <c r="D327" s="256"/>
      <c r="E327" s="256"/>
      <c r="F327" s="208"/>
    </row>
    <row r="328" spans="1:11" ht="11.25" customHeight="1">
      <c r="A328" s="256"/>
      <c r="B328" s="256"/>
      <c r="C328" s="256"/>
      <c r="D328" s="256"/>
      <c r="E328" s="256"/>
      <c r="F328" s="208"/>
    </row>
    <row r="329" spans="1:11" ht="11.25" customHeight="1">
      <c r="A329" s="256"/>
      <c r="B329" s="256"/>
      <c r="C329" s="256"/>
      <c r="D329" s="256"/>
      <c r="E329" s="256"/>
      <c r="F329" s="208"/>
    </row>
    <row r="330" spans="1:11" ht="11.25" customHeight="1">
      <c r="A330" s="256"/>
      <c r="B330" s="256"/>
      <c r="C330" s="256"/>
      <c r="D330" s="256"/>
      <c r="E330" s="256"/>
      <c r="F330" s="208"/>
    </row>
    <row r="331" spans="1:11" ht="11.25" customHeight="1">
      <c r="A331" s="256"/>
      <c r="B331" s="256"/>
      <c r="C331" s="256"/>
      <c r="D331" s="256"/>
      <c r="E331" s="256"/>
      <c r="F331" s="208"/>
    </row>
    <row r="332" spans="1:11" ht="11.25" customHeight="1">
      <c r="A332" s="256"/>
      <c r="B332" s="256"/>
      <c r="C332" s="256"/>
      <c r="D332" s="256"/>
      <c r="E332" s="256"/>
      <c r="F332" s="208"/>
    </row>
    <row r="333" spans="1:11" ht="11.25" customHeight="1">
      <c r="A333" s="256"/>
      <c r="B333" s="256"/>
      <c r="C333" s="256"/>
      <c r="D333" s="256"/>
      <c r="E333" s="256"/>
      <c r="F333" s="208"/>
    </row>
    <row r="334" spans="1:11" ht="11.25" customHeight="1">
      <c r="A334" s="256"/>
      <c r="B334" s="256"/>
      <c r="C334" s="256"/>
      <c r="D334" s="256"/>
      <c r="E334" s="256"/>
      <c r="F334" s="208"/>
    </row>
    <row r="335" spans="1:11" ht="11.25" customHeight="1">
      <c r="A335" s="256"/>
      <c r="B335" s="256"/>
      <c r="C335" s="256"/>
      <c r="D335" s="256"/>
      <c r="E335" s="256"/>
      <c r="F335" s="208"/>
    </row>
    <row r="336" spans="1:11" ht="11.25" customHeight="1">
      <c r="A336" s="256"/>
      <c r="B336" s="256"/>
      <c r="C336" s="256"/>
      <c r="D336" s="256"/>
      <c r="E336" s="256"/>
      <c r="F336" s="208"/>
    </row>
    <row r="337" spans="1:6" ht="11.25" customHeight="1">
      <c r="A337" s="256"/>
      <c r="B337" s="256"/>
      <c r="C337" s="256"/>
      <c r="D337" s="256"/>
      <c r="E337" s="256"/>
      <c r="F337" s="208"/>
    </row>
    <row r="338" spans="1:6" ht="11.25" customHeight="1">
      <c r="A338" s="256"/>
      <c r="B338" s="256"/>
      <c r="C338" s="256"/>
      <c r="D338" s="256"/>
      <c r="E338" s="256"/>
      <c r="F338" s="208"/>
    </row>
    <row r="339" spans="1:6" ht="11.25" customHeight="1">
      <c r="A339" s="256"/>
      <c r="B339" s="256"/>
      <c r="C339" s="256"/>
      <c r="D339" s="256"/>
      <c r="E339" s="256"/>
      <c r="F339" s="208"/>
    </row>
    <row r="340" spans="1:6" ht="11.25" customHeight="1">
      <c r="A340" s="256"/>
      <c r="B340" s="256"/>
      <c r="C340" s="256"/>
      <c r="D340" s="256"/>
      <c r="E340" s="256"/>
      <c r="F340" s="208"/>
    </row>
    <row r="341" spans="1:6" ht="11.25" customHeight="1">
      <c r="A341" s="256"/>
      <c r="B341" s="256"/>
      <c r="C341" s="256"/>
      <c r="D341" s="256"/>
      <c r="E341" s="256"/>
      <c r="F341" s="208"/>
    </row>
    <row r="342" spans="1:6" ht="11.25" customHeight="1">
      <c r="A342" s="256"/>
      <c r="B342" s="256"/>
      <c r="C342" s="256"/>
      <c r="D342" s="256"/>
      <c r="E342" s="256"/>
      <c r="F342" s="208"/>
    </row>
    <row r="343" spans="1:6" ht="11.25" customHeight="1">
      <c r="A343" s="256"/>
      <c r="B343" s="256"/>
      <c r="C343" s="256"/>
      <c r="D343" s="256"/>
      <c r="E343" s="256"/>
      <c r="F343" s="208"/>
    </row>
    <row r="344" spans="1:6" ht="11.25" customHeight="1">
      <c r="A344" s="256"/>
      <c r="B344" s="256"/>
      <c r="C344" s="256"/>
      <c r="D344" s="256"/>
      <c r="E344" s="256"/>
      <c r="F344" s="208"/>
    </row>
    <row r="345" spans="1:6" ht="11.25" customHeight="1">
      <c r="A345" s="256"/>
      <c r="B345" s="256"/>
      <c r="C345" s="256"/>
      <c r="D345" s="256"/>
      <c r="E345" s="256"/>
      <c r="F345" s="208"/>
    </row>
    <row r="346" spans="1:6" ht="11.25" customHeight="1">
      <c r="A346" s="256"/>
      <c r="B346" s="256"/>
      <c r="C346" s="256"/>
      <c r="D346" s="256"/>
      <c r="E346" s="256"/>
      <c r="F346" s="208"/>
    </row>
    <row r="347" spans="1:6" ht="11.25" customHeight="1">
      <c r="A347" s="256"/>
      <c r="B347" s="256"/>
      <c r="C347" s="256"/>
      <c r="D347" s="256"/>
      <c r="E347" s="256"/>
      <c r="F347" s="208"/>
    </row>
    <row r="348" spans="1:6" ht="11.25" customHeight="1">
      <c r="A348" s="256"/>
      <c r="B348" s="256"/>
      <c r="C348" s="256"/>
      <c r="D348" s="256"/>
      <c r="E348" s="256"/>
      <c r="F348" s="208"/>
    </row>
    <row r="349" spans="1:6" ht="11.25" customHeight="1">
      <c r="A349" s="256"/>
      <c r="B349" s="256"/>
      <c r="C349" s="256"/>
      <c r="D349" s="256"/>
      <c r="E349" s="256"/>
      <c r="F349" s="208"/>
    </row>
    <row r="350" spans="1:6" ht="11.25" customHeight="1">
      <c r="A350" s="256"/>
      <c r="B350" s="256"/>
      <c r="C350" s="256"/>
      <c r="D350" s="256"/>
      <c r="E350" s="256"/>
      <c r="F350" s="208"/>
    </row>
    <row r="351" spans="1:6" ht="11.25" customHeight="1">
      <c r="A351" s="256"/>
      <c r="B351" s="256"/>
      <c r="C351" s="256"/>
      <c r="D351" s="256"/>
      <c r="E351" s="256"/>
      <c r="F351" s="208"/>
    </row>
    <row r="352" spans="1:6" ht="11.25" customHeight="1">
      <c r="A352" s="256"/>
      <c r="B352" s="256"/>
      <c r="C352" s="256"/>
      <c r="D352" s="256"/>
      <c r="E352" s="256"/>
      <c r="F352" s="208"/>
    </row>
    <row r="353" spans="1:6" ht="11.25" customHeight="1">
      <c r="A353" s="256"/>
      <c r="B353" s="256"/>
      <c r="C353" s="256"/>
      <c r="D353" s="256"/>
      <c r="E353" s="256"/>
      <c r="F353" s="208"/>
    </row>
    <row r="354" spans="1:6" ht="11.25" customHeight="1">
      <c r="A354" s="256"/>
      <c r="B354" s="256"/>
      <c r="C354" s="256"/>
      <c r="D354" s="256"/>
      <c r="E354" s="256"/>
      <c r="F354" s="208"/>
    </row>
    <row r="355" spans="1:6" ht="11.25" customHeight="1">
      <c r="A355" s="256"/>
      <c r="B355" s="256"/>
      <c r="C355" s="256"/>
      <c r="D355" s="256"/>
      <c r="E355" s="256"/>
      <c r="F355" s="208"/>
    </row>
    <row r="356" spans="1:6" ht="11.25" customHeight="1">
      <c r="A356" s="256"/>
      <c r="B356" s="256"/>
      <c r="C356" s="256"/>
      <c r="D356" s="256"/>
      <c r="E356" s="256"/>
      <c r="F356" s="208"/>
    </row>
    <row r="357" spans="1:6" ht="11.25" customHeight="1">
      <c r="A357" s="256"/>
      <c r="B357" s="256"/>
      <c r="C357" s="256"/>
      <c r="D357" s="256"/>
      <c r="E357" s="256"/>
      <c r="F357" s="208"/>
    </row>
    <row r="358" spans="1:6" ht="11.25" customHeight="1">
      <c r="A358" s="256"/>
      <c r="B358" s="256"/>
      <c r="C358" s="256"/>
      <c r="D358" s="256"/>
      <c r="E358" s="256"/>
      <c r="F358" s="208"/>
    </row>
    <row r="359" spans="1:6" ht="11.25" customHeight="1">
      <c r="A359" s="256"/>
      <c r="B359" s="256"/>
      <c r="C359" s="256"/>
      <c r="D359" s="256"/>
      <c r="E359" s="256"/>
      <c r="F359" s="208"/>
    </row>
    <row r="360" spans="1:6" ht="11.25" customHeight="1">
      <c r="A360" s="256"/>
      <c r="B360" s="256"/>
      <c r="C360" s="256"/>
      <c r="D360" s="256"/>
      <c r="E360" s="256"/>
      <c r="F360" s="208"/>
    </row>
    <row r="361" spans="1:6" ht="11.25" customHeight="1">
      <c r="A361" s="256"/>
      <c r="B361" s="256"/>
      <c r="C361" s="256"/>
      <c r="D361" s="256"/>
      <c r="E361" s="256"/>
      <c r="F361" s="208"/>
    </row>
    <row r="362" spans="1:6" ht="11.25" customHeight="1">
      <c r="A362" s="256"/>
      <c r="B362" s="256"/>
      <c r="C362" s="256"/>
      <c r="D362" s="256"/>
      <c r="E362" s="256"/>
      <c r="F362" s="208"/>
    </row>
    <row r="363" spans="1:6" ht="11.25" customHeight="1">
      <c r="A363" s="256"/>
      <c r="B363" s="256"/>
      <c r="C363" s="256"/>
      <c r="D363" s="256"/>
      <c r="E363" s="256"/>
      <c r="F363" s="208"/>
    </row>
    <row r="364" spans="1:6" ht="11.25" customHeight="1">
      <c r="A364" s="256"/>
      <c r="B364" s="256"/>
      <c r="C364" s="256"/>
      <c r="D364" s="256"/>
      <c r="E364" s="256"/>
      <c r="F364" s="208"/>
    </row>
    <row r="365" spans="1:6" ht="11.25" customHeight="1">
      <c r="A365" s="256"/>
      <c r="B365" s="256"/>
      <c r="C365" s="256"/>
      <c r="D365" s="256"/>
      <c r="E365" s="256"/>
      <c r="F365" s="208"/>
    </row>
    <row r="366" spans="1:6" ht="11.25" customHeight="1">
      <c r="A366" s="256"/>
      <c r="B366" s="256"/>
      <c r="C366" s="256"/>
      <c r="D366" s="256"/>
      <c r="E366" s="256"/>
      <c r="F366" s="208"/>
    </row>
    <row r="367" spans="1:6" ht="11.25" customHeight="1">
      <c r="A367" s="256"/>
      <c r="B367" s="256"/>
      <c r="C367" s="256"/>
      <c r="D367" s="256"/>
      <c r="E367" s="256"/>
      <c r="F367" s="208"/>
    </row>
    <row r="368" spans="1:6" ht="11.25" customHeight="1">
      <c r="A368" s="256"/>
      <c r="B368" s="256"/>
      <c r="C368" s="256"/>
      <c r="D368" s="256"/>
      <c r="E368" s="256"/>
      <c r="F368" s="208"/>
    </row>
    <row r="369" spans="1:6" ht="11.25" customHeight="1">
      <c r="A369" s="256"/>
      <c r="B369" s="256"/>
      <c r="C369" s="256"/>
      <c r="D369" s="256"/>
      <c r="E369" s="256"/>
      <c r="F369" s="208"/>
    </row>
    <row r="370" spans="1:6" ht="11.25" customHeight="1">
      <c r="A370" s="256"/>
      <c r="B370" s="256"/>
      <c r="C370" s="256"/>
      <c r="D370" s="256"/>
      <c r="E370" s="256"/>
      <c r="F370" s="208"/>
    </row>
    <row r="371" spans="1:6" ht="11.25" customHeight="1">
      <c r="A371" s="256"/>
      <c r="B371" s="256"/>
      <c r="C371" s="256"/>
      <c r="D371" s="256"/>
      <c r="E371" s="256"/>
      <c r="F371" s="208"/>
    </row>
    <row r="372" spans="1:6" ht="11.25" customHeight="1">
      <c r="A372" s="256"/>
      <c r="B372" s="256"/>
      <c r="C372" s="256"/>
      <c r="D372" s="256"/>
      <c r="E372" s="256"/>
      <c r="F372" s="208"/>
    </row>
    <row r="373" spans="1:6" ht="11.25" customHeight="1">
      <c r="A373" s="256"/>
      <c r="B373" s="256"/>
      <c r="C373" s="256"/>
      <c r="D373" s="256"/>
      <c r="E373" s="256"/>
      <c r="F373" s="208"/>
    </row>
    <row r="374" spans="1:6" ht="11.25" customHeight="1">
      <c r="A374" s="256"/>
      <c r="B374" s="256"/>
      <c r="C374" s="256"/>
      <c r="D374" s="256"/>
      <c r="E374" s="256"/>
      <c r="F374" s="208"/>
    </row>
    <row r="375" spans="1:6" ht="11.25" customHeight="1">
      <c r="A375" s="256"/>
      <c r="B375" s="256"/>
      <c r="C375" s="256"/>
      <c r="D375" s="256"/>
      <c r="E375" s="256"/>
      <c r="F375" s="208"/>
    </row>
    <row r="376" spans="1:6" ht="11.25" customHeight="1">
      <c r="A376" s="256"/>
      <c r="B376" s="256"/>
      <c r="C376" s="256"/>
      <c r="D376" s="256"/>
      <c r="E376" s="256"/>
      <c r="F376" s="208"/>
    </row>
    <row r="377" spans="1:6" ht="11.25" customHeight="1"/>
    <row r="378" spans="1:6" ht="11.25" customHeight="1"/>
    <row r="379" spans="1:6" ht="11.25" customHeight="1"/>
    <row r="380" spans="1:6" ht="11.25" customHeight="1"/>
    <row r="381" spans="1:6" ht="11.25" customHeight="1"/>
    <row r="382" spans="1:6" ht="11.25" customHeight="1"/>
    <row r="383" spans="1:6" ht="11.25" customHeight="1"/>
    <row r="384" spans="1:6"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conditionalFormatting sqref="F3:F376 W3 W100:W125">
    <cfRule type="containsText" dxfId="5" priority="1" operator="containsText" text="TRUE">
      <formula>NOT(ISERROR(SEARCH(("TRUE"),(F3))))</formula>
    </cfRule>
  </conditionalFormatting>
  <conditionalFormatting sqref="O3 O78:O81">
    <cfRule type="containsText" dxfId="4" priority="2" operator="containsText" text="TRUE">
      <formula>NOT(ISERROR(SEARCH(("TRUE"),(O3))))</formula>
    </cfRule>
  </conditionalFormatting>
  <conditionalFormatting sqref="O4:O77">
    <cfRule type="containsText" dxfId="3" priority="3" operator="containsText" text="TRUE">
      <formula>NOT(ISERROR(SEARCH(("TRUE"),(O4))))</formula>
    </cfRule>
  </conditionalFormatting>
  <conditionalFormatting sqref="W4:W99">
    <cfRule type="containsText" dxfId="2" priority="4" operator="containsText" text="TRUE">
      <formula>NOT(ISERROR(SEARCH(("TRUE"),(W4))))</formula>
    </cfRule>
  </conditionalFormatting>
  <conditionalFormatting sqref="K4:K325 AG4:AG99">
    <cfRule type="cellIs" dxfId="1" priority="7" operator="equal">
      <formula>"TRUE"</formula>
    </cfRule>
  </conditionalFormatting>
  <conditionalFormatting sqref="V4:V75">
    <cfRule type="cellIs" dxfId="0" priority="8" operator="equal">
      <formula>"TRUE"</formula>
    </cfRule>
  </conditionalFormatting>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32</vt:i4>
      </vt:variant>
    </vt:vector>
  </HeadingPairs>
  <TitlesOfParts>
    <vt:vector size="42"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M. Leclerc</dc:creator>
  <cp:lastModifiedBy>Leclerc, Ronald</cp:lastModifiedBy>
  <dcterms:created xsi:type="dcterms:W3CDTF">1997-12-04T19:04:30Z</dcterms:created>
  <dcterms:modified xsi:type="dcterms:W3CDTF">2022-09-30T12:03:53Z</dcterms:modified>
</cp:coreProperties>
</file>