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BF1C7A63-CE39-499B-BB68-1378E0C7D7CE}"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10" i="1" l="1"/>
  <c r="F57" i="1"/>
  <c r="F50" i="1" l="1"/>
  <c r="F14" i="13"/>
  <c r="D38" i="14" l="1"/>
  <c r="D26" i="14"/>
  <c r="D10" i="14"/>
  <c r="D9" i="14"/>
  <c r="D8" i="14"/>
  <c r="D7" i="14"/>
  <c r="D6" i="14"/>
  <c r="E10" i="14"/>
  <c r="E9" i="14"/>
  <c r="E8" i="14"/>
  <c r="E7" i="14"/>
  <c r="E6" i="14"/>
  <c r="B19" i="12"/>
  <c r="E9" i="17"/>
  <c r="J605" i="1"/>
  <c r="I605" i="1"/>
  <c r="H605" i="1"/>
  <c r="J598" i="1"/>
  <c r="I598" i="1"/>
  <c r="H598" i="1"/>
  <c r="J596" i="1"/>
  <c r="I596" i="1"/>
  <c r="H596" i="1"/>
  <c r="J594" i="1"/>
  <c r="H592" i="1"/>
  <c r="H580" i="1"/>
  <c r="G580" i="1"/>
  <c r="F580" i="1"/>
  <c r="H538" i="1"/>
  <c r="H537" i="1"/>
  <c r="H534" i="1"/>
  <c r="F534" i="1"/>
  <c r="H533" i="1"/>
  <c r="F533" i="1"/>
  <c r="H532" i="1"/>
  <c r="F528" i="1"/>
  <c r="H527" i="1"/>
  <c r="F527" i="1"/>
  <c r="J524" i="1"/>
  <c r="I524" i="1"/>
  <c r="H524" i="1"/>
  <c r="F524" i="1"/>
  <c r="J523" i="1"/>
  <c r="I523" i="1"/>
  <c r="H523" i="1"/>
  <c r="F523" i="1"/>
  <c r="I522" i="1"/>
  <c r="H522" i="1"/>
  <c r="F522" i="1"/>
  <c r="H398" i="1"/>
  <c r="H397" i="1"/>
  <c r="H369" i="1"/>
  <c r="G369" i="1"/>
  <c r="F369" i="1"/>
  <c r="H368" i="1"/>
  <c r="G368" i="1"/>
  <c r="I361" i="1"/>
  <c r="F361" i="1"/>
  <c r="I360" i="1"/>
  <c r="F360" i="1"/>
  <c r="I359" i="1"/>
  <c r="F359" i="1"/>
  <c r="I327" i="1"/>
  <c r="G327" i="1"/>
  <c r="G308" i="1"/>
  <c r="G289" i="1"/>
  <c r="F289" i="1"/>
  <c r="F280" i="1"/>
  <c r="F277" i="1"/>
  <c r="F245" i="1"/>
  <c r="I244" i="1"/>
  <c r="H244" i="1"/>
  <c r="F244" i="1"/>
  <c r="K242" i="1"/>
  <c r="I242" i="1"/>
  <c r="F242" i="1"/>
  <c r="H241" i="1"/>
  <c r="J240" i="1"/>
  <c r="I240" i="1"/>
  <c r="F240" i="1"/>
  <c r="I239" i="1"/>
  <c r="H239" i="1"/>
  <c r="F239" i="1"/>
  <c r="K237" i="1"/>
  <c r="J237" i="1"/>
  <c r="I237" i="1"/>
  <c r="H237" i="1"/>
  <c r="J235" i="1"/>
  <c r="I235" i="1"/>
  <c r="H235" i="1"/>
  <c r="F235" i="1"/>
  <c r="J234" i="1"/>
  <c r="I234" i="1"/>
  <c r="H234" i="1"/>
  <c r="F234" i="1"/>
  <c r="F227" i="1"/>
  <c r="I226" i="1"/>
  <c r="H226" i="1"/>
  <c r="F226" i="1"/>
  <c r="K224" i="1"/>
  <c r="H224" i="1"/>
  <c r="F224" i="1"/>
  <c r="H223" i="1"/>
  <c r="J222" i="1"/>
  <c r="I222" i="1"/>
  <c r="F222" i="1"/>
  <c r="I221" i="1"/>
  <c r="H221" i="1"/>
  <c r="F221" i="1"/>
  <c r="J219" i="1"/>
  <c r="I219" i="1"/>
  <c r="F219" i="1"/>
  <c r="J217" i="1"/>
  <c r="I217" i="1"/>
  <c r="H217" i="1"/>
  <c r="F217" i="1"/>
  <c r="J216" i="1"/>
  <c r="I216" i="1"/>
  <c r="H216" i="1"/>
  <c r="F216" i="1"/>
  <c r="F209" i="1"/>
  <c r="I208" i="1"/>
  <c r="H208" i="1"/>
  <c r="F208" i="1"/>
  <c r="K206" i="1"/>
  <c r="H206" i="1"/>
  <c r="F206" i="1"/>
  <c r="H205" i="1"/>
  <c r="I204" i="1"/>
  <c r="H204" i="1"/>
  <c r="F204" i="1"/>
  <c r="I203" i="1"/>
  <c r="H203" i="1"/>
  <c r="F203" i="1"/>
  <c r="I199" i="1"/>
  <c r="H199" i="1"/>
  <c r="F199" i="1"/>
  <c r="J198" i="1"/>
  <c r="I198" i="1"/>
  <c r="H198" i="1"/>
  <c r="G198" i="1"/>
  <c r="F198" i="1"/>
  <c r="H162" i="1"/>
  <c r="H161" i="1"/>
  <c r="H159" i="1"/>
  <c r="H155" i="1"/>
  <c r="H154" i="1"/>
  <c r="G161" i="1"/>
  <c r="H145" i="1"/>
  <c r="F117" i="1"/>
  <c r="G97" i="1"/>
  <c r="F28" i="1"/>
  <c r="H22" i="1"/>
  <c r="H13" i="1"/>
  <c r="G13" i="1"/>
  <c r="F14" i="1"/>
  <c r="F10" i="1"/>
  <c r="C2" i="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E125" i="2" s="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B27" i="12"/>
  <c r="C27" i="12"/>
  <c r="B31" i="12"/>
  <c r="C31" i="12"/>
  <c r="B9" i="12"/>
  <c r="B13" i="12"/>
  <c r="C9" i="12"/>
  <c r="B18" i="12"/>
  <c r="C18"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C58" i="2" s="1"/>
  <c r="H58" i="2" s="1"/>
  <c r="F111" i="1"/>
  <c r="G111" i="1"/>
  <c r="H79" i="1"/>
  <c r="H94" i="1"/>
  <c r="H111" i="1"/>
  <c r="I111" i="1"/>
  <c r="I112" i="1" s="1"/>
  <c r="J111" i="1"/>
  <c r="J112" i="1" s="1"/>
  <c r="F121" i="1"/>
  <c r="F136" i="1"/>
  <c r="G121" i="1"/>
  <c r="G136" i="1"/>
  <c r="H121" i="1"/>
  <c r="H136" i="1"/>
  <c r="I121" i="1"/>
  <c r="I136" i="1"/>
  <c r="J121" i="1"/>
  <c r="J136" i="1"/>
  <c r="J140" i="1" s="1"/>
  <c r="F147" i="1"/>
  <c r="F170" i="1" s="1"/>
  <c r="G147" i="1"/>
  <c r="D85" i="2" s="1"/>
  <c r="H147" i="1"/>
  <c r="H170" i="1" s="1"/>
  <c r="I147" i="1"/>
  <c r="L251" i="1"/>
  <c r="C113" i="2" s="1"/>
  <c r="L333" i="1"/>
  <c r="E113" i="2" s="1"/>
  <c r="L255" i="1"/>
  <c r="L269" i="1"/>
  <c r="L270" i="1"/>
  <c r="C143" i="2" s="1"/>
  <c r="H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H25" i="2" s="1"/>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H73" i="2" s="1"/>
  <c r="F73" i="2"/>
  <c r="C74" i="2"/>
  <c r="H74" i="2" s="1"/>
  <c r="C75" i="2"/>
  <c r="H75" i="2" s="1"/>
  <c r="C76" i="2"/>
  <c r="E76" i="2"/>
  <c r="F76" i="2"/>
  <c r="C77" i="2"/>
  <c r="D77" i="2"/>
  <c r="E77" i="2"/>
  <c r="F77" i="2"/>
  <c r="G77" i="2"/>
  <c r="G78" i="2" s="1"/>
  <c r="C79" i="2"/>
  <c r="D79" i="2"/>
  <c r="E79" i="2"/>
  <c r="C80" i="2"/>
  <c r="H80" i="2" s="1"/>
  <c r="E80" i="2"/>
  <c r="C85" i="2"/>
  <c r="F85" i="2"/>
  <c r="C87" i="2"/>
  <c r="E87" i="2"/>
  <c r="F87" i="2"/>
  <c r="C89" i="2"/>
  <c r="D89" i="2"/>
  <c r="E89" i="2"/>
  <c r="F89" i="2"/>
  <c r="C90" i="2"/>
  <c r="H90" i="2" s="1"/>
  <c r="C93" i="2"/>
  <c r="H93" i="2" s="1"/>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C119" i="2"/>
  <c r="E120" i="2"/>
  <c r="E124" i="2"/>
  <c r="C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G644" i="1"/>
  <c r="G645" i="1"/>
  <c r="G651" i="1"/>
  <c r="G652" i="1"/>
  <c r="J652" i="1" s="1"/>
  <c r="H653" i="1"/>
  <c r="G654" i="1"/>
  <c r="H654" i="1"/>
  <c r="H655" i="1"/>
  <c r="H656" i="1"/>
  <c r="I170" i="1"/>
  <c r="H72" i="2" l="1"/>
  <c r="H94" i="2"/>
  <c r="H29" i="2"/>
  <c r="H27" i="2"/>
  <c r="H24" i="2"/>
  <c r="H57" i="2"/>
  <c r="C20" i="12"/>
  <c r="C21" i="12"/>
  <c r="C19" i="12"/>
  <c r="H48" i="2"/>
  <c r="H101" i="2"/>
  <c r="H99" i="2"/>
  <c r="H79" i="2"/>
  <c r="H76" i="2"/>
  <c r="H16" i="2"/>
  <c r="H113" i="2"/>
  <c r="H97" i="2"/>
  <c r="H87" i="2"/>
  <c r="H26" i="2"/>
  <c r="H140" i="1"/>
  <c r="H34" i="2"/>
  <c r="D144" i="2"/>
  <c r="H134" i="2"/>
  <c r="H96" i="2"/>
  <c r="H35" i="2"/>
  <c r="H9" i="2"/>
  <c r="C10" i="12"/>
  <c r="C12" i="12"/>
  <c r="C11" i="12"/>
  <c r="H38" i="2"/>
  <c r="H43" i="2"/>
  <c r="H47" i="2"/>
  <c r="H69" i="2"/>
  <c r="H30" i="2"/>
  <c r="H17" i="2"/>
  <c r="C39" i="12"/>
  <c r="C37" i="12"/>
  <c r="C40" i="12" s="1"/>
  <c r="A40" i="12" s="1"/>
  <c r="H89" i="2"/>
  <c r="H44" i="2"/>
  <c r="H102" i="2"/>
  <c r="H100" i="2"/>
  <c r="H98" i="2"/>
  <c r="G409" i="1"/>
  <c r="H646" i="1" s="1"/>
  <c r="J646" i="1" s="1"/>
  <c r="I409" i="1"/>
  <c r="E121" i="2"/>
  <c r="G663" i="1"/>
  <c r="H112" i="2"/>
  <c r="C13" i="10"/>
  <c r="H125" i="2"/>
  <c r="D15" i="13"/>
  <c r="C15" i="13" s="1"/>
  <c r="C121" i="2"/>
  <c r="H121" i="2" s="1"/>
  <c r="C120" i="2"/>
  <c r="H120" i="2" s="1"/>
  <c r="D6" i="13"/>
  <c r="C6" i="13" s="1"/>
  <c r="E13" i="13"/>
  <c r="C13" i="13" s="1"/>
  <c r="G646" i="1"/>
  <c r="D78" i="2"/>
  <c r="H77" i="2"/>
  <c r="H61" i="2"/>
  <c r="G62" i="2"/>
  <c r="G63" i="2" s="1"/>
  <c r="H59" i="2"/>
  <c r="H28" i="2"/>
  <c r="H22" i="2"/>
  <c r="H23" i="2"/>
  <c r="H15" i="2"/>
  <c r="H13" i="2"/>
  <c r="H11" i="2"/>
  <c r="H12" i="2"/>
  <c r="H8"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H114" i="2" s="1"/>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D63" i="2" s="1"/>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C25" i="10"/>
  <c r="C21" i="10"/>
  <c r="C17" i="10"/>
  <c r="D19" i="13"/>
  <c r="C19" i="13" s="1"/>
  <c r="D14" i="13"/>
  <c r="C14" i="13" s="1"/>
  <c r="C62" i="2"/>
  <c r="G22" i="13"/>
  <c r="C22" i="13" s="1"/>
  <c r="L540" i="1"/>
  <c r="K504" i="1"/>
  <c r="L383" i="1"/>
  <c r="G258" i="1"/>
  <c r="G272" i="1" s="1"/>
  <c r="C142" i="2"/>
  <c r="H142" i="2" s="1"/>
  <c r="C111" i="2"/>
  <c r="H111" i="2" s="1"/>
  <c r="H662" i="1"/>
  <c r="C15" i="10"/>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J653" i="1"/>
  <c r="G572" i="1"/>
  <c r="I435" i="1"/>
  <c r="G435" i="1"/>
  <c r="I664" i="1"/>
  <c r="G637" i="1" l="1"/>
  <c r="I473" i="1"/>
  <c r="H21" i="2"/>
  <c r="C13" i="12"/>
  <c r="A13" i="12" s="1"/>
  <c r="H78" i="2"/>
  <c r="E128" i="2"/>
  <c r="H103" i="2"/>
  <c r="C22" i="12"/>
  <c r="A22" i="12" s="1"/>
  <c r="H42" i="2"/>
  <c r="B17" i="16"/>
  <c r="B19" i="16" s="1"/>
  <c r="G473" i="1"/>
  <c r="H50" i="2"/>
  <c r="H18" i="2"/>
  <c r="D128" i="2"/>
  <c r="D145" i="2" s="1"/>
  <c r="H127" i="2"/>
  <c r="I663" i="1"/>
  <c r="G24" i="14"/>
  <c r="H24" i="14" s="1"/>
  <c r="I24" i="14" s="1"/>
  <c r="E115" i="2"/>
  <c r="H118" i="2"/>
  <c r="H109" i="2"/>
  <c r="H91" i="2"/>
  <c r="H85" i="2"/>
  <c r="C81" i="2"/>
  <c r="H81" i="2" s="1"/>
  <c r="H62" i="2"/>
  <c r="F194" i="1"/>
  <c r="D51" i="2"/>
  <c r="H31" i="2"/>
  <c r="F144" i="2"/>
  <c r="H130" i="2"/>
  <c r="H661" i="1"/>
  <c r="H665" i="1" s="1"/>
  <c r="H668" i="1" s="1"/>
  <c r="H194" i="1"/>
  <c r="H649" i="1"/>
  <c r="J649" i="1" s="1"/>
  <c r="C141" i="2"/>
  <c r="F51" i="2"/>
  <c r="G36" i="14"/>
  <c r="H36" i="14" s="1"/>
  <c r="I36" i="14" s="1"/>
  <c r="E145" i="2"/>
  <c r="E104" i="2"/>
  <c r="C36" i="10"/>
  <c r="L435" i="1"/>
  <c r="F665" i="1"/>
  <c r="F668" i="1" s="1"/>
  <c r="I662" i="1"/>
  <c r="G104" i="2"/>
  <c r="L339" i="1"/>
  <c r="L353" i="1" s="1"/>
  <c r="I194" i="1"/>
  <c r="G636" i="1"/>
  <c r="G51" i="2"/>
  <c r="D104" i="2"/>
  <c r="L409" i="1"/>
  <c r="J469" i="1" s="1"/>
  <c r="C27" i="10"/>
  <c r="C28" i="10" s="1"/>
  <c r="D23" i="10" s="1"/>
  <c r="G4" i="14"/>
  <c r="H4" i="14" s="1"/>
  <c r="I4" i="14" s="1"/>
  <c r="L546" i="1"/>
  <c r="F104" i="2"/>
  <c r="B14" i="16"/>
  <c r="B22" i="16" s="1"/>
  <c r="E33" i="13"/>
  <c r="D35" i="13" s="1"/>
  <c r="J648" i="1"/>
  <c r="L258" i="1"/>
  <c r="L272" i="1" s="1"/>
  <c r="C115" i="2"/>
  <c r="C63" i="2"/>
  <c r="C39" i="10"/>
  <c r="G33" i="13"/>
  <c r="C128" i="2"/>
  <c r="H128" i="2" s="1"/>
  <c r="D31" i="13"/>
  <c r="C31" i="13" s="1"/>
  <c r="I462" i="1"/>
  <c r="H643" i="1" s="1"/>
  <c r="J643" i="1" s="1"/>
  <c r="G661" i="1"/>
  <c r="G665" i="1" s="1"/>
  <c r="G673" i="1" s="1"/>
  <c r="C5" i="10" s="1"/>
  <c r="C25" i="13"/>
  <c r="I33" i="13"/>
  <c r="K553" i="1"/>
  <c r="C51" i="2"/>
  <c r="G632" i="1"/>
  <c r="G194" i="1"/>
  <c r="G627" i="1"/>
  <c r="J52" i="1"/>
  <c r="H622" i="1" s="1"/>
  <c r="J622" i="1" s="1"/>
  <c r="C38" i="10"/>
  <c r="J471" i="1" l="1"/>
  <c r="H638" i="1"/>
  <c r="H632" i="1"/>
  <c r="J632" i="1" s="1"/>
  <c r="G629" i="1"/>
  <c r="G469" i="1"/>
  <c r="G639" i="1"/>
  <c r="J473" i="1"/>
  <c r="G630" i="1"/>
  <c r="H469" i="1"/>
  <c r="J636" i="1"/>
  <c r="G631" i="1"/>
  <c r="I469" i="1"/>
  <c r="G634" i="1"/>
  <c r="H473" i="1"/>
  <c r="H636" i="1"/>
  <c r="G475" i="1"/>
  <c r="I475" i="1"/>
  <c r="H637" i="1"/>
  <c r="G633" i="1"/>
  <c r="F473" i="1"/>
  <c r="J637" i="1"/>
  <c r="G628" i="1"/>
  <c r="F469" i="1"/>
  <c r="H51" i="2"/>
  <c r="H115" i="2"/>
  <c r="C144" i="2"/>
  <c r="C145" i="2" s="1"/>
  <c r="H141" i="2"/>
  <c r="H673" i="1"/>
  <c r="C6" i="10" s="1"/>
  <c r="C104" i="2"/>
  <c r="H104" i="2" s="1"/>
  <c r="H63"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29" i="1" l="1"/>
  <c r="G471" i="1"/>
  <c r="G477" i="1" s="1"/>
  <c r="F475" i="1"/>
  <c r="H633" i="1"/>
  <c r="J633" i="1" s="1"/>
  <c r="H631" i="1"/>
  <c r="J631" i="1" s="1"/>
  <c r="I471" i="1"/>
  <c r="I477" i="1" s="1"/>
  <c r="H626" i="1" s="1"/>
  <c r="J626" i="1" s="1"/>
  <c r="J629" i="1"/>
  <c r="H475" i="1"/>
  <c r="H634" i="1"/>
  <c r="J634" i="1" s="1"/>
  <c r="H630" i="1"/>
  <c r="H471" i="1"/>
  <c r="H477" i="1" s="1"/>
  <c r="H625" i="1" s="1"/>
  <c r="J625" i="1" s="1"/>
  <c r="J630" i="1"/>
  <c r="J477" i="1"/>
  <c r="H627" i="1" s="1"/>
  <c r="J627" i="1" s="1"/>
  <c r="J639" i="1"/>
  <c r="H639" i="1"/>
  <c r="J475" i="1"/>
  <c r="F471" i="1"/>
  <c r="F477" i="1" s="1"/>
  <c r="H623" i="1" s="1"/>
  <c r="H628" i="1"/>
  <c r="J628" i="1" s="1"/>
  <c r="H144" i="2"/>
  <c r="H145" i="2"/>
  <c r="I668" i="1"/>
  <c r="D28" i="10"/>
  <c r="D37" i="10"/>
  <c r="D36" i="10"/>
  <c r="D35" i="10"/>
  <c r="D40" i="10"/>
  <c r="D39" i="10"/>
  <c r="H624" i="1" l="1"/>
  <c r="J624" i="1" s="1"/>
  <c r="B33" i="16"/>
  <c r="J623" i="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<sst xmlns="http://schemas.openxmlformats.org/spreadsheetml/2006/main" count="6532" uniqueCount="1804">
  <si>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</si>
  <si>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</si>
  <si>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</si>
  <si>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</si>
  <si>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</si>
  <si>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</si>
  <si>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</si>
  <si>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</si>
  <si>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</si>
  <si>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</si>
  <si>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</si>
  <si>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</si>
  <si>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</si>
  <si>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</si>
  <si>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</si>
  <si>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</si>
  <si>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</si>
  <si>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</si>
  <si>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</si>
  <si>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</si>
  <si>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</si>
  <si>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</si>
  <si>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</si>
  <si>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</si>
  <si>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</si>
  <si>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</si>
  <si>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</si>
  <si>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</si>
  <si>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</si>
  <si>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</si>
  <si>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</si>
  <si>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</si>
  <si>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</si>
  <si>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</si>
  <si>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</si>
  <si>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</si>
  <si>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</si>
  <si>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</si>
  <si>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</si>
  <si>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</si>
  <si>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</si>
  <si>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</si>
  <si>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</si>
  <si>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</si>
  <si>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</si>
  <si>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</si>
  <si>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</si>
  <si>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</si>
  <si>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</si>
  <si>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</si>
  <si>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</si>
  <si>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</si>
  <si>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</si>
  <si>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</si>
  <si>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</si>
  <si>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</si>
  <si>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</si>
  <si>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</si>
  <si>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</si>
  <si>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</si>
  <si>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</si>
  <si>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</si>
  <si>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</si>
  <si>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</si>
  <si>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</si>
  <si>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</si>
  <si>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</si>
  <si>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</si>
  <si>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</si>
  <si>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</si>
  <si>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</si>
  <si>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</si>
  <si>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</si>
  <si>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</si>
  <si>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</si>
  <si>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</si>
  <si>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</si>
  <si>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</si>
  <si>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</si>
  <si>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</si>
  <si>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</si>
  <si>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</si>
  <si>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</si>
  <si>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</si>
  <si>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</si>
  <si>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</si>
  <si>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</si>
  <si>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</si>
  <si>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</si>
  <si>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</si>
  <si>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</si>
  <si>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</si>
  <si>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</si>
  <si>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</si>
  <si>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</si>
  <si>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</si>
  <si>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</si>
  <si>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</si>
  <si>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</si>
  <si>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</si>
  <si>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</si>
  <si>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</si>
  <si>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</si>
  <si>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</si>
  <si>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</si>
  <si>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</si>
  <si>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</si>
  <si>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</si>
  <si>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</si>
  <si>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</si>
  <si>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</si>
  <si>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</si>
  <si>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</si>
  <si>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</si>
  <si>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</si>
  <si>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</si>
  <si>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</si>
  <si>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</si>
  <si>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</si>
  <si>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</si>
  <si>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</si>
  <si>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</si>
  <si>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</si>
  <si>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</si>
  <si>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</si>
  <si>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</si>
  <si>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</si>
  <si>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</si>
  <si>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</si>
  <si>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</si>
  <si>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</si>
  <si>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</si>
  <si>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</si>
  <si>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</si>
  <si>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</si>
  <si>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</si>
  <si>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</si>
  <si>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</si>
  <si>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</si>
  <si>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</si>
  <si>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</si>
  <si>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</si>
  <si>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</si>
  <si>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</si>
  <si>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</si>
  <si>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</si>
  <si>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</si>
  <si>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</si>
  <si>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</si>
  <si>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</si>
  <si>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</si>
  <si>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</si>
  <si>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</si>
  <si>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</si>
  <si>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</si>
  <si>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</si>
  <si>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</si>
  <si>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</si>
  <si>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</si>
  <si>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</si>
  <si>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</si>
  <si>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</si>
  <si>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</si>
  <si>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</si>
  <si>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</si>
  <si>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</si>
  <si>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</si>
  <si>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</si>
  <si>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</si>
  <si>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</si>
  <si>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</si>
  <si>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</si>
  <si>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</si>
  <si>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</si>
  <si>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</si>
  <si>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</si>
  <si>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</si>
  <si>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</si>
  <si>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</si>
  <si>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</si>
  <si>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</si>
  <si>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</si>
  <si>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</si>
  <si>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</si>
  <si>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</si>
  <si>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</si>
  <si>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</si>
  <si>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</si>
  <si>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</si>
  <si>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</si>
  <si>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</si>
  <si>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</si>
  <si>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</si>
  <si>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</si>
  <si>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</si>
  <si>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</si>
  <si>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</si>
  <si>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</si>
  <si>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</si>
  <si>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</si>
  <si>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</si>
  <si>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</si>
  <si>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</si>
  <si>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</si>
  <si>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</si>
  <si>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</si>
  <si>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</si>
  <si>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</si>
  <si>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</si>
  <si>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</si>
  <si>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</si>
  <si>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</si>
  <si>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</si>
  <si>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</si>
  <si>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</si>
  <si>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</si>
  <si>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</si>
  <si>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</si>
  <si>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</si>
  <si>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</si>
  <si>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</si>
  <si>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</si>
  <si>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</si>
  <si>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</si>
  <si>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</si>
  <si>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</si>
  <si>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</si>
  <si>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</si>
  <si>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</si>
  <si>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</si>
  <si>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</si>
  <si>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</si>
  <si>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</si>
  <si>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</si>
  <si>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</si>
  <si>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</si>
  <si>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</si>
  <si>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</si>
  <si>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</si>
  <si>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</si>
  <si>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</si>
  <si>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</si>
  <si>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</si>
  <si>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</si>
  <si>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</si>
  <si>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</si>
  <si>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</si>
  <si>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</si>
  <si>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</si>
  <si>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</si>
  <si>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</si>
  <si>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</si>
  <si>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</si>
  <si>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</si>
  <si>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</si>
  <si>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</si>
  <si>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</si>
  <si>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</si>
  <si>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</si>
  <si>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</si>
  <si>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</si>
  <si>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</si>
  <si>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</si>
  <si>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</si>
  <si>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</si>
  <si>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</si>
  <si>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</si>
  <si>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</si>
  <si>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</si>
  <si>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</si>
  <si>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</si>
  <si>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</si>
  <si>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</si>
  <si>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</si>
  <si>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</si>
  <si>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</si>
  <si>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</si>
  <si>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</si>
  <si>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</si>
  <si>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</si>
  <si>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</si>
  <si>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</si>
  <si>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</si>
  <si>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</si>
  <si>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</si>
  <si>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</si>
  <si>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</si>
  <si>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</si>
  <si>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</si>
  <si>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</si>
  <si>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</si>
  <si>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</si>
  <si>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</si>
  <si>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</si>
  <si>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</si>
  <si>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</si>
  <si>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</si>
  <si>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</si>
  <si>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</si>
  <si>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</si>
  <si>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</si>
  <si>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</si>
  <si>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</si>
  <si>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</si>
  <si>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</si>
  <si>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</si>
  <si>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</si>
  <si>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</si>
  <si>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</si>
  <si>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</si>
  <si>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</si>
  <si>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</si>
  <si>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</si>
  <si>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</si>
  <si>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</si>
  <si>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</si>
  <si>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</si>
  <si>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</si>
  <si>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</si>
  <si>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</si>
  <si>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</si>
  <si>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</si>
  <si>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</si>
  <si>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</si>
  <si>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</si>
  <si>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</si>
  <si>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</si>
  <si>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</si>
  <si>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</si>
  <si>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</si>
  <si>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</si>
  <si>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</si>
  <si>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</si>
  <si>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</si>
  <si>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</si>
  <si>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</si>
  <si>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</si>
  <si>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</si>
  <si>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</si>
  <si>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</si>
  <si>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</si>
  <si>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</si>
  <si>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</si>
  <si>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</si>
  <si>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</si>
  <si>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</si>
  <si>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</si>
  <si>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</si>
  <si>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</si>
  <si>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</si>
  <si>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</si>
  <si>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</si>
  <si>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</si>
  <si>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</si>
  <si>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</si>
  <si>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</si>
  <si>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</si>
  <si>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</si>
  <si>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</si>
  <si>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</si>
  <si>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</si>
  <si>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</si>
  <si>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</si>
  <si>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</si>
  <si>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</si>
  <si>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</si>
  <si>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</si>
  <si>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</si>
  <si>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</si>
  <si>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</si>
  <si>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</si>
  <si>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</si>
  <si>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</si>
  <si>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</si>
  <si>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</si>
  <si>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</si>
  <si>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</si>
  <si>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</si>
  <si>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</si>
  <si>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</si>
  <si>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</si>
  <si>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</si>
  <si>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</si>
  <si>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</si>
  <si>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</si>
  <si>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</si>
  <si>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</si>
  <si>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</si>
  <si>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</si>
  <si>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</si>
  <si>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</si>
  <si>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</si>
  <si>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</si>
  <si>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</si>
  <si>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</si>
  <si>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</si>
  <si>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</si>
  <si>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</si>
  <si>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</si>
  <si>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</si>
  <si>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</si>
  <si>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</si>
  <si>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</si>
  <si>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</si>
  <si>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</si>
  <si>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</si>
  <si>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</si>
  <si>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</si>
  <si>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</si>
  <si>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</si>
  <si>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</si>
  <si>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</si>
  <si>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</si>
  <si>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</si>
  <si>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</si>
  <si>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</si>
  <si>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</si>
  <si>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</si>
  <si>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</si>
  <si>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</si>
  <si>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</si>
  <si>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</si>
  <si>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</si>
  <si>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</si>
  <si>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</si>
  <si>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</si>
  <si>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</si>
  <si>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</si>
  <si>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</si>
  <si>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</si>
  <si>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</si>
  <si>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</si>
  <si>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</si>
  <si>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</si>
  <si>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</si>
  <si>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</si>
  <si>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</si>
  <si>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</si>
  <si>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</si>
  <si>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</si>
  <si>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</si>
  <si>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</si>
  <si>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</si>
  <si>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</si>
  <si>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</si>
  <si>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</si>
  <si>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</si>
  <si>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</si>
  <si>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</si>
  <si>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</si>
  <si>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</si>
  <si>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</si>
  <si>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</si>
  <si>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</si>
  <si>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</si>
  <si>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</si>
  <si>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</si>
  <si>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</si>
  <si>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</si>
  <si>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</si>
  <si>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</si>
  <si>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</si>
  <si>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</si>
  <si>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</si>
  <si>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</si>
  <si>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</si>
  <si>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</si>
  <si>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</si>
  <si>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</si>
  <si>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</si>
  <si>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</si>
  <si>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</si>
  <si>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</si>
  <si>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</si>
  <si>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</si>
  <si>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</si>
  <si>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</si>
  <si>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</si>
  <si>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</si>
  <si>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</si>
  <si>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</si>
  <si>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</si>
  <si>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</si>
  <si>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</si>
  <si>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</si>
  <si>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</si>
  <si>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</si>
  <si>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</si>
  <si>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</si>
  <si>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</si>
  <si>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</si>
  <si>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</si>
  <si>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</si>
  <si>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</si>
  <si>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</si>
  <si>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</si>
  <si>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</si>
  <si>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</si>
  <si>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</si>
  <si>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</si>
  <si>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</si>
  <si>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</si>
  <si>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</si>
  <si>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</si>
  <si>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</si>
  <si>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</si>
  <si>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</si>
  <si>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</si>
  <si>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</si>
  <si>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</si>
  <si>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</si>
  <si>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</si>
  <si>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</si>
  <si>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</si>
  <si>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</si>
  <si>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</si>
  <si>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</si>
  <si>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</si>
  <si>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</si>
  <si>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</si>
  <si>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</si>
  <si>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</si>
  <si>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</si>
  <si>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</si>
  <si>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</si>
  <si>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</si>
  <si>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</si>
  <si>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</si>
  <si>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</si>
  <si>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</si>
  <si>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</si>
  <si>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</si>
  <si>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</si>
  <si>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</si>
  <si>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</si>
  <si>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</si>
  <si>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</si>
  <si>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</si>
  <si>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</si>
  <si>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</si>
  <si>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</si>
  <si>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</si>
  <si>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</si>
  <si>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</si>
  <si>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</si>
  <si>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</si>
  <si>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</si>
  <si>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</si>
  <si>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</si>
  <si>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</si>
  <si>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</si>
  <si>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</si>
  <si>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</si>
  <si>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</si>
  <si>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</si>
  <si>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</si>
  <si>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</si>
  <si>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</si>
  <si>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</si>
  <si>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</si>
  <si>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</si>
  <si>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</si>
  <si>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</si>
  <si>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</si>
  <si>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</si>
  <si>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</si>
  <si>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</si>
  <si>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</si>
  <si>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</si>
  <si>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</si>
  <si>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</si>
  <si>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</si>
  <si>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</si>
  <si>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</si>
  <si>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</si>
  <si>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</si>
  <si>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</si>
  <si>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</si>
  <si>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</si>
  <si>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</si>
  <si>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</si>
  <si>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</si>
  <si>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</si>
  <si>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</si>
  <si>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</si>
  <si>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</si>
  <si>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</si>
  <si>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</si>
  <si>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</si>
  <si>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</si>
  <si>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</si>
  <si>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</si>
  <si>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</si>
  <si>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</si>
  <si>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</si>
  <si>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</si>
  <si>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</si>
  <si>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</si>
  <si>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</si>
  <si>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</si>
  <si>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</si>
  <si>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</si>
  <si>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</si>
  <si>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</si>
  <si>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</si>
  <si>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</si>
  <si>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</si>
  <si>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</si>
  <si>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</si>
  <si>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</si>
  <si>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</si>
  <si>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</si>
  <si>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</si>
  <si>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</si>
  <si>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</si>
  <si>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</si>
  <si>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</si>
  <si>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</si>
  <si>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</si>
  <si>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</si>
  <si>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</si>
  <si>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</si>
  <si>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</si>
  <si>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</si>
  <si>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</si>
  <si>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</si>
  <si>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</si>
  <si>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</si>
  <si>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</si>
  <si>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</si>
  <si>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</si>
  <si>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</si>
  <si>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</si>
  <si>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</si>
  <si>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</si>
  <si>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</si>
  <si>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</si>
  <si>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</si>
  <si>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</si>
  <si>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</si>
  <si>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</si>
  <si>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</si>
  <si>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</si>
  <si>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</si>
  <si>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</si>
  <si>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</si>
  <si>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</si>
  <si>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</si>
  <si>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</si>
  <si>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</si>
  <si>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</si>
  <si>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</si>
  <si>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</si>
  <si>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</si>
  <si>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</si>
  <si>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</si>
  <si>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</si>
  <si>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</si>
  <si>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</si>
  <si>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</si>
  <si>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</si>
  <si>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</si>
  <si>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</si>
  <si>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</si>
  <si>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</si>
  <si>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</si>
  <si>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</si>
  <si>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</si>
  <si>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</si>
  <si>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</si>
  <si>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</si>
  <si>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</si>
  <si>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</si>
  <si>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</si>
  <si>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</si>
  <si>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</si>
  <si>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</si>
  <si>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</si>
  <si>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</si>
  <si>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</si>
  <si>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</si>
  <si>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</si>
  <si>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</si>
  <si>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</si>
  <si>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</si>
  <si>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</si>
  <si>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</si>
  <si>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</si>
  <si>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</si>
  <si>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</si>
  <si>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</si>
  <si>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</si>
  <si>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</si>
  <si>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</si>
  <si>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</si>
  <si>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</si>
  <si>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</si>
  <si>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</si>
  <si>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</si>
  <si>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</si>
  <si>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</si>
  <si>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</si>
  <si>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</si>
  <si>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</si>
  <si>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</si>
  <si>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</si>
  <si>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</si>
  <si>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</si>
  <si>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</si>
  <si>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</si>
  <si>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</si>
  <si>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</si>
  <si>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</si>
  <si>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</si>
  <si>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</si>
  <si>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</si>
  <si>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</si>
  <si>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</si>
  <si>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</si>
  <si>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</si>
  <si>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</si>
  <si>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</si>
  <si>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</si>
  <si>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</si>
  <si>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</si>
  <si>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</si>
  <si>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</si>
  <si>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</si>
  <si>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</si>
  <si>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</si>
  <si>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</si>
  <si>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</si>
  <si>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</si>
  <si>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</si>
  <si>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</si>
  <si>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</si>
  <si>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</si>
  <si>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</si>
  <si>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</si>
  <si>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</si>
  <si>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</si>
  <si>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</si>
  <si>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</si>
  <si>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</si>
  <si>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</si>
  <si>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</si>
  <si>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</si>
  <si>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</si>
  <si>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</si>
  <si>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</si>
  <si>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</si>
  <si>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</si>
  <si>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</si>
  <si>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</si>
  <si>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</si>
  <si>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</si>
  <si>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</si>
  <si>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</si>
  <si>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</si>
  <si>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</si>
  <si>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</si>
  <si>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</si>
  <si>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</si>
  <si>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</si>
  <si>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</si>
  <si>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</si>
  <si>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</si>
  <si>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</si>
  <si>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</si>
  <si>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</si>
  <si>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</si>
  <si>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</si>
  <si>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</si>
  <si>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</si>
  <si>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</si>
  <si>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</si>
  <si>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</si>
  <si>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</si>
  <si>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</si>
  <si>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</si>
  <si>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</si>
  <si>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</si>
  <si>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</si>
  <si>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</si>
  <si>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</si>
  <si>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</si>
  <si>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</si>
  <si>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</si>
  <si>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</si>
  <si>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</si>
  <si>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</si>
  <si>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</si>
  <si>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</si>
  <si>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</si>
  <si>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</si>
  <si>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</si>
  <si>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</si>
  <si>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</si>
  <si>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</si>
  <si>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</si>
  <si>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</si>
  <si>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</si>
  <si>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</si>
  <si>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</si>
  <si>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</si>
  <si>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</si>
  <si>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</si>
  <si>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</si>
  <si>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</si>
  <si>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</si>
  <si>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</si>
  <si>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</si>
  <si>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</si>
  <si>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</si>
  <si>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</si>
  <si>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</si>
  <si>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</si>
  <si>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</si>
  <si>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</si>
  <si>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</si>
  <si>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</si>
  <si>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</si>
  <si>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</si>
  <si>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</si>
  <si>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</si>
  <si>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</si>
  <si>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</si>
  <si>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</si>
  <si>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</si>
  <si>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</si>
  <si>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</si>
  <si>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</si>
  <si>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</si>
  <si>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</si>
  <si>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</si>
  <si>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</si>
  <si>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</si>
  <si>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</si>
  <si>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</si>
  <si>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</si>
  <si>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</si>
  <si>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</si>
  <si>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</si>
  <si>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</si>
  <si>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</si>
  <si>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</si>
  <si>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</si>
  <si>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</si>
  <si>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</si>
  <si>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</si>
  <si>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</si>
  <si>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</si>
  <si>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</si>
  <si>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</si>
  <si>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</si>
  <si>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</si>
  <si>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</si>
  <si>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</si>
  <si>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</si>
  <si>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</si>
  <si>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</si>
  <si>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</si>
  <si>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</si>
  <si>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</si>
  <si>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</si>
  <si>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</si>
  <si>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</si>
  <si>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</si>
  <si>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</si>
  <si>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</si>
  <si>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</si>
  <si>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</si>
  <si>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</si>
  <si>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</si>
  <si>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</si>
  <si>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</si>
  <si>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</si>
  <si>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</si>
  <si>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</si>
  <si>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</si>
  <si>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</si>
  <si>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</si>
  <si>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</si>
  <si>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</si>
  <si>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</si>
  <si>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</si>
  <si>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</si>
  <si>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</si>
  <si>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</si>
  <si>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</si>
  <si>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</si>
  <si>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</si>
  <si>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</si>
  <si>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</si>
  <si>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</si>
  <si>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</si>
  <si>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</si>
  <si>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</si>
  <si>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</si>
  <si>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</si>
  <si>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</si>
  <si>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</si>
  <si>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</si>
  <si>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</si>
  <si>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</si>
  <si>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</si>
  <si>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</si>
  <si>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</si>
  <si>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</si>
  <si>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</si>
  <si>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</si>
  <si>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</si>
  <si>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</si>
  <si>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</si>
  <si>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</si>
  <si>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</si>
  <si>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</si>
  <si>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</si>
  <si>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</si>
  <si>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</si>
  <si>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</si>
  <si>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</si>
  <si>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</si>
  <si>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</si>
  <si>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</si>
  <si>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</si>
  <si>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</si>
  <si>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</si>
  <si>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</si>
  <si>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</si>
  <si>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</si>
  <si>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</si>
  <si>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</si>
  <si>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</si>
  <si>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</si>
  <si>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</si>
  <si>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</si>
  <si>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</si>
  <si>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</si>
  <si>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</si>
  <si>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</si>
  <si>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</si>
  <si>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</si>
  <si>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</si>
  <si>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</si>
  <si>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</si>
  <si>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</si>
  <si>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</si>
  <si>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</si>
  <si>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</si>
  <si>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</si>
  <si>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</si>
  <si>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</si>
  <si>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</si>
  <si>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</si>
  <si>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</si>
  <si>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</si>
  <si>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</si>
  <si>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</si>
  <si>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</si>
  <si>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</si>
  <si>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</si>
  <si>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</si>
  <si>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</si>
  <si>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</si>
  <si>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</si>
  <si>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</si>
  <si>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</si>
  <si>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</si>
  <si>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</si>
  <si>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</si>
  <si>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</si>
  <si>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</si>
  <si>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</si>
  <si>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</si>
  <si>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</si>
  <si>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</si>
  <si>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</si>
  <si>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</si>
  <si>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</si>
  <si>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</si>
  <si>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</si>
  <si>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</si>
  <si>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</si>
  <si>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</si>
  <si>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</si>
  <si>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</si>
  <si>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</si>
  <si>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</si>
  <si>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</si>
  <si>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</si>
  <si>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</si>
  <si>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</si>
  <si>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</si>
  <si>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</si>
  <si>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</si>
  <si>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</si>
  <si>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</si>
  <si>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</si>
  <si>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</si>
  <si>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</si>
  <si>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</si>
  <si>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</si>
  <si>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</si>
  <si>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</si>
  <si>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</si>
  <si>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</si>
  <si>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</si>
  <si>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</si>
  <si>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</si>
  <si>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</si>
  <si>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</si>
  <si>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</si>
  <si>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</si>
  <si>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</si>
  <si>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</si>
  <si>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</si>
  <si>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</si>
  <si>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</si>
  <si>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</si>
  <si>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</si>
  <si>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</si>
  <si>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</si>
  <si>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</si>
  <si>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</si>
  <si>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</si>
  <si>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</si>
  <si>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</si>
  <si>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</si>
  <si>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</si>
  <si>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</si>
  <si>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</si>
  <si>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</si>
  <si>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</si>
  <si>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</si>
  <si>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</si>
  <si>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</si>
  <si>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</si>
  <si>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</si>
  <si>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</si>
  <si>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</si>
  <si>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</si>
  <si>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</si>
  <si>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</si>
  <si>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</si>
  <si>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</si>
  <si>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</si>
  <si>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</si>
  <si>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</si>
  <si>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</si>
  <si>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</si>
  <si>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</si>
  <si>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</si>
  <si>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</si>
  <si>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</si>
  <si>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</si>
  <si>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</si>
  <si>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</si>
  <si>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</si>
  <si>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</si>
  <si>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</si>
  <si>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</si>
  <si>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</si>
  <si>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</si>
  <si>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</si>
  <si>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</si>
  <si>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</si>
  <si>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</si>
  <si>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</si>
  <si>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</si>
  <si>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</si>
  <si>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</si>
  <si>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</si>
  <si>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</si>
  <si>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</si>
  <si>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</si>
  <si>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</si>
  <si>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</si>
  <si>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</si>
  <si>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</si>
  <si>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</si>
  <si>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</si>
  <si>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</si>
  <si>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</si>
  <si>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</si>
  <si>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</si>
  <si>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</si>
  <si>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</si>
  <si>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</si>
  <si>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</si>
  <si>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</si>
  <si>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</si>
  <si>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</si>
  <si>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</si>
  <si>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</si>
  <si>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</si>
  <si>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</si>
  <si>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</si>
  <si>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</si>
  <si>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</si>
  <si>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</si>
  <si>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</si>
  <si>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</si>
  <si>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</si>
  <si>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</si>
  <si>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</si>
  <si>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</si>
  <si>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</si>
  <si>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</si>
  <si>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</si>
  <si>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</si>
  <si>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</si>
  <si>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</si>
  <si>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</si>
  <si>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</si>
  <si>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</si>
  <si>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</si>
  <si>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</si>
  <si>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</si>
  <si>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</si>
  <si>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</si>
  <si>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</si>
  <si>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</si>
  <si>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</si>
  <si>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</si>
  <si>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</si>
  <si>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</si>
  <si>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</si>
  <si>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</si>
  <si>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</si>
  <si>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</si>
  <si>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</si>
  <si>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</si>
  <si>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</si>
  <si>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</si>
  <si>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</si>
  <si>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</si>
  <si>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</si>
  <si>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</si>
  <si>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</si>
  <si>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</si>
  <si>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</si>
  <si>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</si>
  <si>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</si>
  <si>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</si>
  <si>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</si>
  <si>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</si>
  <si>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</si>
  <si>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</si>
  <si>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</si>
  <si>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</si>
  <si>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</si>
  <si>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</si>
  <si>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</si>
  <si>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</si>
  <si>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</si>
  <si>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</si>
  <si>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</si>
  <si>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</si>
  <si>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</si>
  <si>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</si>
  <si>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</si>
  <si>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</si>
  <si>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</si>
  <si>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</si>
  <si>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</si>
  <si>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</si>
  <si>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</si>
  <si>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</si>
  <si>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</si>
  <si>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</si>
  <si>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</si>
  <si>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</si>
  <si>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</si>
  <si>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</si>
  <si>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</si>
  <si>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</si>
  <si>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</si>
  <si>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</si>
  <si>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</si>
  <si>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</si>
  <si>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</si>
  <si>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</si>
  <si>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</si>
  <si>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</si>
  <si>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</si>
  <si>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</si>
  <si>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</si>
  <si>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</si>
  <si>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</si>
  <si>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</si>
  <si>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</si>
  <si>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</si>
  <si>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</si>
  <si>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</si>
  <si>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</si>
  <si>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</si>
  <si>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</si>
  <si>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</si>
  <si>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</si>
  <si>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</si>
  <si>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</si>
  <si>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</si>
  <si>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</si>
  <si>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</si>
  <si>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</si>
  <si>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</si>
  <si>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</si>
  <si>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</si>
  <si>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</si>
  <si>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</si>
  <si>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</si>
  <si>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</si>
  <si>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</si>
  <si>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</si>
  <si>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</si>
  <si>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</si>
  <si>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</si>
  <si>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</si>
  <si>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</si>
  <si>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</si>
  <si>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</si>
  <si>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</si>
  <si>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</si>
  <si>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</si>
  <si>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</si>
  <si>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</si>
  <si>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</si>
  <si>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</si>
  <si>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</si>
  <si>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</si>
  <si>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</si>
  <si>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</si>
  <si>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</si>
  <si>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</si>
  <si>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</si>
  <si>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</si>
  <si>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</si>
  <si>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</si>
  <si>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</si>
  <si>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</si>
  <si>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</si>
  <si>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</si>
  <si>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</si>
  <si>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</si>
  <si>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</si>
  <si>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</si>
  <si>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</si>
  <si>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</si>
  <si>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</si>
  <si>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</si>
  <si>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</si>
  <si>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</si>
  <si>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</si>
  <si>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</si>
  <si>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</si>
  <si>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</si>
  <si>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</si>
  <si>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</si>
  <si>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</si>
  <si>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</si>
  <si>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</si>
  <si>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</si>
  <si>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</si>
  <si>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</si>
  <si>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</si>
  <si>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</si>
  <si>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</si>
  <si>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</si>
  <si>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</si>
  <si>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</si>
  <si>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</si>
  <si>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</si>
  <si>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</si>
  <si>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</si>
  <si>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</si>
  <si>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</si>
  <si>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</si>
  <si>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</si>
  <si>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</si>
  <si>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</si>
  <si>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</si>
  <si>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</si>
  <si>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</si>
  <si>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</si>
  <si>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</si>
  <si>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</si>
  <si>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</si>
  <si>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</si>
  <si>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</si>
  <si>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</si>
  <si>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</si>
  <si>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</si>
  <si>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</si>
  <si>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</si>
  <si>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</si>
  <si>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</si>
  <si>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</si>
  <si>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</si>
  <si>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</si>
  <si>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</si>
  <si>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</si>
  <si>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</si>
  <si>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</si>
  <si>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</si>
  <si>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</si>
  <si>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</si>
  <si>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</si>
  <si>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</si>
  <si>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</si>
  <si>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</si>
  <si>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</si>
  <si>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</si>
  <si>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</si>
  <si>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</si>
  <si>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</si>
  <si>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</si>
  <si>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</si>
  <si>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</si>
  <si>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</si>
  <si>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</si>
  <si>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</si>
  <si>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</si>
  <si>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</si>
  <si>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</si>
  <si>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</si>
  <si>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</si>
  <si>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</si>
  <si>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</si>
  <si>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</si>
  <si>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</si>
  <si>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</si>
  <si>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</si>
  <si>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</si>
  <si>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</si>
  <si>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</si>
  <si>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</si>
  <si>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</si>
  <si>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</si>
  <si>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</si>
  <si>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</si>
  <si>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</si>
  <si>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</si>
  <si>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</si>
  <si>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</si>
  <si>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</si>
  <si>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</si>
  <si>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</si>
  <si>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</si>
  <si>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</si>
  <si>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</si>
  <si>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</si>
  <si>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</si>
  <si>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</si>
  <si>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</si>
  <si>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</si>
  <si>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</si>
  <si>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</si>
  <si>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</si>
  <si>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</si>
  <si>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</si>
  <si>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</si>
  <si>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</si>
  <si>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</si>
  <si>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</si>
  <si>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</si>
  <si>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</si>
  <si>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</si>
  <si>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</si>
  <si>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</si>
  <si>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</si>
  <si>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</si>
  <si>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</si>
  <si>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</si>
  <si>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</si>
  <si>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</si>
  <si>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</si>
  <si>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</si>
  <si>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</si>
  <si>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</si>
  <si>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</si>
  <si>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</si>
  <si>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</si>
  <si>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</si>
  <si>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</si>
  <si>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</si>
  <si>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</si>
  <si>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</si>
  <si>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</si>
  <si>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</si>
  <si>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</si>
  <si>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</si>
  <si>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</si>
  <si>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</si>
  <si>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</si>
  <si>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</si>
  <si>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</si>
  <si>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</si>
  <si>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</si>
  <si>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</si>
  <si>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</si>
  <si>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</si>
  <si>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</si>
  <si>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</si>
  <si>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</si>
  <si>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</si>
  <si>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</si>
  <si>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</si>
  <si>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</si>
  <si>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</si>
  <si>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</si>
  <si>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</si>
  <si>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</si>
  <si>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</si>
  <si>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</si>
  <si>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</si>
  <si>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</si>
  <si>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</si>
  <si>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</si>
  <si>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</si>
  <si>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</si>
  <si>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</si>
  <si>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</si>
  <si>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</si>
  <si>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</si>
  <si>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</si>
  <si>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</si>
  <si>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</si>
  <si>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</si>
  <si>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</si>
  <si>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</si>
  <si>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</si>
  <si>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</si>
  <si>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</si>
  <si>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</si>
  <si>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</si>
  <si>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</si>
  <si>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</si>
  <si>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</si>
  <si>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</si>
  <si>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</si>
  <si>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</si>
  <si>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</si>
  <si>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</si>
  <si>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</si>
  <si>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</si>
  <si>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</si>
  <si>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</si>
  <si>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</si>
  <si>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</si>
  <si>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</si>
  <si>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</si>
  <si>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</si>
  <si>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</si>
  <si>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</si>
  <si>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</si>
  <si>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</si>
  <si>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</si>
  <si>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</si>
  <si>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</si>
  <si>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</si>
  <si>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</si>
  <si>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</si>
  <si>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</si>
  <si>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</si>
  <si>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</si>
  <si>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</si>
  <si>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</si>
  <si>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</si>
  <si>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</si>
  <si>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</si>
  <si>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</si>
  <si>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</si>
  <si>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</si>
  <si>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</si>
  <si>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</si>
  <si>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</si>
  <si>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</si>
  <si>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</si>
  <si>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</si>
  <si>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</si>
  <si>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</si>
  <si>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</si>
  <si>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</si>
  <si>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</si>
  <si>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</si>
  <si>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</si>
  <si>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</si>
  <si>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</si>
  <si>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</si>
  <si>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</si>
  <si>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</si>
  <si>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</si>
  <si>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</si>
  <si>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</si>
  <si>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</si>
  <si>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</si>
  <si>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</si>
  <si>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</si>
  <si>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</si>
  <si>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</si>
  <si>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</si>
  <si>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</si>
  <si>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</si>
  <si>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</si>
  <si>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</si>
  <si>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</si>
  <si>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</si>
  <si>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</si>
  <si>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</si>
  <si>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</si>
  <si>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</si>
  <si>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</si>
  <si>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</si>
  <si>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</si>
  <si>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</si>
  <si>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</si>
  <si>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</si>
  <si>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</si>
  <si>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</si>
  <si>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</si>
  <si>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</si>
  <si>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</si>
  <si>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</si>
  <si>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</si>
  <si>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</si>
  <si>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</si>
  <si>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</si>
  <si>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</si>
  <si>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</si>
  <si>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</si>
  <si>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</si>
  <si>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</si>
  <si>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</si>
  <si>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</si>
  <si>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</si>
  <si>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</si>
  <si>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</si>
  <si>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</si>
  <si>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</si>
  <si>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</si>
  <si>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</si>
  <si>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</si>
  <si>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</si>
  <si>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</si>
  <si>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</si>
  <si>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</si>
  <si>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</si>
  <si>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</si>
  <si>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</si>
  <si>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</si>
  <si>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</si>
  <si>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</si>
  <si>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</si>
  <si>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</si>
  <si>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</si>
  <si>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</si>
  <si>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</si>
  <si>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</si>
  <si>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</si>
  <si>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</si>
  <si>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</si>
  <si>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</si>
  <si>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</si>
  <si>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</si>
  <si>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</si>
  <si>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</si>
  <si>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</si>
  <si>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</si>
  <si>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</si>
  <si>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</si>
  <si>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</si>
  <si>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</si>
  <si>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</si>
  <si>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</si>
  <si>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</si>
  <si>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</si>
  <si>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</si>
  <si>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</si>
  <si>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</si>
  <si>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</si>
  <si>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</si>
  <si>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</si>
  <si>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</si>
  <si>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</si>
  <si>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</si>
  <si>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</si>
  <si>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</si>
  <si>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</si>
  <si>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</si>
  <si>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</si>
  <si>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</si>
  <si>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</si>
  <si>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</si>
  <si>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</si>
  <si>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</si>
  <si>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</si>
  <si>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</si>
  <si>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</si>
  <si>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</si>
  <si>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</si>
  <si>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</si>
  <si>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</si>
  <si>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</si>
  <si>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</si>
  <si>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</si>
  <si>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</si>
  <si>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</si>
  <si>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</si>
  <si>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</si>
  <si>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</si>
  <si>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</si>
  <si>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</si>
  <si>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</si>
  <si>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</si>
  <si>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</si>
  <si>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</si>
  <si>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</si>
  <si>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</si>
  <si>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</si>
  <si>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</si>
  <si>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</si>
  <si>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</si>
  <si>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</si>
  <si>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</si>
  <si>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</si>
  <si>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</si>
  <si>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</si>
  <si>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</si>
  <si>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</si>
  <si>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</si>
  <si>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</si>
  <si>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</si>
  <si>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</si>
  <si>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</si>
  <si>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</si>
  <si>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</si>
  <si>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</si>
  <si>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</si>
  <si>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</si>
  <si>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</si>
  <si>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</si>
  <si>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</si>
  <si>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</si>
  <si>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</si>
  <si>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</si>
  <si>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</si>
  <si>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</si>
  <si>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</si>
  <si>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</si>
  <si>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</si>
  <si>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</si>
  <si>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</si>
  <si>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</si>
  <si>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</si>
  <si>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</si>
  <si>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</si>
  <si>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</si>
  <si>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</si>
  <si>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</si>
  <si>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</si>
  <si>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</si>
  <si>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</si>
  <si>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</si>
  <si>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</si>
  <si>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</si>
  <si>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</si>
  <si>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</si>
  <si>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</si>
  <si>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</si>
  <si>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</si>
  <si>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</si>
  <si>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</si>
  <si>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</si>
  <si>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</si>
  <si>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</si>
  <si>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</si>
  <si>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</si>
  <si>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</si>
  <si>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</si>
  <si>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</si>
  <si>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</si>
  <si>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</si>
  <si>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</si>
  <si>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</si>
  <si>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</si>
  <si>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</si>
  <si>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</si>
  <si>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</si>
  <si>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</si>
  <si>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</si>
  <si>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</si>
  <si>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</si>
  <si>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</si>
  <si>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</si>
  <si>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</si>
  <si>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</si>
  <si>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</si>
  <si>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</si>
  <si>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</si>
  <si>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</si>
  <si>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</si>
  <si>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</si>
  <si>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</si>
  <si>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</si>
  <si>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</si>
  <si>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</si>
  <si>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</si>
  <si>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</si>
  <si>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</si>
  <si>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</si>
  <si>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</si>
  <si>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</si>
  <si>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</si>
  <si>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</si>
  <si>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</si>
  <si>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</si>
  <si>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</si>
  <si>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</si>
  <si>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</si>
  <si>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</si>
  <si>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</si>
  <si>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</si>
  <si>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</si>
  <si>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</si>
  <si>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</si>
  <si>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</si>
  <si>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</si>
  <si>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</si>
  <si>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</si>
  <si>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</si>
  <si>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</si>
  <si>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</si>
  <si>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</si>
  <si>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</si>
  <si>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</si>
  <si>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</si>
  <si>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</si>
  <si>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</si>
  <si>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</si>
  <si>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</si>
  <si>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</si>
  <si>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</si>
  <si>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</si>
  <si>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</si>
  <si>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</si>
  <si>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</si>
  <si>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</si>
  <si>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</si>
  <si>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</si>
  <si>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</si>
  <si>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</si>
  <si>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</si>
  <si>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</si>
  <si>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</si>
  <si>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</si>
  <si>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</si>
  <si>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</si>
  <si>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</si>
  <si>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</si>
  <si>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</si>
  <si>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</si>
  <si>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</si>
  <si>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</si>
  <si>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</si>
  <si>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</si>
  <si>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</si>
  <si>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</si>
  <si>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</si>
  <si>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</si>
  <si>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</si>
  <si>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</si>
  <si>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</si>
  <si>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</si>
  <si>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</si>
  <si>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</si>
  <si>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</si>
  <si>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</si>
  <si>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</si>
  <si>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</si>
  <si>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</si>
  <si>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</si>
  <si>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</si>
  <si>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</si>
  <si>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</si>
  <si>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</si>
  <si>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</si>
  <si>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</si>
  <si>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</si>
  <si>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</si>
  <si>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</si>
  <si>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</si>
  <si>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</si>
  <si>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</si>
  <si>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</si>
  <si>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</si>
  <si>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</si>
  <si>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</si>
  <si>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</si>
  <si>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</si>
  <si>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</si>
  <si>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</si>
  <si>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Audit adjustment from prior year</t>
  </si>
  <si>
    <t>Audit adjustments from prior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</si>
</sst>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5">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 fontId="15" fillId="0" borderId="0" xfId="0" applyNumberFormat="1" applyFont="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3" zoomScaleNormal="10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1250</v>
      </c>
      <c r="B2" s="126">
        <f>INDEX('School Tables'!$AH$3:$AH$208,MATCH('DOE25'!A2,'School Tables'!$AJ$3:$AJ$208,0))</f>
        <v>352</v>
      </c>
      <c r="C2" s="126">
        <f>INDEX('School Tables'!$AI$3:$AI$208,MATCH('DOE25'!A2,'School Tables'!$AJ$3:$AJ$208,0))</f>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585976</v>
      </c>
      <c r="G9" s="18">
        <v>352360</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f>2478+34283</f>
        <v>36761</v>
      </c>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1335958</v>
      </c>
      <c r="G12" s="18"/>
      <c r="H12" s="18">
        <v>111009</v>
      </c>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v>715277</v>
      </c>
      <c r="G13" s="18">
        <f>446520-159805</f>
        <v>286715</v>
      </c>
      <c r="H13" s="18">
        <f>1215792-4235+1964</f>
        <v>1213521</v>
      </c>
      <c r="I13" s="18"/>
      <c r="J13" s="67">
        <f>SUM(I443)</f>
        <v>1249769</v>
      </c>
      <c r="K13" s="24" t="s">
        <v>288</v>
      </c>
      <c r="L13" s="24" t="s">
        <v>288</v>
      </c>
      <c r="M13" s="8"/>
      <c r="N13" s="265"/>
    </row>
    <row r="14" spans="1:14" s="3" customFormat="1" ht="12.2" customHeight="1" x14ac:dyDescent="0.15">
      <c r="A14" s="1" t="s">
        <v>565</v>
      </c>
      <c r="B14" s="2" t="s">
        <v>289</v>
      </c>
      <c r="C14" s="6">
        <v>6</v>
      </c>
      <c r="D14" s="2" t="s">
        <v>428</v>
      </c>
      <c r="E14" s="6">
        <v>150</v>
      </c>
      <c r="F14" s="18">
        <f>7219-100+4433</f>
        <v>11552</v>
      </c>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14390</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508945</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3194469</v>
      </c>
      <c r="G19" s="41">
        <f>SUM(G9:G18)</f>
        <v>653465</v>
      </c>
      <c r="H19" s="41">
        <f>SUM(H9:H18)</f>
        <v>1324530</v>
      </c>
      <c r="I19" s="41">
        <f>SUM(I9:I18)</f>
        <v>0</v>
      </c>
      <c r="J19" s="41">
        <f>SUM(J9:J18)</f>
        <v>1249769</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343193</v>
      </c>
      <c r="H22" s="18">
        <f>1118270-123</f>
        <v>1118147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188470</v>
      </c>
      <c r="G24" s="18">
        <v>39402</v>
      </c>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25932-717+2213661+9118-8534-17-26-48-200</f>
        <v>2239169</v>
      </c>
      <c r="G28" s="18">
        <v>1933</v>
      </c>
      <c r="H28" s="18">
        <v>112580</v>
      </c>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64144</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2427639</v>
      </c>
      <c r="G32" s="41">
        <f>SUM(G22:G31)</f>
        <v>384528</v>
      </c>
      <c r="H32" s="41">
        <f>SUM(H22:H31)</f>
        <v>1294871</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300000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268937</v>
      </c>
      <c r="H48" s="18">
        <v>29659</v>
      </c>
      <c r="I48" s="18"/>
      <c r="J48" s="13">
        <f>SUM(I460)</f>
        <v>1249769</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f>766830-300000</f>
        <v>466830</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766830</v>
      </c>
      <c r="G51" s="41">
        <f>SUM(G35:G50)</f>
        <v>268937</v>
      </c>
      <c r="H51" s="41">
        <f>SUM(H35:H50)</f>
        <v>29659</v>
      </c>
      <c r="I51" s="41">
        <f>SUM(I35:I50)</f>
        <v>0</v>
      </c>
      <c r="J51" s="41">
        <f>SUM(J35:J50)</f>
        <v>1249769</v>
      </c>
      <c r="K51" s="45" t="s">
        <v>288</v>
      </c>
      <c r="L51" s="45" t="s">
        <v>288</v>
      </c>
      <c r="N51" s="263"/>
    </row>
    <row r="52" spans="1:14" s="3" customFormat="1" ht="12.2" customHeight="1" thickTop="1" x14ac:dyDescent="0.15">
      <c r="A52" s="38" t="s">
        <v>455</v>
      </c>
      <c r="B52" s="39" t="s">
        <v>289</v>
      </c>
      <c r="C52" s="6">
        <v>37</v>
      </c>
      <c r="D52" s="39" t="s">
        <v>653</v>
      </c>
      <c r="E52" s="39"/>
      <c r="F52" s="41">
        <f>F51+F32</f>
        <v>3194469</v>
      </c>
      <c r="G52" s="41">
        <f>G51+G32</f>
        <v>653465</v>
      </c>
      <c r="H52" s="41">
        <f>H51+H32</f>
        <v>1324530</v>
      </c>
      <c r="I52" s="41">
        <f>I51+I32</f>
        <v>0</v>
      </c>
      <c r="J52" s="41">
        <f>J51+J32</f>
        <v>1249769</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f>8336897+4958318+8751054+2335962+3148073-3161537-104742</f>
        <v>24264025</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24264025</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1048008</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v>95267</v>
      </c>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1143275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72</v>
      </c>
      <c r="G96" s="18">
        <v>112</v>
      </c>
      <c r="H96" s="18"/>
      <c r="I96" s="18"/>
      <c r="J96" s="18">
        <v>23564</v>
      </c>
      <c r="K96" s="24" t="s">
        <v>288</v>
      </c>
      <c r="L96" s="24" t="s">
        <v>288</v>
      </c>
      <c r="M96" s="8"/>
      <c r="N96" s="265"/>
    </row>
    <row r="97" spans="1:14" s="3" customFormat="1" ht="12.2" customHeight="1" x14ac:dyDescent="0.15">
      <c r="A97" s="1" t="s">
        <v>503</v>
      </c>
      <c r="B97" s="2" t="s">
        <v>315</v>
      </c>
      <c r="C97" s="6">
        <v>12</v>
      </c>
      <c r="D97" s="2" t="s">
        <v>430</v>
      </c>
      <c r="E97" s="6">
        <v>1600</v>
      </c>
      <c r="F97" s="24" t="s">
        <v>288</v>
      </c>
      <c r="G97" s="18">
        <f>3957+1687+1804+2103+2532+1582+56671+159021+6533+1</f>
        <v>235891</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26100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f>586684+104742</f>
        <v>691426</v>
      </c>
      <c r="G110" s="18">
        <v>11575</v>
      </c>
      <c r="H110" s="18"/>
      <c r="I110" s="18"/>
      <c r="J110" s="18">
        <v>-106632</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717598</v>
      </c>
      <c r="G111" s="41">
        <f>SUM(G96:G110)</f>
        <v>247578</v>
      </c>
      <c r="H111" s="41">
        <f>SUM(H96:H110)</f>
        <v>0</v>
      </c>
      <c r="I111" s="41">
        <f>SUM(I96:I110)</f>
        <v>0</v>
      </c>
      <c r="J111" s="41">
        <f>SUM(J96:J110)</f>
        <v>-83068</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26124898</v>
      </c>
      <c r="G112" s="41">
        <f>G60+G111</f>
        <v>247578</v>
      </c>
      <c r="H112" s="41">
        <f>H60+H79+H94+H111</f>
        <v>0</v>
      </c>
      <c r="I112" s="41">
        <f>I60+I111</f>
        <v>0</v>
      </c>
      <c r="J112" s="41">
        <f>J60+J111</f>
        <v>-83068</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f>10868611-31923</f>
        <v>10836688</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3161537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31923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14030148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308133</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30824</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53167</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338957</v>
      </c>
      <c r="G136" s="41">
        <f>SUM(G123:G135)</f>
        <v>53167</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14369105</v>
      </c>
      <c r="G140" s="41">
        <f>G121+SUM(G136:G137)</f>
        <v>53167</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f>309322-299</f>
        <v>309023</v>
      </c>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309023</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14551+442973</f>
        <v>457524</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6488+30965+56280</f>
        <v>93733</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1164904</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3489+23426+3311+6782+4391+65712+184080+440783</f>
        <v>731974</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621021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f>20771+25825</f>
        <v>46596</v>
      </c>
      <c r="H161" s="18">
        <f>42632+142515+7351-3</f>
        <v>192495</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513489+668723</f>
        <v>1182212</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621021</v>
      </c>
      <c r="G163" s="41">
        <f>SUM(G150:G162)</f>
        <v>1211500</v>
      </c>
      <c r="H163" s="41">
        <f>SUM(H150:H162)</f>
        <v>2657938</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621021</v>
      </c>
      <c r="G170" s="41">
        <f>G147+G163+SUM(G164:G169)</f>
        <v>1211500</v>
      </c>
      <c r="H170" s="41">
        <f>H147+H163+SUM(H164:H169)</f>
        <v>2966961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300000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300000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41115024</v>
      </c>
      <c r="G194" s="47">
        <f>G112+G140+G170+G193</f>
        <v>1512245</v>
      </c>
      <c r="H194" s="47">
        <f>H112+H140+H170+H193</f>
        <v>2966961</v>
      </c>
      <c r="I194" s="47">
        <f>I112+I140+I170+I193</f>
        <v>0</v>
      </c>
      <c r="J194" s="47">
        <f>J112+J140+J193</f>
        <v>216932</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4435709+198124+2</f>
        <v>4633835</v>
      </c>
      <c r="G198" s="18">
        <f>9118+1770016</f>
        <v>1779134</v>
      </c>
      <c r="H198" s="18">
        <f>1937</f>
        <v>1937</v>
      </c>
      <c r="I198" s="18">
        <f>77327+43601</f>
        <v>120928</v>
      </c>
      <c r="J198" s="18">
        <f>40960</f>
        <v>40960</v>
      </c>
      <c r="K198" s="18"/>
      <c r="L198" s="19">
        <f>SUM(F198:K198)</f>
        <v>6576794</v>
      </c>
      <c r="M198" s="8"/>
      <c r="N198" s="265"/>
    </row>
    <row r="199" spans="1:14" s="3" customFormat="1" ht="12.2" customHeight="1" x14ac:dyDescent="0.15">
      <c r="A199" s="1" t="s">
        <v>439</v>
      </c>
      <c r="B199" s="2" t="s">
        <v>341</v>
      </c>
      <c r="C199" s="2" t="s">
        <v>291</v>
      </c>
      <c r="D199" s="2" t="s">
        <v>431</v>
      </c>
      <c r="E199" s="6">
        <v>1200</v>
      </c>
      <c r="F199" s="18">
        <f>2416613+56919</f>
        <v>2473532</v>
      </c>
      <c r="G199" s="18">
        <v>983795</v>
      </c>
      <c r="H199" s="18">
        <f>629752+69364</f>
        <v>699116</v>
      </c>
      <c r="I199" s="18">
        <f>3103+1276</f>
        <v>4379</v>
      </c>
      <c r="J199" s="18">
        <v>1910</v>
      </c>
      <c r="K199" s="18"/>
      <c r="L199" s="19">
        <f>SUM(F199:K199)</f>
        <v>4162732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49482</v>
      </c>
      <c r="G201" s="18">
        <v>55811</v>
      </c>
      <c r="H201" s="18"/>
      <c r="I201" s="18"/>
      <c r="J201" s="18"/>
      <c r="K201" s="18">
        <v>127</v>
      </c>
      <c r="L201" s="19">
        <f>SUM(F201:K201)</f>
        <v>105420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755145+596680</f>
        <v>1351825</v>
      </c>
      <c r="G203" s="18">
        <v>675691</v>
      </c>
      <c r="H203" s="18">
        <f>263734+17862</f>
        <v>281596</v>
      </c>
      <c r="I203" s="18">
        <f>5600+3662</f>
        <v>9262</v>
      </c>
      <c r="J203" s="18">
        <v>288</v>
      </c>
      <c r="K203" s="18">
        <v>829</v>
      </c>
      <c r="L203" s="19">
        <f t="shared" ref="L203:L209" si="0">SUM(F203:K203)</f>
        <v>2319491</v>
      </c>
      <c r="M203" s="8"/>
      <c r="N203" s="265"/>
    </row>
    <row r="204" spans="1:14" s="3" customFormat="1" ht="12.2" customHeight="1" x14ac:dyDescent="0.15">
      <c r="A204" s="1" t="s">
        <v>443</v>
      </c>
      <c r="B204" s="2" t="s">
        <v>341</v>
      </c>
      <c r="C204" s="2" t="s">
        <v>295</v>
      </c>
      <c r="D204" s="2" t="s">
        <v>431</v>
      </c>
      <c r="E204" s="6">
        <v>2200</v>
      </c>
      <c r="F204" s="18">
        <f>73276+156550</f>
        <v>229826</v>
      </c>
      <c r="G204" s="18">
        <v>120816</v>
      </c>
      <c r="H204" s="18">
        <f>197+17819</f>
        <v>18016</v>
      </c>
      <c r="I204" s="18">
        <f>7416+68113</f>
        <v>75529</v>
      </c>
      <c r="J204" s="18">
        <v>52637</v>
      </c>
      <c r="K204" s="18"/>
      <c r="L204" s="19">
        <f t="shared" si="0"/>
        <v>496824</v>
      </c>
      <c r="M204" s="8"/>
      <c r="N204" s="265"/>
    </row>
    <row r="205" spans="1:14" s="3" customFormat="1" ht="12.2" customHeight="1" x14ac:dyDescent="0.15">
      <c r="A205" s="1" t="s">
        <v>444</v>
      </c>
      <c r="B205" s="2" t="s">
        <v>341</v>
      </c>
      <c r="C205" s="2" t="s">
        <v>296</v>
      </c>
      <c r="D205" s="2" t="s">
        <v>431</v>
      </c>
      <c r="E205" s="6">
        <v>2300</v>
      </c>
      <c r="F205" s="18">
        <v>10412</v>
      </c>
      <c r="G205" s="18">
        <v>430</v>
      </c>
      <c r="H205" s="18">
        <f>47130+351261</f>
        <v>398391</v>
      </c>
      <c r="I205" s="18">
        <v>6915</v>
      </c>
      <c r="J205" s="18"/>
      <c r="K205" s="18">
        <v>2580</v>
      </c>
      <c r="L205" s="19">
        <f t="shared" si="0"/>
        <v>418728</v>
      </c>
      <c r="M205" s="8"/>
      <c r="N205" s="265"/>
    </row>
    <row r="206" spans="1:14" s="3" customFormat="1" ht="12.2" customHeight="1" x14ac:dyDescent="0.15">
      <c r="A206" s="1" t="s">
        <v>445</v>
      </c>
      <c r="B206" s="2" t="s">
        <v>341</v>
      </c>
      <c r="C206" s="2" t="s">
        <v>297</v>
      </c>
      <c r="D206" s="2" t="s">
        <v>431</v>
      </c>
      <c r="E206" s="6">
        <v>2400</v>
      </c>
      <c r="F206" s="18">
        <f>684070</f>
        <v>684070</v>
      </c>
      <c r="G206" s="18">
        <v>258840</v>
      </c>
      <c r="H206" s="18">
        <f>27237</f>
        <v>27237</v>
      </c>
      <c r="I206" s="18"/>
      <c r="J206" s="18">
        <v>28439</v>
      </c>
      <c r="K206" s="18">
        <f>4307</f>
        <v>4307</v>
      </c>
      <c r="L206" s="19">
        <f t="shared" si="0"/>
        <v>1002893</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f>385273+320519</f>
        <v>705792</v>
      </c>
      <c r="G208" s="18">
        <v>261581</v>
      </c>
      <c r="H208" s="18">
        <f>283973+181161</f>
        <v>465134</v>
      </c>
      <c r="I208" s="18">
        <f>463897+83682</f>
        <v>547579</v>
      </c>
      <c r="J208" s="18">
        <v>47215</v>
      </c>
      <c r="K208" s="18"/>
      <c r="L208" s="19">
        <f t="shared" si="0"/>
        <v>2027301</v>
      </c>
      <c r="M208" s="8"/>
      <c r="N208" s="265"/>
    </row>
    <row r="209" spans="1:14" s="3" customFormat="1" ht="12.2" customHeight="1" x14ac:dyDescent="0.15">
      <c r="A209" s="1" t="s">
        <v>448</v>
      </c>
      <c r="B209" s="2" t="s">
        <v>341</v>
      </c>
      <c r="C209" s="2" t="s">
        <v>300</v>
      </c>
      <c r="D209" s="2" t="s">
        <v>431</v>
      </c>
      <c r="E209" s="6">
        <v>2700</v>
      </c>
      <c r="F209" s="18">
        <f>38281+407459</f>
        <v>445740</v>
      </c>
      <c r="G209" s="18">
        <v>137130</v>
      </c>
      <c r="H209" s="18">
        <v>194466</v>
      </c>
      <c r="I209" s="18">
        <v>59612</v>
      </c>
      <c r="J209" s="18">
        <v>80921</v>
      </c>
      <c r="K209" s="18">
        <v>277</v>
      </c>
      <c r="L209" s="19">
        <f t="shared" si="0"/>
        <v>918146</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10584514</v>
      </c>
      <c r="G212" s="41">
        <f t="shared" si="1"/>
        <v>4273228</v>
      </c>
      <c r="H212" s="41">
        <f t="shared" si="1"/>
        <v>2085893</v>
      </c>
      <c r="I212" s="41">
        <f t="shared" si="1"/>
        <v>824204</v>
      </c>
      <c r="J212" s="41">
        <f t="shared" si="1"/>
        <v>252370</v>
      </c>
      <c r="K212" s="41">
        <f t="shared" si="1"/>
        <v>8120</v>
      </c>
      <c r="L212" s="41">
        <f t="shared" si="1"/>
        <v>18028329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f>2366403+102432+2</f>
        <v>2468837</v>
      </c>
      <c r="G216" s="18">
        <v>915109</v>
      </c>
      <c r="H216" s="18">
        <f>3186</f>
        <v>3186</v>
      </c>
      <c r="I216" s="18">
        <f>27238+22542</f>
        <v>49780</v>
      </c>
      <c r="J216" s="18">
        <f>27962</f>
        <v>27962</v>
      </c>
      <c r="K216" s="18"/>
      <c r="L216" s="19">
        <f>SUM(F216:K216)</f>
        <v>3464874</v>
      </c>
      <c r="M216" s="8"/>
      <c r="N216" s="265"/>
    </row>
    <row r="217" spans="1:14" s="3" customFormat="1" ht="12.2" customHeight="1" x14ac:dyDescent="0.15">
      <c r="A217" s="1" t="s">
        <v>439</v>
      </c>
      <c r="B217" s="2" t="s">
        <v>346</v>
      </c>
      <c r="C217" s="2" t="s">
        <v>291</v>
      </c>
      <c r="D217" s="2" t="s">
        <v>431</v>
      </c>
      <c r="E217" s="6">
        <v>1200</v>
      </c>
      <c r="F217" s="18">
        <f>970240+29428</f>
        <v>999668</v>
      </c>
      <c r="G217" s="18">
        <v>508628</v>
      </c>
      <c r="H217" s="18">
        <f>305489+35861</f>
        <v>341350</v>
      </c>
      <c r="I217" s="18">
        <f>2823+660</f>
        <v>3483</v>
      </c>
      <c r="J217" s="18">
        <f>630+987</f>
        <v>1617</v>
      </c>
      <c r="K217" s="18"/>
      <c r="L217" s="19">
        <f>SUM(F217:K217)</f>
        <v>1854746</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f>70830</f>
        <v>70830</v>
      </c>
      <c r="G219" s="18">
        <v>28854</v>
      </c>
      <c r="H219" s="18"/>
      <c r="I219" s="18">
        <f>28500</f>
        <v>28500</v>
      </c>
      <c r="J219" s="18">
        <f>7312</f>
        <v>7312</v>
      </c>
      <c r="K219" s="18">
        <v>66</v>
      </c>
      <c r="L219" s="19">
        <f>SUM(F219:K219)</f>
        <v>135562</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f>425234+308488</f>
        <v>733722</v>
      </c>
      <c r="G221" s="18">
        <v>349336</v>
      </c>
      <c r="H221" s="18">
        <f>75231+9235</f>
        <v>84466</v>
      </c>
      <c r="I221" s="18">
        <f>2527+1893</f>
        <v>4420</v>
      </c>
      <c r="J221" s="18">
        <v>149</v>
      </c>
      <c r="K221" s="18">
        <v>429</v>
      </c>
      <c r="L221" s="19">
        <f t="shared" ref="L221:L227" si="2">SUM(F221:K221)</f>
        <v>1172522</v>
      </c>
      <c r="M221" s="8"/>
      <c r="N221" s="265"/>
    </row>
    <row r="222" spans="1:14" s="3" customFormat="1" ht="12.2" customHeight="1" x14ac:dyDescent="0.15">
      <c r="A222" s="1" t="s">
        <v>443</v>
      </c>
      <c r="B222" s="2" t="s">
        <v>346</v>
      </c>
      <c r="C222" s="2" t="s">
        <v>295</v>
      </c>
      <c r="D222" s="2" t="s">
        <v>431</v>
      </c>
      <c r="E222" s="6">
        <v>2200</v>
      </c>
      <c r="F222" s="18">
        <f>89237+80937</f>
        <v>170174</v>
      </c>
      <c r="G222" s="18">
        <v>62462</v>
      </c>
      <c r="H222" s="18">
        <v>9212</v>
      </c>
      <c r="I222" s="18">
        <f>12950+35215</f>
        <v>48165</v>
      </c>
      <c r="J222" s="18">
        <f>500+27213</f>
        <v>27713</v>
      </c>
      <c r="K222" s="18"/>
      <c r="L222" s="19">
        <f t="shared" si="2"/>
        <v>317726</v>
      </c>
      <c r="M222" s="8"/>
      <c r="N222" s="265"/>
    </row>
    <row r="223" spans="1:14" s="3" customFormat="1" ht="12.2" customHeight="1" x14ac:dyDescent="0.15">
      <c r="A223" s="1" t="s">
        <v>444</v>
      </c>
      <c r="B223" s="2" t="s">
        <v>346</v>
      </c>
      <c r="C223" s="2" t="s">
        <v>296</v>
      </c>
      <c r="D223" s="2" t="s">
        <v>431</v>
      </c>
      <c r="E223" s="6">
        <v>2300</v>
      </c>
      <c r="F223" s="18">
        <v>5383</v>
      </c>
      <c r="G223" s="18">
        <v>222</v>
      </c>
      <c r="H223" s="18">
        <f>14418+24366+181604</f>
        <v>220388</v>
      </c>
      <c r="I223" s="18">
        <v>3575</v>
      </c>
      <c r="J223" s="18"/>
      <c r="K223" s="18">
        <v>1334</v>
      </c>
      <c r="L223" s="19">
        <f t="shared" si="2"/>
        <v>230902</v>
      </c>
      <c r="M223" s="8"/>
      <c r="N223" s="265"/>
    </row>
    <row r="224" spans="1:14" s="3" customFormat="1" ht="12.2" customHeight="1" x14ac:dyDescent="0.15">
      <c r="A224" s="1" t="s">
        <v>445</v>
      </c>
      <c r="B224" s="2" t="s">
        <v>346</v>
      </c>
      <c r="C224" s="2" t="s">
        <v>297</v>
      </c>
      <c r="D224" s="2" t="s">
        <v>431</v>
      </c>
      <c r="E224" s="6">
        <v>2400</v>
      </c>
      <c r="F224" s="18">
        <f>285481</f>
        <v>285481</v>
      </c>
      <c r="G224" s="18">
        <v>133822</v>
      </c>
      <c r="H224" s="18">
        <f>7874</f>
        <v>7874</v>
      </c>
      <c r="I224" s="18"/>
      <c r="J224" s="18">
        <v>14703</v>
      </c>
      <c r="K224" s="18">
        <f>950</f>
        <v>950</v>
      </c>
      <c r="L224" s="19">
        <f t="shared" si="2"/>
        <v>442830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f>131546+165710</f>
        <v>297256</v>
      </c>
      <c r="G226" s="18">
        <v>135239</v>
      </c>
      <c r="H226" s="18">
        <f>116231+93661</f>
        <v>209892</v>
      </c>
      <c r="I226" s="18">
        <f>112337+43264</f>
        <v>155601</v>
      </c>
      <c r="J226" s="18">
        <v>24410</v>
      </c>
      <c r="K226" s="18"/>
      <c r="L226" s="19">
        <f t="shared" si="2"/>
        <v>822398</v>
      </c>
      <c r="M226" s="8"/>
      <c r="N226" s="265"/>
    </row>
    <row r="227" spans="1:14" s="3" customFormat="1" ht="12.2" customHeight="1" x14ac:dyDescent="0.15">
      <c r="A227" s="1" t="s">
        <v>448</v>
      </c>
      <c r="B227" s="2" t="s">
        <v>346</v>
      </c>
      <c r="C227" s="2" t="s">
        <v>300</v>
      </c>
      <c r="D227" s="2" t="s">
        <v>431</v>
      </c>
      <c r="E227" s="6">
        <v>2700</v>
      </c>
      <c r="F227" s="18">
        <f>11903+210659</f>
        <v>222562</v>
      </c>
      <c r="G227" s="18">
        <v>70897</v>
      </c>
      <c r="H227" s="18">
        <v>100540</v>
      </c>
      <c r="I227" s="18">
        <v>30820</v>
      </c>
      <c r="J227" s="18">
        <v>41837</v>
      </c>
      <c r="K227" s="18">
        <v>143</v>
      </c>
      <c r="L227" s="19">
        <f t="shared" si="2"/>
        <v>466799</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5253913</v>
      </c>
      <c r="G230" s="41">
        <f>SUM(G216:G229)</f>
        <v>2204569</v>
      </c>
      <c r="H230" s="41">
        <f>SUM(H216:H229)</f>
        <v>976908</v>
      </c>
      <c r="I230" s="41">
        <f>SUM(I216:I229)</f>
        <v>324344</v>
      </c>
      <c r="J230" s="41">
        <f>SUM(J216:J229)</f>
        <v>145703</v>
      </c>
      <c r="K230" s="41">
        <f t="shared" si="3"/>
        <v>2922</v>
      </c>
      <c r="L230" s="41">
        <f t="shared" si="3"/>
        <v>8908359</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f>2558915+166466+2</f>
        <v>2725383</v>
      </c>
      <c r="G234" s="18">
        <v>1487183</v>
      </c>
      <c r="H234" s="18">
        <f>2170</f>
        <v>2170</v>
      </c>
      <c r="I234" s="18">
        <f>74102+36634</f>
        <v>110736</v>
      </c>
      <c r="J234" s="18">
        <f>23725</f>
        <v>23725</v>
      </c>
      <c r="K234" s="18"/>
      <c r="L234" s="19">
        <f>SUM(F234:K234)</f>
        <v>4349197</v>
      </c>
      <c r="M234" s="8"/>
      <c r="N234" s="265"/>
    </row>
    <row r="235" spans="1:14" s="3" customFormat="1" ht="12.2" customHeight="1" x14ac:dyDescent="0.15">
      <c r="A235" s="1" t="s">
        <v>439</v>
      </c>
      <c r="B235" s="2" t="s">
        <v>350</v>
      </c>
      <c r="C235" s="2" t="s">
        <v>291</v>
      </c>
      <c r="D235" s="2" t="s">
        <v>431</v>
      </c>
      <c r="E235" s="6">
        <v>1200</v>
      </c>
      <c r="F235" s="18">
        <f>1165249+47824</f>
        <v>1213073</v>
      </c>
      <c r="G235" s="18">
        <v>826593</v>
      </c>
      <c r="H235" s="18">
        <f>334565+58280</f>
        <v>392845</v>
      </c>
      <c r="I235" s="18">
        <f>3085+1072</f>
        <v>4157</v>
      </c>
      <c r="J235" s="18">
        <f>890+1604</f>
        <v>2494</v>
      </c>
      <c r="K235" s="18"/>
      <c r="L235" s="19">
        <f>SUM(F235:K235)</f>
        <v>2439162</v>
      </c>
      <c r="M235" s="8"/>
      <c r="N235" s="265"/>
    </row>
    <row r="236" spans="1:14" s="3" customFormat="1" ht="12.2" customHeight="1" x14ac:dyDescent="0.15">
      <c r="A236" s="1" t="s">
        <v>440</v>
      </c>
      <c r="B236" s="2" t="s">
        <v>350</v>
      </c>
      <c r="C236" s="2" t="s">
        <v>292</v>
      </c>
      <c r="D236" s="2" t="s">
        <v>431</v>
      </c>
      <c r="E236" s="6">
        <v>1300</v>
      </c>
      <c r="F236" s="18"/>
      <c r="G236" s="18"/>
      <c r="H236" s="18">
        <v>342812</v>
      </c>
      <c r="I236" s="18"/>
      <c r="J236" s="18"/>
      <c r="K236" s="18"/>
      <c r="L236" s="19">
        <f>SUM(F236:K236)</f>
        <v>342812</v>
      </c>
      <c r="M236" s="8"/>
      <c r="N236" s="265"/>
    </row>
    <row r="237" spans="1:14" s="3" customFormat="1" ht="12.2" customHeight="1" x14ac:dyDescent="0.15">
      <c r="A237" s="1" t="s">
        <v>441</v>
      </c>
      <c r="B237" s="2" t="s">
        <v>350</v>
      </c>
      <c r="C237" s="2" t="s">
        <v>293</v>
      </c>
      <c r="D237" s="2" t="s">
        <v>431</v>
      </c>
      <c r="E237" s="6">
        <v>1400</v>
      </c>
      <c r="F237" s="18">
        <v>336041</v>
      </c>
      <c r="G237" s="18">
        <v>46893</v>
      </c>
      <c r="H237" s="18">
        <f>2520</f>
        <v>2520</v>
      </c>
      <c r="I237" s="18">
        <f>41500</f>
        <v>41500</v>
      </c>
      <c r="J237" s="18">
        <f>59989</f>
        <v>59989</v>
      </c>
      <c r="K237" s="18">
        <f>5252+107</f>
        <v>5359</v>
      </c>
      <c r="L237" s="19">
        <f>SUM(F237:K237)</f>
        <v>492302</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f>518854+501336</f>
        <v>1020190</v>
      </c>
      <c r="G239" s="18">
        <v>567722</v>
      </c>
      <c r="H239" s="18">
        <f>245608+15008</f>
        <v>260616</v>
      </c>
      <c r="I239" s="18">
        <f>7760+3077</f>
        <v>10837</v>
      </c>
      <c r="J239" s="18">
        <v>242</v>
      </c>
      <c r="K239" s="18">
        <v>697</v>
      </c>
      <c r="L239" s="19">
        <f t="shared" ref="L239:L245" si="4">SUM(F239:K239)</f>
        <v>1860304</v>
      </c>
      <c r="M239" s="8"/>
      <c r="N239" s="265"/>
    </row>
    <row r="240" spans="1:14" s="3" customFormat="1" ht="12.2" customHeight="1" x14ac:dyDescent="0.15">
      <c r="A240" s="1" t="s">
        <v>443</v>
      </c>
      <c r="B240" s="2" t="s">
        <v>350</v>
      </c>
      <c r="C240" s="2" t="s">
        <v>295</v>
      </c>
      <c r="D240" s="2" t="s">
        <v>431</v>
      </c>
      <c r="E240" s="6">
        <v>2200</v>
      </c>
      <c r="F240" s="18">
        <f>76852+131535</f>
        <v>208387</v>
      </c>
      <c r="G240" s="18">
        <v>101510</v>
      </c>
      <c r="H240" s="18">
        <v>14971</v>
      </c>
      <c r="I240" s="18">
        <f>11809+57229</f>
        <v>69038</v>
      </c>
      <c r="J240" s="18">
        <f>1766+44226</f>
        <v>45992</v>
      </c>
      <c r="K240" s="18"/>
      <c r="L240" s="19">
        <f t="shared" si="4"/>
        <v>439898</v>
      </c>
      <c r="M240" s="8"/>
      <c r="N240" s="265"/>
    </row>
    <row r="241" spans="1:14" s="3" customFormat="1" ht="12.2" customHeight="1" x14ac:dyDescent="0.15">
      <c r="A241" s="1" t="s">
        <v>444</v>
      </c>
      <c r="B241" s="2" t="s">
        <v>350</v>
      </c>
      <c r="C241" s="2" t="s">
        <v>296</v>
      </c>
      <c r="D241" s="2" t="s">
        <v>431</v>
      </c>
      <c r="E241" s="6">
        <v>2300</v>
      </c>
      <c r="F241" s="18">
        <v>8748</v>
      </c>
      <c r="G241" s="18">
        <v>361</v>
      </c>
      <c r="H241" s="18">
        <f>39599+295133</f>
        <v>334732</v>
      </c>
      <c r="I241" s="18">
        <v>5810</v>
      </c>
      <c r="J241" s="18"/>
      <c r="K241" s="18">
        <v>2168</v>
      </c>
      <c r="L241" s="19">
        <f t="shared" si="4"/>
        <v>351819</v>
      </c>
      <c r="M241" s="8"/>
      <c r="N241" s="265"/>
    </row>
    <row r="242" spans="1:14" s="3" customFormat="1" ht="12.2" customHeight="1" x14ac:dyDescent="0.15">
      <c r="A242" s="1" t="s">
        <v>445</v>
      </c>
      <c r="B242" s="2" t="s">
        <v>350</v>
      </c>
      <c r="C242" s="2" t="s">
        <v>297</v>
      </c>
      <c r="D242" s="2" t="s">
        <v>431</v>
      </c>
      <c r="E242" s="6">
        <v>2400</v>
      </c>
      <c r="F242" s="18">
        <f>430244</f>
        <v>430244</v>
      </c>
      <c r="G242" s="18">
        <v>217480</v>
      </c>
      <c r="H242" s="18">
        <v>7542</v>
      </c>
      <c r="I242" s="18">
        <f>176</f>
        <v>176</v>
      </c>
      <c r="J242" s="18">
        <v>23895</v>
      </c>
      <c r="K242" s="18">
        <f>31807</f>
        <v>31807</v>
      </c>
      <c r="L242" s="19">
        <f t="shared" si="4"/>
        <v>711144</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f>265861+269303</f>
        <v>535164</v>
      </c>
      <c r="G244" s="18">
        <v>219783</v>
      </c>
      <c r="H244" s="18">
        <f>177444+152213</f>
        <v>329657</v>
      </c>
      <c r="I244" s="18">
        <f>196269+70310</f>
        <v>266579</v>
      </c>
      <c r="J244" s="18">
        <v>39670</v>
      </c>
      <c r="K244" s="18"/>
      <c r="L244" s="19">
        <f t="shared" si="4"/>
        <v>1390853</v>
      </c>
      <c r="M244" s="8"/>
      <c r="N244" s="265"/>
    </row>
    <row r="245" spans="1:14" s="3" customFormat="1" ht="12.2" customHeight="1" x14ac:dyDescent="0.15">
      <c r="A245" s="1" t="s">
        <v>448</v>
      </c>
      <c r="B245" s="2" t="s">
        <v>350</v>
      </c>
      <c r="C245" s="2" t="s">
        <v>300</v>
      </c>
      <c r="D245" s="2" t="s">
        <v>431</v>
      </c>
      <c r="E245" s="6">
        <v>2700</v>
      </c>
      <c r="F245" s="18">
        <f>32611+342350</f>
        <v>374961</v>
      </c>
      <c r="G245" s="18">
        <v>115218</v>
      </c>
      <c r="H245" s="18">
        <v>163392</v>
      </c>
      <c r="I245" s="18">
        <v>50086</v>
      </c>
      <c r="J245" s="18">
        <v>67991</v>
      </c>
      <c r="K245" s="18">
        <v>233</v>
      </c>
      <c r="L245" s="19">
        <f t="shared" si="4"/>
        <v>771881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6852191</v>
      </c>
      <c r="G248" s="41">
        <f t="shared" si="5"/>
        <v>3582743</v>
      </c>
      <c r="H248" s="41">
        <f t="shared" si="5"/>
        <v>1851257</v>
      </c>
      <c r="I248" s="41">
        <f t="shared" si="5"/>
        <v>558919</v>
      </c>
      <c r="J248" s="41">
        <f t="shared" si="5"/>
        <v>263998</v>
      </c>
      <c r="K248" s="41">
        <f t="shared" si="5"/>
        <v>40264</v>
      </c>
      <c r="L248" s="41">
        <f t="shared" si="5"/>
        <v>13149372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1229729</v>
      </c>
      <c r="I256" s="18"/>
      <c r="J256" s="18"/>
      <c r="K256" s="18"/>
      <c r="L256" s="19">
        <f t="shared" si="6"/>
        <v>1229729</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1229729</v>
      </c>
      <c r="I257" s="41">
        <f t="shared" si="7"/>
        <v>0</v>
      </c>
      <c r="J257" s="41">
        <f t="shared" si="7"/>
        <v>0</v>
      </c>
      <c r="K257" s="41">
        <f t="shared" si="7"/>
        <v>0</v>
      </c>
      <c r="L257" s="41">
        <f>SUM(F257:K257)</f>
        <v>1229729</v>
      </c>
      <c r="M257" s="8"/>
      <c r="N257" s="265"/>
    </row>
    <row r="258" spans="1:14" s="3" customFormat="1" ht="12.2" customHeight="1" thickTop="1" x14ac:dyDescent="0.15">
      <c r="A258" s="38" t="s">
        <v>462</v>
      </c>
      <c r="B258" s="40">
        <v>10</v>
      </c>
      <c r="C258" s="40">
        <v>8</v>
      </c>
      <c r="D258" s="39" t="s">
        <v>431</v>
      </c>
      <c r="E258" s="40"/>
      <c r="F258" s="41">
        <f t="shared" ref="F258:L258" si="8">F212+F230+F248+F257</f>
        <v>22690618</v>
      </c>
      <c r="G258" s="41">
        <f t="shared" si="8"/>
        <v>10060540</v>
      </c>
      <c r="H258" s="41">
        <f t="shared" si="8"/>
        <v>6143787</v>
      </c>
      <c r="I258" s="41">
        <f t="shared" si="8"/>
        <v>1707467</v>
      </c>
      <c r="J258" s="41">
        <f t="shared" si="8"/>
        <v>662071</v>
      </c>
      <c r="K258" s="41">
        <f t="shared" si="8"/>
        <v>51306</v>
      </c>
      <c r="L258" s="41">
        <f t="shared" si="8"/>
        <v>41315789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300000</v>
      </c>
      <c r="L267" s="19">
        <f t="shared" si="9"/>
        <v>300000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300000</v>
      </c>
      <c r="L271" s="41">
        <f t="shared" si="9"/>
        <v>300000</v>
      </c>
      <c r="M271" s="8"/>
      <c r="N271" s="265"/>
    </row>
    <row r="272" spans="1:14" s="34" customFormat="1" ht="12.2" customHeight="1" thickTop="1" x14ac:dyDescent="0.2">
      <c r="A272" s="43" t="s">
        <v>464</v>
      </c>
      <c r="B272" s="40">
        <v>10</v>
      </c>
      <c r="C272" s="40">
        <v>18</v>
      </c>
      <c r="D272" s="39" t="s">
        <v>431</v>
      </c>
      <c r="E272" s="40"/>
      <c r="F272" s="42">
        <f t="shared" ref="F272:L272" si="11">F258+F271</f>
        <v>22690618</v>
      </c>
      <c r="G272" s="42">
        <f t="shared" si="11"/>
        <v>10060540</v>
      </c>
      <c r="H272" s="42">
        <f t="shared" si="11"/>
        <v>6143787</v>
      </c>
      <c r="I272" s="42">
        <f t="shared" si="11"/>
        <v>1707467</v>
      </c>
      <c r="J272" s="42">
        <f t="shared" si="11"/>
        <v>662071</v>
      </c>
      <c r="K272" s="42">
        <f t="shared" si="11"/>
        <v>351306</v>
      </c>
      <c r="L272" s="42">
        <f t="shared" si="11"/>
        <v>41615789</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24749+101728</f>
        <v>126477</v>
      </c>
      <c r="G277" s="18">
        <v>56090</v>
      </c>
      <c r="H277" s="18">
        <v>27256</v>
      </c>
      <c r="I277" s="18">
        <v>60367</v>
      </c>
      <c r="J277" s="18">
        <v>89099</v>
      </c>
      <c r="K277" s="18"/>
      <c r="L277" s="19">
        <f>SUM(F277:K277)</f>
        <v>359289</v>
      </c>
      <c r="M277" s="8"/>
      <c r="N277" s="265"/>
    </row>
    <row r="278" spans="1:14" s="3" customFormat="1" ht="12.2" customHeight="1" x14ac:dyDescent="0.15">
      <c r="A278" s="1" t="s">
        <v>439</v>
      </c>
      <c r="B278" s="2" t="s">
        <v>357</v>
      </c>
      <c r="C278" s="2" t="s">
        <v>291</v>
      </c>
      <c r="D278" s="2" t="s">
        <v>431</v>
      </c>
      <c r="E278" s="6">
        <v>1200</v>
      </c>
      <c r="F278" s="18">
        <v>156834</v>
      </c>
      <c r="G278" s="18">
        <v>81530</v>
      </c>
      <c r="H278" s="18">
        <v>11005</v>
      </c>
      <c r="I278" s="18">
        <v>48724</v>
      </c>
      <c r="J278" s="18">
        <v>21989</v>
      </c>
      <c r="K278" s="18"/>
      <c r="L278" s="19">
        <f>SUM(F278:K278)</f>
        <v>320082</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10565</f>
        <v>10565</v>
      </c>
      <c r="G280" s="18">
        <v>1195</v>
      </c>
      <c r="H280" s="18">
        <v>1047</v>
      </c>
      <c r="I280" s="18">
        <v>3323</v>
      </c>
      <c r="J280" s="18">
        <v>2371</v>
      </c>
      <c r="K280" s="18"/>
      <c r="L280" s="19">
        <f>SUM(F280:K280)</f>
        <v>18501</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43744</v>
      </c>
      <c r="G282" s="18">
        <v>19121</v>
      </c>
      <c r="H282" s="18"/>
      <c r="I282" s="18"/>
      <c r="J282" s="18"/>
      <c r="K282" s="18"/>
      <c r="L282" s="19">
        <f t="shared" ref="L282:L288" si="12">SUM(F282:K282)</f>
        <v>62865</v>
      </c>
      <c r="M282" s="8"/>
      <c r="N282" s="265"/>
    </row>
    <row r="283" spans="1:14" s="3" customFormat="1" ht="12.2" customHeight="1" x14ac:dyDescent="0.15">
      <c r="A283" s="1" t="s">
        <v>443</v>
      </c>
      <c r="B283" s="2" t="s">
        <v>357</v>
      </c>
      <c r="C283" s="2" t="s">
        <v>295</v>
      </c>
      <c r="D283" s="2" t="s">
        <v>431</v>
      </c>
      <c r="E283" s="6">
        <v>2200</v>
      </c>
      <c r="F283" s="18">
        <v>36001</v>
      </c>
      <c r="G283" s="18">
        <v>9994</v>
      </c>
      <c r="H283" s="18">
        <v>20260</v>
      </c>
      <c r="I283" s="18">
        <v>1466</v>
      </c>
      <c r="J283" s="18">
        <v>116047</v>
      </c>
      <c r="K283" s="18"/>
      <c r="L283" s="19">
        <f t="shared" si="12"/>
        <v>183768</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v>14684</v>
      </c>
      <c r="L286" s="19">
        <f t="shared" si="12"/>
        <v>14684</v>
      </c>
      <c r="M286" s="8"/>
      <c r="N286" s="265"/>
    </row>
    <row r="287" spans="1:14" s="3" customFormat="1" ht="12.2" customHeight="1" x14ac:dyDescent="0.15">
      <c r="A287" s="1" t="s">
        <v>447</v>
      </c>
      <c r="B287" s="2" t="s">
        <v>357</v>
      </c>
      <c r="C287" s="2" t="s">
        <v>299</v>
      </c>
      <c r="D287" s="2" t="s">
        <v>431</v>
      </c>
      <c r="E287" s="6">
        <v>2600</v>
      </c>
      <c r="F287" s="18"/>
      <c r="G287" s="18"/>
      <c r="H287" s="18"/>
      <c r="I287" s="18">
        <v>5292</v>
      </c>
      <c r="J287" s="18"/>
      <c r="K287" s="18"/>
      <c r="L287" s="19">
        <f t="shared" si="12"/>
        <v>5292</v>
      </c>
      <c r="M287" s="8"/>
      <c r="N287" s="265"/>
    </row>
    <row r="288" spans="1:14" s="3" customFormat="1" ht="12.2" customHeight="1" x14ac:dyDescent="0.15">
      <c r="A288" s="1" t="s">
        <v>448</v>
      </c>
      <c r="B288" s="2" t="s">
        <v>357</v>
      </c>
      <c r="C288" s="2" t="s">
        <v>300</v>
      </c>
      <c r="D288" s="2" t="s">
        <v>431</v>
      </c>
      <c r="E288" s="6">
        <v>2700</v>
      </c>
      <c r="F288" s="18"/>
      <c r="G288" s="18"/>
      <c r="H288" s="18">
        <v>3899</v>
      </c>
      <c r="I288" s="18"/>
      <c r="J288" s="18"/>
      <c r="K288" s="18"/>
      <c r="L288" s="19">
        <f t="shared" si="12"/>
        <v>3899</v>
      </c>
      <c r="M288" s="8"/>
      <c r="N288" s="265"/>
    </row>
    <row r="289" spans="1:14" s="3" customFormat="1" ht="12.2" customHeight="1" x14ac:dyDescent="0.15">
      <c r="A289" s="1" t="s">
        <v>449</v>
      </c>
      <c r="B289" s="2" t="s">
        <v>357</v>
      </c>
      <c r="C289" s="2" t="s">
        <v>343</v>
      </c>
      <c r="D289" s="2" t="s">
        <v>431</v>
      </c>
      <c r="E289" s="6">
        <v>2800</v>
      </c>
      <c r="F289" s="18">
        <f>4942+5154</f>
        <v>10096</v>
      </c>
      <c r="G289" s="18">
        <f>1371+147</f>
        <v>1518</v>
      </c>
      <c r="H289" s="18"/>
      <c r="I289" s="18">
        <v>15370</v>
      </c>
      <c r="J289" s="18"/>
      <c r="K289" s="18"/>
      <c r="L289" s="19">
        <f>SUM(F289:K289)</f>
        <v>26984</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383717</v>
      </c>
      <c r="G291" s="42">
        <f t="shared" si="13"/>
        <v>169448</v>
      </c>
      <c r="H291" s="42">
        <f t="shared" si="13"/>
        <v>63467</v>
      </c>
      <c r="I291" s="42">
        <f t="shared" si="13"/>
        <v>134542</v>
      </c>
      <c r="J291" s="42">
        <f t="shared" si="13"/>
        <v>229506</v>
      </c>
      <c r="K291" s="42">
        <f t="shared" si="13"/>
        <v>14684</v>
      </c>
      <c r="L291" s="41">
        <f t="shared" si="13"/>
        <v>995364</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52594</v>
      </c>
      <c r="G296" s="18">
        <v>28999</v>
      </c>
      <c r="H296" s="18">
        <v>14092</v>
      </c>
      <c r="I296" s="18">
        <v>31210</v>
      </c>
      <c r="J296" s="18">
        <v>46065</v>
      </c>
      <c r="K296" s="18"/>
      <c r="L296" s="19">
        <f>SUM(F296:K296)</f>
        <v>172960</v>
      </c>
      <c r="M296" s="8"/>
      <c r="N296" s="265"/>
    </row>
    <row r="297" spans="1:14" s="3" customFormat="1" ht="12.2" customHeight="1" x14ac:dyDescent="0.15">
      <c r="A297" s="1" t="s">
        <v>439</v>
      </c>
      <c r="B297" s="2" t="s">
        <v>358</v>
      </c>
      <c r="C297" s="2" t="s">
        <v>291</v>
      </c>
      <c r="D297" s="2" t="s">
        <v>431</v>
      </c>
      <c r="E297" s="6">
        <v>1200</v>
      </c>
      <c r="F297" s="18">
        <v>81804</v>
      </c>
      <c r="G297" s="18">
        <v>42152</v>
      </c>
      <c r="H297" s="18">
        <v>5690</v>
      </c>
      <c r="I297" s="18">
        <v>25191</v>
      </c>
      <c r="J297" s="18">
        <v>11368</v>
      </c>
      <c r="K297" s="18"/>
      <c r="L297" s="19">
        <f>SUM(F297:K297)</f>
        <v>166205</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v>618</v>
      </c>
      <c r="H299" s="18">
        <v>541</v>
      </c>
      <c r="I299" s="18">
        <v>1718</v>
      </c>
      <c r="J299" s="18">
        <v>1226</v>
      </c>
      <c r="K299" s="18"/>
      <c r="L299" s="19">
        <f>SUM(F299:K299)</f>
        <v>4103</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22616</v>
      </c>
      <c r="G301" s="18">
        <v>9886</v>
      </c>
      <c r="H301" s="18"/>
      <c r="I301" s="18"/>
      <c r="J301" s="18"/>
      <c r="K301" s="18"/>
      <c r="L301" s="19">
        <f t="shared" ref="L301:L307" si="14">SUM(F301:K301)</f>
        <v>32502</v>
      </c>
      <c r="M301" s="8"/>
      <c r="N301" s="265"/>
    </row>
    <row r="302" spans="1:14" s="3" customFormat="1" ht="12.2" customHeight="1" x14ac:dyDescent="0.15">
      <c r="A302" s="1" t="s">
        <v>443</v>
      </c>
      <c r="B302" s="2" t="s">
        <v>358</v>
      </c>
      <c r="C302" s="2" t="s">
        <v>295</v>
      </c>
      <c r="D302" s="2" t="s">
        <v>431</v>
      </c>
      <c r="E302" s="6">
        <v>2200</v>
      </c>
      <c r="F302" s="18">
        <v>18613</v>
      </c>
      <c r="G302" s="18">
        <v>5167</v>
      </c>
      <c r="H302" s="18">
        <v>10475</v>
      </c>
      <c r="I302" s="18">
        <v>758</v>
      </c>
      <c r="J302" s="18">
        <v>59997</v>
      </c>
      <c r="K302" s="18"/>
      <c r="L302" s="19">
        <f t="shared" si="14"/>
        <v>95010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v>7592</v>
      </c>
      <c r="L305" s="19">
        <f t="shared" si="14"/>
        <v>7592</v>
      </c>
      <c r="M305" s="8"/>
      <c r="N305" s="265"/>
    </row>
    <row r="306" spans="1:14" s="3" customFormat="1" ht="12.2" customHeight="1" x14ac:dyDescent="0.15">
      <c r="A306" s="1" t="s">
        <v>447</v>
      </c>
      <c r="B306" s="2" t="s">
        <v>358</v>
      </c>
      <c r="C306" s="2" t="s">
        <v>299</v>
      </c>
      <c r="D306" s="2" t="s">
        <v>431</v>
      </c>
      <c r="E306" s="6">
        <v>2600</v>
      </c>
      <c r="F306" s="18"/>
      <c r="G306" s="18"/>
      <c r="H306" s="18"/>
      <c r="I306" s="18">
        <v>2736</v>
      </c>
      <c r="J306" s="18"/>
      <c r="K306" s="18"/>
      <c r="L306" s="19">
        <f t="shared" si="14"/>
        <v>2736</v>
      </c>
      <c r="M306" s="8"/>
      <c r="N306" s="265"/>
    </row>
    <row r="307" spans="1:14" s="3" customFormat="1" ht="12.2" customHeight="1" x14ac:dyDescent="0.15">
      <c r="A307" s="1" t="s">
        <v>448</v>
      </c>
      <c r="B307" s="2" t="s">
        <v>358</v>
      </c>
      <c r="C307" s="2" t="s">
        <v>300</v>
      </c>
      <c r="D307" s="2" t="s">
        <v>431</v>
      </c>
      <c r="E307" s="6">
        <v>2700</v>
      </c>
      <c r="F307" s="18"/>
      <c r="G307" s="18"/>
      <c r="H307" s="18">
        <v>2016</v>
      </c>
      <c r="I307" s="18"/>
      <c r="J307" s="18"/>
      <c r="K307" s="18"/>
      <c r="L307" s="19">
        <f t="shared" si="14"/>
        <v>2016</v>
      </c>
      <c r="M307" s="8"/>
      <c r="N307" s="265"/>
    </row>
    <row r="308" spans="1:14" s="3" customFormat="1" ht="12.2" customHeight="1" x14ac:dyDescent="0.15">
      <c r="A308" s="1" t="s">
        <v>449</v>
      </c>
      <c r="B308" s="2" t="s">
        <v>358</v>
      </c>
      <c r="C308" s="2" t="s">
        <v>343</v>
      </c>
      <c r="D308" s="2" t="s">
        <v>431</v>
      </c>
      <c r="E308" s="6">
        <v>2800</v>
      </c>
      <c r="F308" s="18">
        <v>2665</v>
      </c>
      <c r="G308" s="18">
        <f>709+76</f>
        <v>785</v>
      </c>
      <c r="H308" s="18"/>
      <c r="I308" s="18">
        <v>7947</v>
      </c>
      <c r="J308" s="18"/>
      <c r="K308" s="18"/>
      <c r="L308" s="19">
        <f>SUM(F308:K308)</f>
        <v>11397</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178292</v>
      </c>
      <c r="G310" s="42">
        <f t="shared" si="15"/>
        <v>87607</v>
      </c>
      <c r="H310" s="42">
        <f t="shared" si="15"/>
        <v>32814</v>
      </c>
      <c r="I310" s="42">
        <f t="shared" si="15"/>
        <v>69560</v>
      </c>
      <c r="J310" s="42">
        <f t="shared" si="15"/>
        <v>118656</v>
      </c>
      <c r="K310" s="42">
        <f t="shared" si="15"/>
        <v>7592</v>
      </c>
      <c r="L310" s="41">
        <f t="shared" si="15"/>
        <v>494521</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85473</v>
      </c>
      <c r="G315" s="18">
        <v>47127</v>
      </c>
      <c r="H315" s="18">
        <v>22901</v>
      </c>
      <c r="I315" s="18">
        <v>50721</v>
      </c>
      <c r="J315" s="18">
        <v>74862</v>
      </c>
      <c r="K315" s="18"/>
      <c r="L315" s="19">
        <f>SUM(F315:K315)</f>
        <v>281084</v>
      </c>
      <c r="M315" s="8"/>
      <c r="N315" s="265"/>
    </row>
    <row r="316" spans="1:14" s="3" customFormat="1" ht="12.2" customHeight="1" x14ac:dyDescent="0.15">
      <c r="A316" s="1" t="s">
        <v>439</v>
      </c>
      <c r="B316" s="2" t="s">
        <v>359</v>
      </c>
      <c r="C316" s="2" t="s">
        <v>291</v>
      </c>
      <c r="D316" s="2" t="s">
        <v>431</v>
      </c>
      <c r="E316" s="6">
        <v>1200</v>
      </c>
      <c r="F316" s="18">
        <v>131773</v>
      </c>
      <c r="G316" s="18">
        <v>68502</v>
      </c>
      <c r="H316" s="18">
        <v>9247</v>
      </c>
      <c r="I316" s="18">
        <v>40938</v>
      </c>
      <c r="J316" s="18">
        <v>18475</v>
      </c>
      <c r="K316" s="18"/>
      <c r="L316" s="19">
        <f>SUM(F316:K316)</f>
        <v>268935</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v>1004</v>
      </c>
      <c r="H318" s="18">
        <v>880</v>
      </c>
      <c r="I318" s="18">
        <v>2792</v>
      </c>
      <c r="J318" s="18">
        <v>1993</v>
      </c>
      <c r="K318" s="18"/>
      <c r="L318" s="19">
        <f>SUM(F318:K318)</f>
        <v>6669</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36754</v>
      </c>
      <c r="G320" s="18">
        <v>16066</v>
      </c>
      <c r="H320" s="18"/>
      <c r="I320" s="18"/>
      <c r="J320" s="18"/>
      <c r="K320" s="18"/>
      <c r="L320" s="19">
        <f t="shared" ref="L320:L326" si="16">SUM(F320:K320)</f>
        <v>52820</v>
      </c>
      <c r="M320" s="8"/>
      <c r="N320" s="265"/>
    </row>
    <row r="321" spans="1:14" s="3" customFormat="1" ht="12.2" customHeight="1" x14ac:dyDescent="0.15">
      <c r="A321" s="1" t="s">
        <v>443</v>
      </c>
      <c r="B321" s="2" t="s">
        <v>359</v>
      </c>
      <c r="C321" s="2" t="s">
        <v>295</v>
      </c>
      <c r="D321" s="2" t="s">
        <v>431</v>
      </c>
      <c r="E321" s="6">
        <v>2200</v>
      </c>
      <c r="F321" s="18">
        <v>30248</v>
      </c>
      <c r="G321" s="18">
        <v>8397</v>
      </c>
      <c r="H321" s="18">
        <v>17023</v>
      </c>
      <c r="I321" s="18">
        <v>1232</v>
      </c>
      <c r="J321" s="18">
        <v>97504</v>
      </c>
      <c r="K321" s="18"/>
      <c r="L321" s="19">
        <f t="shared" si="16"/>
        <v>154404</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v>12337</v>
      </c>
      <c r="L324" s="19">
        <f t="shared" si="16"/>
        <v>12337</v>
      </c>
      <c r="M324" s="8"/>
      <c r="N324" s="265"/>
    </row>
    <row r="325" spans="1:14" s="3" customFormat="1" ht="12.2" customHeight="1" x14ac:dyDescent="0.15">
      <c r="A325" s="1" t="s">
        <v>447</v>
      </c>
      <c r="B325" s="2" t="s">
        <v>359</v>
      </c>
      <c r="C325" s="2" t="s">
        <v>299</v>
      </c>
      <c r="D325" s="2" t="s">
        <v>431</v>
      </c>
      <c r="E325" s="6">
        <v>2600</v>
      </c>
      <c r="F325" s="18"/>
      <c r="G325" s="18"/>
      <c r="H325" s="18"/>
      <c r="I325" s="18">
        <v>4447</v>
      </c>
      <c r="J325" s="18"/>
      <c r="K325" s="18"/>
      <c r="L325" s="19">
        <f t="shared" si="16"/>
        <v>4447</v>
      </c>
      <c r="M325" s="8"/>
      <c r="N325" s="265"/>
    </row>
    <row r="326" spans="1:14" s="3" customFormat="1" ht="12.2" customHeight="1" x14ac:dyDescent="0.15">
      <c r="A326" s="1" t="s">
        <v>448</v>
      </c>
      <c r="B326" s="2" t="s">
        <v>359</v>
      </c>
      <c r="C326" s="2" t="s">
        <v>300</v>
      </c>
      <c r="D326" s="2" t="s">
        <v>431</v>
      </c>
      <c r="E326" s="6">
        <v>2700</v>
      </c>
      <c r="F326" s="18"/>
      <c r="G326" s="18"/>
      <c r="H326" s="18">
        <v>3276</v>
      </c>
      <c r="I326" s="18"/>
      <c r="J326" s="18"/>
      <c r="K326" s="18"/>
      <c r="L326" s="19">
        <f t="shared" si="16"/>
        <v>3276</v>
      </c>
      <c r="M326" s="8"/>
      <c r="N326" s="265"/>
    </row>
    <row r="327" spans="1:14" s="3" customFormat="1" ht="12.2" customHeight="1" x14ac:dyDescent="0.15">
      <c r="A327" s="1" t="s">
        <v>449</v>
      </c>
      <c r="B327" s="2" t="s">
        <v>359</v>
      </c>
      <c r="C327" s="2" t="s">
        <v>343</v>
      </c>
      <c r="D327" s="2" t="s">
        <v>431</v>
      </c>
      <c r="E327" s="6">
        <v>2800</v>
      </c>
      <c r="F327" s="18">
        <v>4331</v>
      </c>
      <c r="G327" s="18">
        <f>1152+124</f>
        <v>1276</v>
      </c>
      <c r="H327" s="18"/>
      <c r="I327" s="18">
        <f>12914-718</f>
        <v>12196</v>
      </c>
      <c r="J327" s="18"/>
      <c r="K327" s="18"/>
      <c r="L327" s="19">
        <f>SUM(F327:K327)</f>
        <v>17803</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288579</v>
      </c>
      <c r="G329" s="42">
        <f t="shared" si="17"/>
        <v>142372</v>
      </c>
      <c r="H329" s="42">
        <f t="shared" si="17"/>
        <v>53327</v>
      </c>
      <c r="I329" s="42">
        <f t="shared" si="17"/>
        <v>112326</v>
      </c>
      <c r="J329" s="42">
        <f t="shared" si="17"/>
        <v>192834</v>
      </c>
      <c r="K329" s="42">
        <f t="shared" si="17"/>
        <v>12337</v>
      </c>
      <c r="L329" s="41">
        <f t="shared" si="17"/>
        <v>801775</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v>125</v>
      </c>
      <c r="I336" s="18"/>
      <c r="J336" s="18"/>
      <c r="K336" s="18"/>
      <c r="L336" s="19">
        <f t="shared" si="18"/>
        <v>125</v>
      </c>
      <c r="M336" s="8"/>
      <c r="N336" s="265"/>
    </row>
    <row r="337" spans="1:43" s="3" customFormat="1" ht="12.2" customHeight="1" thickBot="1" x14ac:dyDescent="0.2">
      <c r="A337" s="1" t="s">
        <v>584</v>
      </c>
      <c r="B337" s="6">
        <v>14</v>
      </c>
      <c r="C337" s="37">
        <v>5</v>
      </c>
      <c r="D337" s="2" t="s">
        <v>431</v>
      </c>
      <c r="E337" s="6">
        <v>4000</v>
      </c>
      <c r="F337" s="18"/>
      <c r="G337" s="18"/>
      <c r="H337" s="18">
        <v>102328</v>
      </c>
      <c r="I337" s="18">
        <v>80000</v>
      </c>
      <c r="J337" s="18">
        <v>437750</v>
      </c>
      <c r="K337" s="18"/>
      <c r="L337" s="19">
        <f t="shared" si="18"/>
        <v>620078</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102453</v>
      </c>
      <c r="I338" s="41">
        <f t="shared" si="19"/>
        <v>80000</v>
      </c>
      <c r="J338" s="41">
        <f t="shared" si="19"/>
        <v>437750</v>
      </c>
      <c r="K338" s="41">
        <f t="shared" si="19"/>
        <v>0</v>
      </c>
      <c r="L338" s="41">
        <f t="shared" si="18"/>
        <v>620203</v>
      </c>
      <c r="M338" s="8"/>
      <c r="N338" s="265"/>
    </row>
    <row r="339" spans="1:43" s="3" customFormat="1" ht="12.2" customHeight="1" thickTop="1" x14ac:dyDescent="0.15">
      <c r="A339" s="38" t="s">
        <v>468</v>
      </c>
      <c r="B339" s="40">
        <v>14</v>
      </c>
      <c r="C339" s="40">
        <v>7</v>
      </c>
      <c r="D339" s="39" t="s">
        <v>431</v>
      </c>
      <c r="E339" s="40"/>
      <c r="F339" s="41">
        <f t="shared" ref="F339:L339" si="20">F291+F310+F329+F338</f>
        <v>850588</v>
      </c>
      <c r="G339" s="41">
        <f t="shared" si="20"/>
        <v>399427</v>
      </c>
      <c r="H339" s="41">
        <f t="shared" si="20"/>
        <v>252061</v>
      </c>
      <c r="I339" s="41">
        <f t="shared" si="20"/>
        <v>396428</v>
      </c>
      <c r="J339" s="41">
        <f t="shared" si="20"/>
        <v>978746</v>
      </c>
      <c r="K339" s="41">
        <f t="shared" si="20"/>
        <v>34613</v>
      </c>
      <c r="L339" s="41">
        <f t="shared" si="20"/>
        <v>2911863</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850588</v>
      </c>
      <c r="G353" s="41">
        <f>G339</f>
        <v>399427</v>
      </c>
      <c r="H353" s="41">
        <f>H339</f>
        <v>252061</v>
      </c>
      <c r="I353" s="41">
        <f>I339</f>
        <v>396428</v>
      </c>
      <c r="J353" s="41">
        <f>J339</f>
        <v>978746</v>
      </c>
      <c r="K353" s="47">
        <f>K339+K352</f>
        <v>34613</v>
      </c>
      <c r="L353" s="41">
        <f>L339+L352</f>
        <v>2911863</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f>188380+32710</f>
        <v>221090</v>
      </c>
      <c r="G359" s="18">
        <v>48320</v>
      </c>
      <c r="H359" s="18">
        <v>5511</v>
      </c>
      <c r="I359" s="18">
        <f>238152+998</f>
        <v>239150</v>
      </c>
      <c r="J359" s="18"/>
      <c r="K359" s="18"/>
      <c r="L359" s="13">
        <f>SUM(F359:K359)</f>
        <v>514071</v>
      </c>
      <c r="M359" s="8"/>
      <c r="N359" s="265"/>
    </row>
    <row r="360" spans="1:22" s="3" customFormat="1" ht="12.2" customHeight="1" x14ac:dyDescent="0.15">
      <c r="A360" s="1" t="s">
        <v>542</v>
      </c>
      <c r="B360" s="2" t="s">
        <v>366</v>
      </c>
      <c r="C360" s="6">
        <v>2</v>
      </c>
      <c r="D360" s="2" t="s">
        <v>431</v>
      </c>
      <c r="E360" s="6"/>
      <c r="F360" s="18">
        <f>73871+16911</f>
        <v>90782</v>
      </c>
      <c r="G360" s="18">
        <v>24982</v>
      </c>
      <c r="H360" s="18">
        <v>2564</v>
      </c>
      <c r="I360" s="18">
        <f>101507+516</f>
        <v>102023</v>
      </c>
      <c r="J360" s="18"/>
      <c r="K360" s="18"/>
      <c r="L360" s="19">
        <f>SUM(F360:K360)</f>
        <v>220351</v>
      </c>
      <c r="M360" s="8"/>
      <c r="N360" s="265"/>
    </row>
    <row r="361" spans="1:22" s="3" customFormat="1" ht="12.2" customHeight="1" x14ac:dyDescent="0.15">
      <c r="A361" s="3" t="s">
        <v>543</v>
      </c>
      <c r="B361" s="2" t="s">
        <v>366</v>
      </c>
      <c r="C361" s="6">
        <v>3</v>
      </c>
      <c r="D361" s="2" t="s">
        <v>431</v>
      </c>
      <c r="E361" s="6"/>
      <c r="F361" s="18">
        <f>171707+27483</f>
        <v>199190</v>
      </c>
      <c r="G361" s="18">
        <v>40599</v>
      </c>
      <c r="H361" s="18">
        <v>6986</v>
      </c>
      <c r="I361" s="18">
        <f>265423+839</f>
        <v>266262</v>
      </c>
      <c r="J361" s="18"/>
      <c r="K361" s="18"/>
      <c r="L361" s="19">
        <f>SUM(F361:K361)</f>
        <v>513037</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511062</v>
      </c>
      <c r="G363" s="47">
        <f t="shared" si="22"/>
        <v>113901</v>
      </c>
      <c r="H363" s="47">
        <f t="shared" si="22"/>
        <v>15061</v>
      </c>
      <c r="I363" s="47">
        <f t="shared" si="22"/>
        <v>607435</v>
      </c>
      <c r="J363" s="47">
        <f t="shared" si="22"/>
        <v>0</v>
      </c>
      <c r="K363" s="47">
        <f t="shared" si="22"/>
        <v>0</v>
      </c>
      <c r="L363" s="47">
        <f t="shared" si="22"/>
        <v>1247459</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236027</v>
      </c>
      <c r="G368" s="18">
        <f>100230</f>
        <v>100230</v>
      </c>
      <c r="H368" s="18">
        <f>250852</f>
        <v>250852</v>
      </c>
      <c r="I368" s="56">
        <f>SUM(F368:H368)</f>
        <v>587109</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f>1940+185+998</f>
        <v>3123</v>
      </c>
      <c r="G369" s="63">
        <f>566+710+516</f>
        <v>1792</v>
      </c>
      <c r="H369" s="63">
        <f>14571+839+1</f>
        <v>15411</v>
      </c>
      <c r="I369" s="56">
        <f>SUM(F369:H369)</f>
        <v>20326</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239150</v>
      </c>
      <c r="G370" s="47">
        <f>SUM(G368:G369)</f>
        <v>102022</v>
      </c>
      <c r="H370" s="47">
        <f>SUM(H368:H369)</f>
        <v>266263</v>
      </c>
      <c r="I370" s="47">
        <f>SUM(I368:I369)</f>
        <v>607435</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300000</v>
      </c>
      <c r="H397" s="18">
        <f>8679+4877-1</f>
        <v>13555</v>
      </c>
      <c r="I397" s="18">
        <v>-57503</v>
      </c>
      <c r="J397" s="24" t="s">
        <v>288</v>
      </c>
      <c r="K397" s="24" t="s">
        <v>288</v>
      </c>
      <c r="L397" s="56">
        <f t="shared" si="26"/>
        <v>256052</v>
      </c>
      <c r="M397" s="8"/>
      <c r="N397" s="265"/>
    </row>
    <row r="398" spans="1:14" s="3" customFormat="1" ht="12.2" customHeight="1" x14ac:dyDescent="0.15">
      <c r="A398" s="79" t="s">
        <v>515</v>
      </c>
      <c r="B398" s="2" t="s">
        <v>381</v>
      </c>
      <c r="C398" s="6">
        <v>10</v>
      </c>
      <c r="D398" s="2" t="s">
        <v>432</v>
      </c>
      <c r="E398" s="6"/>
      <c r="F398" s="18"/>
      <c r="G398" s="18"/>
      <c r="H398" s="18">
        <f>3477+6532</f>
        <v>10009</v>
      </c>
      <c r="I398" s="18">
        <v>-49129</v>
      </c>
      <c r="J398" s="24" t="s">
        <v>288</v>
      </c>
      <c r="K398" s="24" t="s">
        <v>288</v>
      </c>
      <c r="L398" s="56">
        <f t="shared" si="26"/>
        <v>-39120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300000</v>
      </c>
      <c r="H402" s="47">
        <f>SUM(H396:H401)</f>
        <v>23564</v>
      </c>
      <c r="I402" s="47">
        <f>SUM(I396:I401)</f>
        <v>-106632</v>
      </c>
      <c r="J402" s="45" t="s">
        <v>288</v>
      </c>
      <c r="K402" s="45" t="s">
        <v>288</v>
      </c>
      <c r="L402" s="47">
        <f>SUM(L396:L401)</f>
        <v>216932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300000</v>
      </c>
      <c r="H409" s="47">
        <f>H394+H402+H408</f>
        <v>23564</v>
      </c>
      <c r="I409" s="47">
        <f>I394+I402+I408</f>
        <v>-106632</v>
      </c>
      <c r="J409" s="24" t="s">
        <v>288</v>
      </c>
      <c r="K409" s="24" t="s">
        <v>288</v>
      </c>
      <c r="L409" s="47">
        <f>L394+L402+L408</f>
        <v>216932</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1249769</v>
      </c>
      <c r="H443" s="18"/>
      <c r="I443" s="56">
        <f t="shared" si="33"/>
        <v>1249769</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1249769</v>
      </c>
      <c r="H447" s="13">
        <f>SUM(H440:H446)</f>
        <v>0</v>
      </c>
      <c r="I447" s="13">
        <f>SUM(I440:I446)</f>
        <v>1249769</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1249769</v>
      </c>
      <c r="H460" s="18"/>
      <c r="I460" s="56">
        <f t="shared" si="34"/>
        <v>1249769</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1249769</v>
      </c>
      <c r="H461" s="83">
        <f>SUM(H455:H460)</f>
        <v>0</v>
      </c>
      <c r="I461" s="83">
        <f>SUM(I455:I460)</f>
        <v>1249769</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1249769</v>
      </c>
      <c r="H462" s="42">
        <f>H453+H461</f>
        <v>0</v>
      </c>
      <c r="I462" s="42">
        <f>I453+I461</f>
        <v>1249769</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1263055</v>
      </c>
      <c r="G466" s="18">
        <v>54</v>
      </c>
      <c r="H466" s="18">
        <v>0</v>
      </c>
      <c r="I466" s="18">
        <v>0</v>
      </c>
      <c r="J466" s="18">
        <v>1032837</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41115024</v>
      </c>
      <c r="G469" s="18">
        <f t="shared" ref="G469:I469" si="35">G194</f>
        <v>1512245</v>
      </c>
      <c r="H469" s="18">
        <f t="shared" si="35"/>
        <v>2966961</v>
      </c>
      <c r="I469" s="18">
        <f t="shared" si="35"/>
        <v>0</v>
      </c>
      <c r="J469" s="18">
        <f>L409</f>
        <v>216932</v>
      </c>
      <c r="K469" s="24" t="s">
        <v>288</v>
      </c>
      <c r="L469" s="24" t="s">
        <v>288</v>
      </c>
      <c r="N469" s="264"/>
    </row>
    <row r="470" spans="1:14" s="52" customFormat="1" ht="12.2" customHeight="1" x14ac:dyDescent="0.2">
      <c r="A470" s="93" t="s">
        <v>611</v>
      </c>
      <c r="B470" s="75">
        <v>19</v>
      </c>
      <c r="C470" s="80">
        <v>3</v>
      </c>
      <c r="D470" s="2" t="s">
        <v>432</v>
      </c>
      <c r="E470" s="80"/>
      <c r="F470" s="18">
        <v>4540</v>
      </c>
      <c r="G470" s="18">
        <v>4097</v>
      </c>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41119564</v>
      </c>
      <c r="G471" s="53">
        <f>SUM(G469:G470)</f>
        <v>1516342</v>
      </c>
      <c r="H471" s="53">
        <f>SUM(H469:H470)</f>
        <v>2966961</v>
      </c>
      <c r="I471" s="53">
        <f>SUM(I469:I470)</f>
        <v>0</v>
      </c>
      <c r="J471" s="53">
        <f>SUM(J469:J470)</f>
        <v>216932</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41615789</v>
      </c>
      <c r="G473" s="18">
        <f>L363</f>
        <v>1247459</v>
      </c>
      <c r="H473" s="18">
        <f>L353</f>
        <v>2911863</v>
      </c>
      <c r="I473" s="18">
        <f>L383</f>
        <v>0</v>
      </c>
      <c r="J473" s="18">
        <f>L435</f>
        <v>0</v>
      </c>
      <c r="K473" s="24" t="s">
        <v>288</v>
      </c>
      <c r="L473" s="24" t="s">
        <v>288</v>
      </c>
      <c r="N473" s="264"/>
    </row>
    <row r="474" spans="1:14" s="52" customFormat="1" ht="12.2" customHeight="1" x14ac:dyDescent="0.2">
      <c r="A474" s="93" t="s">
        <v>613</v>
      </c>
      <c r="B474" s="75">
        <v>19</v>
      </c>
      <c r="C474" s="80">
        <v>6</v>
      </c>
      <c r="D474" s="2" t="s">
        <v>432</v>
      </c>
      <c r="E474" s="80"/>
      <c r="F474" s="18"/>
      <c r="G474" s="18"/>
      <c r="H474" s="18">
        <v>25439</v>
      </c>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41615789</v>
      </c>
      <c r="G475" s="53">
        <f>SUM(G473:G474)</f>
        <v>1247459</v>
      </c>
      <c r="H475" s="53">
        <f>SUM(H473:H474)</f>
        <v>2937302</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766830</v>
      </c>
      <c r="G477" s="53">
        <f>(G466+G471)- G475</f>
        <v>268937</v>
      </c>
      <c r="H477" s="53">
        <f>(H466+H471)- H475</f>
        <v>29659</v>
      </c>
      <c r="I477" s="53">
        <f>(I466+I471)- I475</f>
        <v>0</v>
      </c>
      <c r="J477" s="53">
        <f>(J466+J471)- J475</f>
        <v>1249769</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t="s">
        <v>1802</v>
      </c>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6">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6"/>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6"/>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6"/>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6"/>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6"/>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6"/>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6"/>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2405744+213753</f>
        <v>2619497</v>
      </c>
      <c r="G522" s="18">
        <v>1050362</v>
      </c>
      <c r="H522" s="18">
        <f>629752+80359</f>
        <v>710111</v>
      </c>
      <c r="I522" s="18">
        <f>3103+49936</f>
        <v>53039</v>
      </c>
      <c r="J522" s="18">
        <v>23898</v>
      </c>
      <c r="K522" s="18"/>
      <c r="L522" s="88">
        <f>SUM(F522:K522)</f>
        <v>4456907</v>
      </c>
      <c r="N522" s="264"/>
    </row>
    <row r="523" spans="1:14" s="52" customFormat="1" ht="12.2" customHeight="1" x14ac:dyDescent="0.2">
      <c r="A523" s="22" t="s">
        <v>634</v>
      </c>
      <c r="B523" s="105">
        <v>21</v>
      </c>
      <c r="C523" s="115">
        <v>2</v>
      </c>
      <c r="D523" s="2" t="s">
        <v>432</v>
      </c>
      <c r="E523" s="115"/>
      <c r="F523" s="18">
        <f>948502+110512</f>
        <v>1059014</v>
      </c>
      <c r="G523" s="18">
        <v>543044</v>
      </c>
      <c r="H523" s="18">
        <f>305489+41546</f>
        <v>347035</v>
      </c>
      <c r="I523" s="18">
        <f>2823+25817</f>
        <v>28640</v>
      </c>
      <c r="J523" s="18">
        <f>630+12356</f>
        <v>12986</v>
      </c>
      <c r="K523" s="18"/>
      <c r="L523" s="88">
        <f>SUM(F523:K523)</f>
        <v>1990719</v>
      </c>
      <c r="N523" s="264"/>
    </row>
    <row r="524" spans="1:14" s="52" customFormat="1" ht="12.2" customHeight="1" thickBot="1" x14ac:dyDescent="0.25">
      <c r="A524" s="22" t="s">
        <v>635</v>
      </c>
      <c r="B524" s="105">
        <v>21</v>
      </c>
      <c r="C524" s="115">
        <v>3</v>
      </c>
      <c r="D524" s="2" t="s">
        <v>432</v>
      </c>
      <c r="E524" s="115"/>
      <c r="F524" s="18">
        <f>1122675+179597</f>
        <v>1302272</v>
      </c>
      <c r="G524" s="18">
        <v>882523</v>
      </c>
      <c r="H524" s="18">
        <f>334565+67518</f>
        <v>402083</v>
      </c>
      <c r="I524" s="18">
        <f>3085+41957</f>
        <v>45042</v>
      </c>
      <c r="J524" s="18">
        <f>890+20080</f>
        <v>20970</v>
      </c>
      <c r="K524" s="18"/>
      <c r="L524" s="88">
        <f>SUM(F524:K524)</f>
        <v>2652890</v>
      </c>
      <c r="N524" s="264"/>
    </row>
    <row r="525" spans="1:14" s="52" customFormat="1" ht="12.2" customHeight="1" thickTop="1" x14ac:dyDescent="0.2">
      <c r="A525" s="139" t="s">
        <v>63</v>
      </c>
      <c r="B525" s="107">
        <v>21</v>
      </c>
      <c r="C525" s="194">
        <v>4</v>
      </c>
      <c r="D525" s="195" t="s">
        <v>432</v>
      </c>
      <c r="E525" s="194"/>
      <c r="F525" s="108">
        <f>SUM(F522:F524)</f>
        <v>4980783</v>
      </c>
      <c r="G525" s="108">
        <f t="shared" ref="G525:L525" si="37">SUM(G522:G524)</f>
        <v>2475929</v>
      </c>
      <c r="H525" s="108">
        <f t="shared" si="37"/>
        <v>1459229</v>
      </c>
      <c r="I525" s="108">
        <f t="shared" si="37"/>
        <v>126721</v>
      </c>
      <c r="J525" s="108">
        <f t="shared" si="37"/>
        <v>57854</v>
      </c>
      <c r="K525" s="108">
        <f t="shared" si="37"/>
        <v>0</v>
      </c>
      <c r="L525" s="89">
        <f t="shared" si="37"/>
        <v>9100516</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111367+462516</f>
        <v>573883</v>
      </c>
      <c r="G527" s="18">
        <v>232899</v>
      </c>
      <c r="H527" s="18">
        <f>206613</f>
        <v>206613</v>
      </c>
      <c r="I527" s="18"/>
      <c r="J527" s="18"/>
      <c r="K527" s="18"/>
      <c r="L527" s="88">
        <f>SUM(F527:K527)</f>
        <v>1013395</v>
      </c>
      <c r="M527" s="8"/>
      <c r="N527" s="265"/>
    </row>
    <row r="528" spans="1:14" s="3" customFormat="1" ht="12.2" customHeight="1" x14ac:dyDescent="0.15">
      <c r="A528" s="22" t="s">
        <v>634</v>
      </c>
      <c r="B528" s="105">
        <v>21</v>
      </c>
      <c r="C528" s="115">
        <v>6</v>
      </c>
      <c r="D528" s="2" t="s">
        <v>432</v>
      </c>
      <c r="E528" s="115"/>
      <c r="F528" s="18">
        <f>39770+239124</f>
        <v>278894</v>
      </c>
      <c r="G528" s="18">
        <v>120410</v>
      </c>
      <c r="H528" s="18">
        <v>43620</v>
      </c>
      <c r="I528" s="18"/>
      <c r="J528" s="18"/>
      <c r="K528" s="18"/>
      <c r="L528" s="88">
        <f>SUM(F528:K528)</f>
        <v>442924</v>
      </c>
      <c r="M528" s="8"/>
      <c r="N528" s="265"/>
    </row>
    <row r="529" spans="1:14" s="3" customFormat="1" ht="12.2" customHeight="1" thickBot="1" x14ac:dyDescent="0.2">
      <c r="A529" s="22" t="s">
        <v>635</v>
      </c>
      <c r="B529" s="118">
        <v>21</v>
      </c>
      <c r="C529" s="118">
        <v>7</v>
      </c>
      <c r="D529" s="2" t="s">
        <v>432</v>
      </c>
      <c r="E529" s="118"/>
      <c r="F529" s="18">
        <v>388610</v>
      </c>
      <c r="G529" s="18">
        <v>195683</v>
      </c>
      <c r="H529" s="18">
        <v>41870</v>
      </c>
      <c r="I529" s="18"/>
      <c r="J529" s="18"/>
      <c r="K529" s="18"/>
      <c r="L529" s="88">
        <f>SUM(F529:K529)</f>
        <v>626163</v>
      </c>
      <c r="M529" s="8"/>
      <c r="N529" s="265"/>
    </row>
    <row r="530" spans="1:14" s="3" customFormat="1" ht="12.2" customHeight="1" thickTop="1" x14ac:dyDescent="0.15">
      <c r="A530" s="139" t="s">
        <v>65</v>
      </c>
      <c r="B530" s="107">
        <v>21</v>
      </c>
      <c r="C530" s="107">
        <v>8</v>
      </c>
      <c r="D530" s="158" t="s">
        <v>432</v>
      </c>
      <c r="E530" s="107"/>
      <c r="F530" s="89">
        <f>SUM(F527:F529)</f>
        <v>1241387</v>
      </c>
      <c r="G530" s="89">
        <f t="shared" ref="G530:L530" si="38">SUM(G527:G529)</f>
        <v>548992</v>
      </c>
      <c r="H530" s="89">
        <f t="shared" si="38"/>
        <v>292103</v>
      </c>
      <c r="I530" s="89">
        <f t="shared" si="38"/>
        <v>0</v>
      </c>
      <c r="J530" s="89">
        <f t="shared" si="38"/>
        <v>0</v>
      </c>
      <c r="K530" s="89">
        <f t="shared" si="38"/>
        <v>0</v>
      </c>
      <c r="L530" s="89">
        <f t="shared" si="38"/>
        <v>2082482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165697</v>
      </c>
      <c r="G532" s="18">
        <v>107158</v>
      </c>
      <c r="H532" s="18">
        <f>37895+497</f>
        <v>38392</v>
      </c>
      <c r="I532" s="18"/>
      <c r="J532" s="18">
        <v>287</v>
      </c>
      <c r="K532" s="18">
        <v>829</v>
      </c>
      <c r="L532" s="88">
        <f>SUM(F532:K532)</f>
        <v>312363</v>
      </c>
      <c r="M532" s="8"/>
      <c r="N532" s="265"/>
    </row>
    <row r="533" spans="1:14" s="3" customFormat="1" ht="12.2" customHeight="1" x14ac:dyDescent="0.15">
      <c r="A533" s="22" t="s">
        <v>634</v>
      </c>
      <c r="B533" s="105">
        <v>21</v>
      </c>
      <c r="C533" s="105">
        <v>10</v>
      </c>
      <c r="D533" s="2" t="s">
        <v>432</v>
      </c>
      <c r="E533" s="105"/>
      <c r="F533" s="18">
        <f>56720+85667</f>
        <v>142387</v>
      </c>
      <c r="G533" s="18">
        <v>55401</v>
      </c>
      <c r="H533" s="18">
        <f>24736+257</f>
        <v>24993</v>
      </c>
      <c r="I533" s="18"/>
      <c r="J533" s="18">
        <v>149</v>
      </c>
      <c r="K533" s="18">
        <v>429</v>
      </c>
      <c r="L533" s="88">
        <f>SUM(F533:K533)</f>
        <v>223359</v>
      </c>
      <c r="M533" s="8"/>
      <c r="N533" s="265"/>
    </row>
    <row r="534" spans="1:14" s="3" customFormat="1" ht="12.2" customHeight="1" thickBot="1" x14ac:dyDescent="0.2">
      <c r="A534" s="22" t="s">
        <v>635</v>
      </c>
      <c r="B534" s="105">
        <v>21</v>
      </c>
      <c r="C534" s="105">
        <v>11</v>
      </c>
      <c r="D534" s="2" t="s">
        <v>432</v>
      </c>
      <c r="E534" s="105"/>
      <c r="F534" s="18">
        <f>55761+139220+1</f>
        <v>194982</v>
      </c>
      <c r="G534" s="18">
        <v>90035</v>
      </c>
      <c r="H534" s="18">
        <f>16771+418</f>
        <v>17189</v>
      </c>
      <c r="I534" s="18"/>
      <c r="J534" s="18">
        <v>242</v>
      </c>
      <c r="K534" s="18">
        <v>697</v>
      </c>
      <c r="L534" s="88">
        <f>SUM(F534:K534)</f>
        <v>303145</v>
      </c>
      <c r="M534" s="8"/>
      <c r="N534" s="265"/>
    </row>
    <row r="535" spans="1:14" s="3" customFormat="1" ht="12.2" customHeight="1" thickTop="1" x14ac:dyDescent="0.15">
      <c r="A535" s="139" t="s">
        <v>67</v>
      </c>
      <c r="B535" s="107">
        <v>21</v>
      </c>
      <c r="C535" s="107">
        <v>12</v>
      </c>
      <c r="D535" s="158" t="s">
        <v>432</v>
      </c>
      <c r="E535" s="107"/>
      <c r="F535" s="89">
        <f>SUM(F532:F534)</f>
        <v>503066</v>
      </c>
      <c r="G535" s="89">
        <f t="shared" ref="G535:L535" si="39">SUM(G532:G534)</f>
        <v>252594</v>
      </c>
      <c r="H535" s="89">
        <f t="shared" si="39"/>
        <v>80574</v>
      </c>
      <c r="I535" s="89">
        <f t="shared" si="39"/>
        <v>0</v>
      </c>
      <c r="J535" s="89">
        <f t="shared" si="39"/>
        <v>678</v>
      </c>
      <c r="K535" s="89">
        <f t="shared" si="39"/>
        <v>1955</v>
      </c>
      <c r="L535" s="89">
        <f t="shared" si="39"/>
        <v>838867</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f>14804</f>
        <v>14804</v>
      </c>
      <c r="I537" s="18"/>
      <c r="J537" s="18"/>
      <c r="K537" s="18"/>
      <c r="L537" s="88">
        <f>SUM(F537:K537)</f>
        <v>14804</v>
      </c>
      <c r="M537" s="8"/>
      <c r="N537" s="265"/>
    </row>
    <row r="538" spans="1:14" s="3" customFormat="1" ht="12.2" customHeight="1" x14ac:dyDescent="0.15">
      <c r="A538" s="22" t="s">
        <v>634</v>
      </c>
      <c r="B538" s="105">
        <v>21</v>
      </c>
      <c r="C538" s="105">
        <v>14</v>
      </c>
      <c r="D538" s="2" t="s">
        <v>432</v>
      </c>
      <c r="E538" s="105"/>
      <c r="F538" s="18"/>
      <c r="G538" s="18"/>
      <c r="H538" s="18">
        <f>14418+7654</f>
        <v>22072</v>
      </c>
      <c r="I538" s="18"/>
      <c r="J538" s="18"/>
      <c r="K538" s="18"/>
      <c r="L538" s="88">
        <f>SUM(F538:K538)</f>
        <v>22072</v>
      </c>
      <c r="M538" s="8"/>
      <c r="N538" s="265"/>
    </row>
    <row r="539" spans="1:14" s="3" customFormat="1" ht="12.2" customHeight="1" thickBot="1" x14ac:dyDescent="0.2">
      <c r="A539" s="22" t="s">
        <v>635</v>
      </c>
      <c r="B539" s="105">
        <v>21</v>
      </c>
      <c r="C539" s="105">
        <v>15</v>
      </c>
      <c r="D539" s="2" t="s">
        <v>432</v>
      </c>
      <c r="E539" s="105"/>
      <c r="F539" s="18"/>
      <c r="G539" s="18"/>
      <c r="H539" s="18">
        <v>12439</v>
      </c>
      <c r="I539" s="18"/>
      <c r="J539" s="18"/>
      <c r="K539" s="18"/>
      <c r="L539" s="88">
        <f>SUM(F539:K539)</f>
        <v>12439</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49315</v>
      </c>
      <c r="I540" s="89">
        <f t="shared" si="40"/>
        <v>0</v>
      </c>
      <c r="J540" s="89">
        <f t="shared" si="40"/>
        <v>0</v>
      </c>
      <c r="K540" s="89">
        <f t="shared" si="40"/>
        <v>0</v>
      </c>
      <c r="L540" s="89">
        <f t="shared" si="40"/>
        <v>49315</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v>133646</v>
      </c>
      <c r="G542" s="18">
        <v>34114</v>
      </c>
      <c r="H542" s="18">
        <v>119671</v>
      </c>
      <c r="I542" s="18"/>
      <c r="J542" s="18"/>
      <c r="K542" s="18"/>
      <c r="L542" s="88">
        <f>SUM(F542:K542)</f>
        <v>287431</v>
      </c>
      <c r="M542" s="8"/>
      <c r="N542" s="265"/>
    </row>
    <row r="543" spans="1:14" s="3" customFormat="1" ht="12.2" customHeight="1" x14ac:dyDescent="0.15">
      <c r="A543" s="22" t="s">
        <v>634</v>
      </c>
      <c r="B543" s="105">
        <v>21</v>
      </c>
      <c r="C543" s="105">
        <v>18</v>
      </c>
      <c r="D543" s="2" t="s">
        <v>432</v>
      </c>
      <c r="E543" s="105"/>
      <c r="F543" s="18">
        <v>69096</v>
      </c>
      <c r="G543" s="18">
        <v>17637</v>
      </c>
      <c r="H543" s="18">
        <v>61871</v>
      </c>
      <c r="I543" s="18"/>
      <c r="J543" s="18"/>
      <c r="K543" s="18"/>
      <c r="L543" s="88">
        <f>SUM(F543:K543)</f>
        <v>148604</v>
      </c>
      <c r="M543" s="8"/>
      <c r="N543" s="265"/>
    </row>
    <row r="544" spans="1:14" s="3" customFormat="1" ht="12.2" customHeight="1" thickBot="1" x14ac:dyDescent="0.2">
      <c r="A544" s="22" t="s">
        <v>635</v>
      </c>
      <c r="B544" s="105">
        <v>21</v>
      </c>
      <c r="C544" s="105">
        <v>19</v>
      </c>
      <c r="D544" s="2" t="s">
        <v>432</v>
      </c>
      <c r="E544" s="105"/>
      <c r="F544" s="18">
        <v>112290</v>
      </c>
      <c r="G544" s="18">
        <v>28663</v>
      </c>
      <c r="H544" s="18">
        <v>100549</v>
      </c>
      <c r="I544" s="18"/>
      <c r="J544" s="18"/>
      <c r="K544" s="18"/>
      <c r="L544" s="88">
        <f>SUM(F544:K544)</f>
        <v>241502</v>
      </c>
      <c r="M544" s="8"/>
      <c r="N544" s="265"/>
    </row>
    <row r="545" spans="1:14" s="3" customFormat="1" ht="12.2" customHeight="1" thickTop="1" thickBot="1" x14ac:dyDescent="0.2">
      <c r="A545" s="130" t="s">
        <v>71</v>
      </c>
      <c r="B545" s="190">
        <v>21</v>
      </c>
      <c r="C545" s="190">
        <v>20</v>
      </c>
      <c r="D545" s="191" t="s">
        <v>432</v>
      </c>
      <c r="E545" s="190"/>
      <c r="F545" s="192">
        <f>SUM(F542:F544)</f>
        <v>315032</v>
      </c>
      <c r="G545" s="192">
        <f t="shared" ref="G545:L545" si="41">SUM(G542:G544)</f>
        <v>80414</v>
      </c>
      <c r="H545" s="192">
        <f t="shared" si="41"/>
        <v>282091</v>
      </c>
      <c r="I545" s="192">
        <f t="shared" si="41"/>
        <v>0</v>
      </c>
      <c r="J545" s="192">
        <f t="shared" si="41"/>
        <v>0</v>
      </c>
      <c r="K545" s="192">
        <f t="shared" si="41"/>
        <v>0</v>
      </c>
      <c r="L545" s="192">
        <f t="shared" si="41"/>
        <v>677537</v>
      </c>
      <c r="M545" s="8"/>
      <c r="N545" s="265"/>
    </row>
    <row r="546" spans="1:14" s="3" customFormat="1" ht="12.2" customHeight="1" thickTop="1" x14ac:dyDescent="0.15">
      <c r="A546" s="98" t="s">
        <v>72</v>
      </c>
      <c r="B546" s="107">
        <v>21</v>
      </c>
      <c r="C546" s="107">
        <v>21</v>
      </c>
      <c r="D546" s="158" t="s">
        <v>432</v>
      </c>
      <c r="E546" s="107"/>
      <c r="F546" s="89">
        <f>F525+F530+F535+F540+F545</f>
        <v>7040268</v>
      </c>
      <c r="G546" s="89">
        <f t="shared" ref="G546:L546" si="42">G525+G530+G535+G540+G545</f>
        <v>3357929</v>
      </c>
      <c r="H546" s="89">
        <f t="shared" si="42"/>
        <v>2163312</v>
      </c>
      <c r="I546" s="89">
        <f t="shared" si="42"/>
        <v>126721</v>
      </c>
      <c r="J546" s="89">
        <f t="shared" si="42"/>
        <v>58532</v>
      </c>
      <c r="K546" s="89">
        <f t="shared" si="42"/>
        <v>1955</v>
      </c>
      <c r="L546" s="89">
        <f t="shared" si="42"/>
        <v>12748717</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4456907</v>
      </c>
      <c r="G550" s="87">
        <f>L527</f>
        <v>1013395</v>
      </c>
      <c r="H550" s="87">
        <f>L532</f>
        <v>312363</v>
      </c>
      <c r="I550" s="87">
        <f>L537</f>
        <v>14804</v>
      </c>
      <c r="J550" s="87">
        <f>L542</f>
        <v>287431</v>
      </c>
      <c r="K550" s="87">
        <f>SUM(F550:J550)</f>
        <v>6084900</v>
      </c>
      <c r="L550" s="24" t="s">
        <v>288</v>
      </c>
      <c r="M550" s="8"/>
      <c r="N550" s="265"/>
    </row>
    <row r="551" spans="1:14" s="3" customFormat="1" ht="12.2" customHeight="1" x14ac:dyDescent="0.15">
      <c r="A551" s="22" t="s">
        <v>634</v>
      </c>
      <c r="B551" s="75">
        <v>21</v>
      </c>
      <c r="C551" s="75">
        <v>23</v>
      </c>
      <c r="D551" s="2" t="s">
        <v>432</v>
      </c>
      <c r="E551" s="75"/>
      <c r="F551" s="87">
        <f>L523</f>
        <v>1990719</v>
      </c>
      <c r="G551" s="87">
        <f>L528</f>
        <v>442924</v>
      </c>
      <c r="H551" s="87">
        <f>L533</f>
        <v>223359</v>
      </c>
      <c r="I551" s="87">
        <f>L538</f>
        <v>22072</v>
      </c>
      <c r="J551" s="87">
        <f>L543</f>
        <v>148604</v>
      </c>
      <c r="K551" s="87">
        <f>SUM(F551:J551)</f>
        <v>2827678</v>
      </c>
      <c r="L551" s="24" t="s">
        <v>288</v>
      </c>
      <c r="M551" s="8"/>
      <c r="N551" s="265"/>
    </row>
    <row r="552" spans="1:14" s="3" customFormat="1" ht="12.2" customHeight="1" thickBot="1" x14ac:dyDescent="0.2">
      <c r="A552" s="22" t="s">
        <v>635</v>
      </c>
      <c r="B552" s="75">
        <v>21</v>
      </c>
      <c r="C552" s="75">
        <v>24</v>
      </c>
      <c r="D552" s="2" t="s">
        <v>432</v>
      </c>
      <c r="E552" s="75"/>
      <c r="F552" s="87">
        <f>L524</f>
        <v>2652890</v>
      </c>
      <c r="G552" s="87">
        <f>L529</f>
        <v>626163</v>
      </c>
      <c r="H552" s="87">
        <f>L534</f>
        <v>303145</v>
      </c>
      <c r="I552" s="87">
        <f>L539</f>
        <v>12439</v>
      </c>
      <c r="J552" s="87">
        <f>L544</f>
        <v>241502</v>
      </c>
      <c r="K552" s="87">
        <f>SUM(F552:J552)</f>
        <v>3836139</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9100516</v>
      </c>
      <c r="G553" s="89">
        <f t="shared" si="43"/>
        <v>2082482</v>
      </c>
      <c r="H553" s="89">
        <f t="shared" si="43"/>
        <v>838867</v>
      </c>
      <c r="I553" s="89">
        <f t="shared" si="43"/>
        <v>49315</v>
      </c>
      <c r="J553" s="89">
        <f t="shared" si="43"/>
        <v>677537</v>
      </c>
      <c r="K553" s="89">
        <f t="shared" si="43"/>
        <v>12748717</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v>10869</v>
      </c>
      <c r="G563" s="18">
        <v>14964</v>
      </c>
      <c r="H563" s="18">
        <v>10</v>
      </c>
      <c r="I563" s="18">
        <v>64</v>
      </c>
      <c r="J563" s="18"/>
      <c r="K563" s="18"/>
      <c r="L563" s="88">
        <f>SUM(F563:K563)</f>
        <v>25907</v>
      </c>
      <c r="M563" s="8"/>
      <c r="N563" s="265"/>
    </row>
    <row r="564" spans="1:14" s="3" customFormat="1" ht="12.2" customHeight="1" x14ac:dyDescent="0.15">
      <c r="A564" s="22" t="s">
        <v>634</v>
      </c>
      <c r="B564" s="105">
        <v>22</v>
      </c>
      <c r="C564" s="115">
        <v>6</v>
      </c>
      <c r="D564" s="2" t="s">
        <v>432</v>
      </c>
      <c r="E564" s="115"/>
      <c r="F564" s="18">
        <v>21738</v>
      </c>
      <c r="G564" s="18">
        <v>7736</v>
      </c>
      <c r="H564" s="18">
        <v>5</v>
      </c>
      <c r="I564" s="18">
        <v>33</v>
      </c>
      <c r="J564" s="18"/>
      <c r="K564" s="18"/>
      <c r="L564" s="88">
        <f>SUM(F564:K564)</f>
        <v>29512</v>
      </c>
      <c r="M564" s="8"/>
      <c r="N564" s="265"/>
    </row>
    <row r="565" spans="1:14" s="3" customFormat="1" ht="12.2" customHeight="1" thickBot="1" x14ac:dyDescent="0.2">
      <c r="A565" s="22" t="s">
        <v>635</v>
      </c>
      <c r="B565" s="105">
        <v>22</v>
      </c>
      <c r="C565" s="118">
        <v>7</v>
      </c>
      <c r="D565" s="2" t="s">
        <v>432</v>
      </c>
      <c r="E565" s="118"/>
      <c r="F565" s="18">
        <v>42573</v>
      </c>
      <c r="G565" s="18">
        <v>12573</v>
      </c>
      <c r="H565" s="18">
        <v>8</v>
      </c>
      <c r="I565" s="18">
        <v>53</v>
      </c>
      <c r="J565" s="18"/>
      <c r="K565" s="18"/>
      <c r="L565" s="88">
        <f>SUM(F565:K565)</f>
        <v>55207</v>
      </c>
      <c r="M565" s="8"/>
      <c r="N565" s="265"/>
    </row>
    <row r="566" spans="1:14" s="3" customFormat="1" ht="12.2" customHeight="1" thickTop="1" x14ac:dyDescent="0.15">
      <c r="A566" s="139" t="s">
        <v>65</v>
      </c>
      <c r="B566" s="107">
        <v>22</v>
      </c>
      <c r="C566" s="107">
        <v>8</v>
      </c>
      <c r="D566" s="195" t="s">
        <v>432</v>
      </c>
      <c r="E566" s="107"/>
      <c r="F566" s="89">
        <f t="shared" ref="F566:L566" si="45">SUM(F563:F565)</f>
        <v>75180</v>
      </c>
      <c r="G566" s="89">
        <f t="shared" si="45"/>
        <v>35273</v>
      </c>
      <c r="H566" s="89">
        <f t="shared" si="45"/>
        <v>23</v>
      </c>
      <c r="I566" s="89">
        <f t="shared" si="45"/>
        <v>150</v>
      </c>
      <c r="J566" s="89">
        <f t="shared" si="45"/>
        <v>0</v>
      </c>
      <c r="K566" s="89">
        <f t="shared" si="45"/>
        <v>0</v>
      </c>
      <c r="L566" s="89">
        <f t="shared" si="45"/>
        <v>110626</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75180</v>
      </c>
      <c r="G572" s="89">
        <f t="shared" ref="G572:L572" si="47">G561+G566+G571</f>
        <v>35273</v>
      </c>
      <c r="H572" s="89">
        <f t="shared" si="47"/>
        <v>23</v>
      </c>
      <c r="I572" s="89">
        <f t="shared" si="47"/>
        <v>150</v>
      </c>
      <c r="J572" s="89">
        <f t="shared" si="47"/>
        <v>0</v>
      </c>
      <c r="K572" s="89">
        <f t="shared" si="47"/>
        <v>0</v>
      </c>
      <c r="L572" s="89">
        <f t="shared" si="47"/>
        <v>110626</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f>97350+56486</f>
        <v>153836</v>
      </c>
      <c r="G580" s="18">
        <f>120484+29204</f>
        <v>149688</v>
      </c>
      <c r="H580" s="18">
        <f>21982+47460</f>
        <v>69442</v>
      </c>
      <c r="I580" s="87">
        <f t="shared" si="48"/>
        <v>372966</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517312</v>
      </c>
      <c r="G583" s="18">
        <v>184929</v>
      </c>
      <c r="H583" s="18">
        <v>311639</v>
      </c>
      <c r="I583" s="87">
        <f t="shared" si="48"/>
        <v>1013880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342812</v>
      </c>
      <c r="I585" s="87">
        <f t="shared" si="48"/>
        <v>342812</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36881+244518-1</f>
        <v>281398</v>
      </c>
      <c r="I592" s="18">
        <v>126417</v>
      </c>
      <c r="J592" s="18">
        <v>205446</v>
      </c>
      <c r="K592" s="104">
        <f t="shared" ref="K592:K598" si="49">SUM(H592:J592)</f>
        <v>613261</v>
      </c>
      <c r="L592" s="24" t="s">
        <v>288</v>
      </c>
      <c r="M592" s="8"/>
      <c r="N592" s="265"/>
    </row>
    <row r="593" spans="1:14" s="3" customFormat="1" ht="12.2" customHeight="1" x14ac:dyDescent="0.15">
      <c r="A593" s="3" t="s">
        <v>638</v>
      </c>
      <c r="B593" s="75">
        <v>23</v>
      </c>
      <c r="C593" s="75">
        <v>2</v>
      </c>
      <c r="D593" s="2" t="s">
        <v>432</v>
      </c>
      <c r="E593" s="75"/>
      <c r="F593" s="102">
        <v>2722</v>
      </c>
      <c r="G593" s="103" t="s">
        <v>97</v>
      </c>
      <c r="H593" s="18">
        <v>287431</v>
      </c>
      <c r="I593" s="18">
        <v>148604</v>
      </c>
      <c r="J593" s="18">
        <v>241502</v>
      </c>
      <c r="K593" s="104">
        <f t="shared" si="49"/>
        <v>677537</v>
      </c>
      <c r="L593" s="24" t="s">
        <v>288</v>
      </c>
      <c r="M593" s="8"/>
      <c r="N593" s="265"/>
    </row>
    <row r="594" spans="1:14" s="3" customFormat="1" ht="12.2" customHeight="1" x14ac:dyDescent="0.15">
      <c r="A594" s="3" t="s">
        <v>639</v>
      </c>
      <c r="B594" s="75">
        <v>23</v>
      </c>
      <c r="C594" s="75">
        <v>3</v>
      </c>
      <c r="D594" s="2" t="s">
        <v>432</v>
      </c>
      <c r="E594" s="75"/>
      <c r="F594" s="102">
        <v>2723</v>
      </c>
      <c r="G594" s="103" t="s">
        <v>97</v>
      </c>
      <c r="H594" s="18">
        <v>248</v>
      </c>
      <c r="I594" s="18">
        <v>128</v>
      </c>
      <c r="J594" s="18">
        <f>6810+208</f>
        <v>7018</v>
      </c>
      <c r="K594" s="104">
        <f t="shared" si="49"/>
        <v>7394</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f>1400+286</f>
        <v>1686</v>
      </c>
      <c r="I596" s="18">
        <f>11903+148</f>
        <v>12051</v>
      </c>
      <c r="J596" s="18">
        <f>25801+240</f>
        <v>26041</v>
      </c>
      <c r="K596" s="104">
        <f t="shared" si="49"/>
        <v>39778</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f>4069+198176+145138</f>
        <v>347383</v>
      </c>
      <c r="I598" s="18">
        <f>2103+102458+75037+1</f>
        <v>179599</v>
      </c>
      <c r="J598" s="18">
        <f>3418+166509+121946+1</f>
        <v>291874</v>
      </c>
      <c r="K598" s="104">
        <f t="shared" si="49"/>
        <v>818856</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918146</v>
      </c>
      <c r="I599" s="108">
        <f>SUM(I592:I598)</f>
        <v>466799</v>
      </c>
      <c r="J599" s="108">
        <f>SUM(J592:J598)</f>
        <v>771881</v>
      </c>
      <c r="K599" s="108">
        <f>SUM(K592:K598)</f>
        <v>2156826</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v>274</v>
      </c>
      <c r="I603" s="18">
        <v>142</v>
      </c>
      <c r="J603" s="18">
        <v>230</v>
      </c>
      <c r="K603" s="104">
        <f>SUM(H603:J603)</f>
        <v>646</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40960+440642+1</f>
        <v>481603</v>
      </c>
      <c r="I605" s="18">
        <f>36404+227814</f>
        <v>264218</v>
      </c>
      <c r="J605" s="18">
        <f>86368+370231+1</f>
        <v>456600</v>
      </c>
      <c r="K605" s="104">
        <f>SUM(H605:J605)</f>
        <v>1202421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481877</v>
      </c>
      <c r="I606" s="108">
        <f>SUM(I603:I605)</f>
        <v>264360</v>
      </c>
      <c r="J606" s="108">
        <f>SUM(J603:J605)</f>
        <v>456830</v>
      </c>
      <c r="K606" s="108">
        <f>SUM(K603:K605)</f>
        <v>1203067</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3194469</v>
      </c>
      <c r="H618" s="109">
        <f>SUM(F52)</f>
        <v>3194469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653465</v>
      </c>
      <c r="H619" s="109">
        <f>SUM(G52)</f>
        <v>653465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1324530</v>
      </c>
      <c r="H620" s="109">
        <f>SUM(H52)</f>
        <v>1324530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1249769</v>
      </c>
      <c r="H622" s="109">
        <f>SUM(J52)</f>
        <v>1249769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766830</v>
      </c>
      <c r="H623" s="109">
        <f>F477</f>
        <v>766830</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268937</v>
      </c>
      <c r="H624" s="109">
        <f>G477</f>
        <v>268937</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29659</v>
      </c>
      <c r="H625" s="109">
        <f>H477</f>
        <v>29659</v>
      </c>
      <c r="I625" s="121" t="s">
        <v>103</v>
      </c>
      <c r="J625" s="109">
        <f t="shared" si="51"/>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1249769</v>
      </c>
      <c r="H627" s="109">
        <f>J477</f>
        <v>1249769</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41115024</v>
      </c>
      <c r="H628" s="104">
        <f>SUM(F469)</f>
        <v>41115024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1512245</v>
      </c>
      <c r="H629" s="104">
        <f>SUM(G469)</f>
        <v>1512245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2966961</v>
      </c>
      <c r="H630" s="104">
        <f>SUM(H469)</f>
        <v>2966961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216932</v>
      </c>
      <c r="H632" s="104">
        <f>SUM(J469)</f>
        <v>216932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41615789</v>
      </c>
      <c r="H633" s="104">
        <f>SUM(F473)</f>
        <v>41615789</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2911863</v>
      </c>
      <c r="H634" s="104">
        <f>SUM(H473)</f>
        <v>2911863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607435</v>
      </c>
      <c r="H635" s="104">
        <f>I370</f>
        <v>607435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1247459</v>
      </c>
      <c r="H636" s="104">
        <f>SUM(G473)</f>
        <v>1247459</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216932</v>
      </c>
      <c r="H638" s="164">
        <f>SUM(J469)</f>
        <v>216932</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1249769</v>
      </c>
      <c r="H641" s="104">
        <f>SUM(G462)</f>
        <v>1249769</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1249769</v>
      </c>
      <c r="H643" s="104">
        <f>SUM(I462)</f>
        <v>1249769</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23564</v>
      </c>
      <c r="H645" s="104">
        <f>H409</f>
        <v>23564</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300000</v>
      </c>
      <c r="H646" s="104">
        <f>G409</f>
        <v>300000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216932</v>
      </c>
      <c r="H647" s="104">
        <f>L409</f>
        <v>216932</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2156826</v>
      </c>
      <c r="H648" s="104">
        <f>L209+L227+L245</f>
        <v>2156826</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1203067</v>
      </c>
      <c r="H649" s="104">
        <f>(J258+J339)-(J256+J337)</f>
        <v>1203067</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918146</v>
      </c>
      <c r="H650" s="104">
        <f>H599</f>
        <v>918146</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466799</v>
      </c>
      <c r="H651" s="104">
        <f>I599</f>
        <v>466799</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771881</v>
      </c>
      <c r="H652" s="104">
        <f>J599</f>
        <v>771881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300000</v>
      </c>
      <c r="H656" s="104">
        <f>K267+K348</f>
        <v>300000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19537764</v>
      </c>
      <c r="G661" s="19">
        <f>(L230+L310+L360)</f>
        <v>9623231</v>
      </c>
      <c r="H661" s="19">
        <f>(L248+L329+L361)</f>
        <v>14464184</v>
      </c>
      <c r="I661" s="19">
        <f>SUM(F661:H661)</f>
        <v>43625179</v>
      </c>
      <c r="J661" s="13"/>
      <c r="K661" s="13"/>
      <c r="L661" s="13"/>
      <c r="M661" s="9"/>
    </row>
    <row r="662" spans="1:13" s="3" customFormat="1" ht="12.2" customHeight="1" x14ac:dyDescent="0.2">
      <c r="A662" s="1" t="s">
        <v>127</v>
      </c>
      <c r="F662" s="19">
        <f>(L359/IF(SUM(L359:L361)=0,1,SUM(L359:L361))*(SUM(G97:G110)))</f>
        <v>101979.37895033024</v>
      </c>
      <c r="G662" s="19">
        <f>(L360/IF(SUM(L359:L361)=0,1,SUM(L359:L361))*(SUM(G97:G110)))</f>
        <v>43712.362944192952</v>
      </c>
      <c r="H662" s="19">
        <f>(L361/IF(SUM(L359:L361)=0,1,SUM(L359:L361))*(SUM(G97:G110)))</f>
        <v>101774.25810547681</v>
      </c>
      <c r="I662" s="19">
        <f>SUM(F662:H662)</f>
        <v>247466</v>
      </c>
      <c r="J662"/>
      <c r="K662" s="13"/>
      <c r="L662" s="13"/>
      <c r="M662" s="8"/>
    </row>
    <row r="663" spans="1:13" s="3" customFormat="1" ht="12.2" customHeight="1" x14ac:dyDescent="0.2">
      <c r="A663" s="1" t="s">
        <v>128</v>
      </c>
      <c r="F663" s="19">
        <f>(L209+L288)-(J209+J288)</f>
        <v>841124</v>
      </c>
      <c r="G663" s="19">
        <f>(L227+L307)-(J227+J307)</f>
        <v>426978</v>
      </c>
      <c r="H663" s="19">
        <f>(L245+L326)-(J245+J326)</f>
        <v>707166</v>
      </c>
      <c r="I663" s="19">
        <f>SUM(F663:H663)</f>
        <v>1975268</v>
      </c>
      <c r="J663"/>
      <c r="K663" s="13"/>
      <c r="L663" s="13"/>
      <c r="M663" s="9"/>
    </row>
    <row r="664" spans="1:13" s="3" customFormat="1" ht="12.2" customHeight="1" x14ac:dyDescent="0.15">
      <c r="A664" s="197" t="s">
        <v>129</v>
      </c>
      <c r="B664" s="169"/>
      <c r="C664" s="169"/>
      <c r="D664" s="169"/>
      <c r="E664" s="169"/>
      <c r="F664" s="198">
        <f>SUM(F576:F588)+SUM(H603:H605)+SUM(L612)</f>
        <v>1153025</v>
      </c>
      <c r="G664" s="198">
        <f>SUM(G576:G588)+SUM(I603:I605)+L613</f>
        <v>598977</v>
      </c>
      <c r="H664" s="198">
        <f>SUM(H576:H588)+SUM(J603:J605)+L614</f>
        <v>1180723</v>
      </c>
      <c r="I664" s="19">
        <f>SUM(F664:H664)</f>
        <v>2932725</v>
      </c>
      <c r="J664" s="13"/>
      <c r="K664" s="13"/>
      <c r="L664" s="13"/>
      <c r="M664" s="9"/>
    </row>
    <row r="665" spans="1:13" s="3" customFormat="1" ht="12.2" customHeight="1" x14ac:dyDescent="0.15">
      <c r="A665" s="1" t="s">
        <v>130</v>
      </c>
      <c r="F665" s="19">
        <f>F661-SUM(F662:F664)</f>
        <v>17441635.621049669</v>
      </c>
      <c r="G665" s="19">
        <f>G661-SUM(G662:G664)</f>
        <v>8553563.6370558068</v>
      </c>
      <c r="H665" s="19">
        <f>H661-SUM(H662:H664)</f>
        <v>12474520.741894523</v>
      </c>
      <c r="I665" s="19">
        <f>I661-SUM(I662:I664)</f>
        <v>38469720</v>
      </c>
      <c r="J665" s="13"/>
      <c r="K665" s="13"/>
      <c r="L665" s="13"/>
      <c r="M665" s="8"/>
    </row>
    <row r="666" spans="1:13" s="3" customFormat="1" ht="12.2" customHeight="1" x14ac:dyDescent="0.2">
      <c r="A666" s="1" t="s">
        <v>131</v>
      </c>
      <c r="F666" s="245">
        <v>916.92</v>
      </c>
      <c r="G666" s="246">
        <v>474.05</v>
      </c>
      <c r="H666" s="246">
        <v>770.35</v>
      </c>
      <c r="I666" s="19">
        <f>SUM(F666:H666)</f>
        <v>2161.3200000000002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19021.98</v>
      </c>
      <c r="G668" s="19">
        <f>ROUND(G665/G666,2)</f>
        <v>18043.59</v>
      </c>
      <c r="H668" s="19">
        <f>ROUND(H665/H666,2)</f>
        <v>16193.32</v>
      </c>
      <c r="I668" s="19">
        <f>ROUND(I665/I666,2)</f>
        <v>17799.18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-43.94</v>
      </c>
      <c r="I671" s="19">
        <f>SUM(F671:H671)</f>
        <v>-43.94</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19021.98</v>
      </c>
      <c r="G673" s="19">
        <f>ROUND((G665+G670)/(G666+G671),2)</f>
        <v>18043.59</v>
      </c>
      <c r="H673" s="19">
        <f>ROUND((H665+H670)/(H666+H671),2)</f>
        <v>17172.84</v>
      </c>
      <c r="I673" s="19">
        <f>ROUND((I665+I670)/(I666+I671),2)</f>
        <v>18168.55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3" t="s">
        <v>1643</v>
      </c>
      <c r="D2" s="373"/>
      <c r="E2" s="373"/>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93733</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f>6488+30965</f>
        <v>37453</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56280</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4" t="s">
        <v>1567</v>
      </c>
      <c r="B1" s="374"/>
      <c r="C1" s="374"/>
      <c r="D1" s="374"/>
      <c r="E1" s="374"/>
      <c r="F1" s="374"/>
      <c r="G1" s="374"/>
      <c r="H1" s="374"/>
    </row>
    <row r="2" spans="1:9" ht="15" x14ac:dyDescent="0.2">
      <c r="A2" s="374" t="s">
        <v>1632</v>
      </c>
      <c r="B2" s="374"/>
      <c r="C2" s="374"/>
      <c r="D2" s="374"/>
      <c r="E2" s="374"/>
      <c r="F2" s="374"/>
      <c r="G2" s="374"/>
      <c r="H2" s="374"/>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5" t="str">
        <f>'DOE25'!A2</f>
        <v>Merrimack Valley</v>
      </c>
      <c r="C5" s="376"/>
      <c r="D5" s="376"/>
      <c r="E5" s="376"/>
      <c r="F5" s="376"/>
    </row>
    <row r="8" spans="1:9" ht="18" x14ac:dyDescent="0.25">
      <c r="A8" s="312" t="s">
        <v>1568</v>
      </c>
      <c r="F8" s="319" t="s">
        <v>1586</v>
      </c>
    </row>
    <row r="9" spans="1:9" ht="15" x14ac:dyDescent="0.2">
      <c r="A9" s="310" t="s">
        <v>1569</v>
      </c>
      <c r="B9" s="313">
        <f>'DOE25'!G97</f>
        <v>235891</v>
      </c>
      <c r="F9" s="310" t="s">
        <v>1582</v>
      </c>
    </row>
    <row r="10" spans="1:9" ht="15" x14ac:dyDescent="0.2">
      <c r="A10" s="310" t="s">
        <v>1570</v>
      </c>
      <c r="B10" s="313">
        <f>'DOE25'!G112-'DOE25'!G97</f>
        <v>11687</v>
      </c>
      <c r="F10" s="310" t="s">
        <v>1583</v>
      </c>
    </row>
    <row r="11" spans="1:9" ht="15" x14ac:dyDescent="0.2">
      <c r="A11" s="310" t="s">
        <v>1571</v>
      </c>
      <c r="B11" s="313">
        <f>'DOE25'!G140</f>
        <v>53167</v>
      </c>
      <c r="F11" s="310" t="s">
        <v>1584</v>
      </c>
    </row>
    <row r="12" spans="1:9" ht="15" x14ac:dyDescent="0.2">
      <c r="A12" s="310" t="s">
        <v>1572</v>
      </c>
      <c r="B12" s="313">
        <f>'DOE25'!G170</f>
        <v>1211500</v>
      </c>
      <c r="F12" s="310" t="s">
        <v>1585</v>
      </c>
    </row>
    <row r="13" spans="1:9" ht="15" x14ac:dyDescent="0.2">
      <c r="A13" s="310" t="s">
        <v>1573</v>
      </c>
      <c r="B13" s="313">
        <f>'DOE25'!G193-'DOE25'!G180</f>
        <v>0</v>
      </c>
      <c r="F13" s="310" t="s">
        <v>1595</v>
      </c>
    </row>
    <row r="14" spans="1:9" ht="18" x14ac:dyDescent="0.25">
      <c r="A14" s="312" t="s">
        <v>732</v>
      </c>
      <c r="B14" s="314">
        <f>SUM(B9:B13)</f>
        <v>1512245</v>
      </c>
    </row>
    <row r="16" spans="1:9" ht="18" x14ac:dyDescent="0.25">
      <c r="A16" s="312" t="s">
        <v>786</v>
      </c>
      <c r="F16" s="319" t="s">
        <v>1587</v>
      </c>
    </row>
    <row r="17" spans="1:6" ht="15" x14ac:dyDescent="0.2">
      <c r="A17" s="310" t="s">
        <v>1574</v>
      </c>
      <c r="B17" s="313">
        <f>'DOE25'!L363-'DOE25'!L362</f>
        <v>1247459</v>
      </c>
      <c r="F17" s="310" t="s">
        <v>1588</v>
      </c>
    </row>
    <row r="18" spans="1:6" ht="15" x14ac:dyDescent="0.2">
      <c r="A18" s="310" t="s">
        <v>1575</v>
      </c>
      <c r="B18" s="323"/>
      <c r="F18" s="319" t="s">
        <v>1612</v>
      </c>
    </row>
    <row r="19" spans="1:6" ht="18" x14ac:dyDescent="0.25">
      <c r="A19" s="312" t="s">
        <v>725</v>
      </c>
      <c r="B19" s="314">
        <f>SUM(B17:B18)</f>
        <v>1247459</v>
      </c>
    </row>
    <row r="21" spans="1:6" ht="18.75" thickBot="1" x14ac:dyDescent="0.3">
      <c r="A21" s="312" t="s">
        <v>1576</v>
      </c>
    </row>
    <row r="22" spans="1:6" ht="18.75" thickTop="1" x14ac:dyDescent="0.25">
      <c r="A22" s="312" t="s">
        <v>1577</v>
      </c>
      <c r="B22" s="318">
        <f>B14-B19</f>
        <v>264786</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54</v>
      </c>
      <c r="F31" s="310" t="s">
        <v>1592</v>
      </c>
    </row>
    <row r="33" spans="1:6" ht="15" x14ac:dyDescent="0.2">
      <c r="A33" s="310" t="s">
        <v>1635</v>
      </c>
      <c r="B33" s="313">
        <f>'DOE25'!G477</f>
        <v>268937</v>
      </c>
      <c r="F33" s="310" t="s">
        <v>1593</v>
      </c>
    </row>
    <row r="36" spans="1:6" ht="15" x14ac:dyDescent="0.2">
      <c r="A36" s="310" t="s">
        <v>1579</v>
      </c>
      <c r="B36" s="324">
        <v>58652.63</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Merrimack Valley</v>
      </c>
      <c r="C1" s="237" t="s">
        <v>824</v>
      </c>
    </row>
    <row r="2" spans="1:3" x14ac:dyDescent="0.2">
      <c r="A2" s="232"/>
      <c r="B2" s="231"/>
    </row>
    <row r="3" spans="1:3" x14ac:dyDescent="0.2">
      <c r="A3" s="373" t="s">
        <v>780</v>
      </c>
      <c r="B3" s="373"/>
      <c r="C3" s="373"/>
    </row>
    <row r="4" spans="1:3" x14ac:dyDescent="0.2">
      <c r="A4" s="235"/>
      <c r="B4" s="236" t="str">
        <f>'DOE25'!H1</f>
        <v>DOE 25  2021-2022</v>
      </c>
      <c r="C4" s="235"/>
    </row>
    <row r="5" spans="1:3" x14ac:dyDescent="0.2">
      <c r="A5" s="232"/>
      <c r="B5" s="231"/>
    </row>
    <row r="6" spans="1:3" x14ac:dyDescent="0.2">
      <c r="A6" s="226"/>
      <c r="B6" s="379" t="s">
        <v>779</v>
      </c>
      <c r="C6" s="379"/>
    </row>
    <row r="7" spans="1:3" x14ac:dyDescent="0.2">
      <c r="A7" s="238" t="s">
        <v>782</v>
      </c>
      <c r="B7" s="377" t="s">
        <v>778</v>
      </c>
      <c r="C7" s="378"/>
    </row>
    <row r="8" spans="1:3" x14ac:dyDescent="0.2">
      <c r="B8" s="227" t="s">
        <v>54</v>
      </c>
      <c r="C8" s="227" t="s">
        <v>772</v>
      </c>
    </row>
    <row r="9" spans="1:3" x14ac:dyDescent="0.2">
      <c r="A9" s="33" t="s">
        <v>773</v>
      </c>
      <c r="B9" s="228">
        <f>'DOE25'!F198+'DOE25'!F216+'DOE25'!F234+'DOE25'!F277+'DOE25'!F296+'DOE25'!F315</f>
        <v>10092599</v>
      </c>
      <c r="C9" s="228">
        <f>'DOE25'!G198+'DOE25'!G216+'DOE25'!G234+'DOE25'!G277+'DOE25'!G296+'DOE25'!G315</f>
        <v>4313642</v>
      </c>
    </row>
    <row r="10" spans="1:3" x14ac:dyDescent="0.2">
      <c r="A10" t="s">
        <v>775</v>
      </c>
      <c r="B10" s="239">
        <v>9690903</v>
      </c>
      <c r="C10" s="239">
        <f>C9*0.9602</f>
        <v>4141959.0484000002</v>
      </c>
    </row>
    <row r="11" spans="1:3" x14ac:dyDescent="0.2">
      <c r="A11" t="s">
        <v>776</v>
      </c>
      <c r="B11" s="239">
        <v>194061</v>
      </c>
      <c r="C11" s="239">
        <f>C9*0.0192</f>
        <v>82821.926399999997</v>
      </c>
    </row>
    <row r="12" spans="1:3" x14ac:dyDescent="0.2">
      <c r="A12" t="s">
        <v>777</v>
      </c>
      <c r="B12" s="239">
        <v>207635</v>
      </c>
      <c r="C12" s="239">
        <f>C9*0.0206</f>
        <v>88861.025200000004</v>
      </c>
    </row>
    <row r="13" spans="1:3" x14ac:dyDescent="0.2">
      <c r="A13" t="str">
        <f>IF(B9=B13,IF(C9=C13,"Check Total OK","Check Total Error"),"Check Total Error")</f>
        <v>Check Total OK</v>
      </c>
      <c r="B13" s="230">
        <f>SUM(B10:B12)</f>
        <v>10092599</v>
      </c>
      <c r="C13" s="230">
        <f>SUM(C10:C12)</f>
        <v>4313642</v>
      </c>
    </row>
    <row r="14" spans="1:3" x14ac:dyDescent="0.2">
      <c r="B14" s="229"/>
      <c r="C14" s="229"/>
    </row>
    <row r="15" spans="1:3" x14ac:dyDescent="0.2">
      <c r="B15" s="379" t="s">
        <v>779</v>
      </c>
      <c r="C15" s="379"/>
    </row>
    <row r="16" spans="1:3" x14ac:dyDescent="0.2">
      <c r="A16" s="238" t="s">
        <v>783</v>
      </c>
      <c r="B16" s="377" t="s">
        <v>703</v>
      </c>
      <c r="C16" s="378"/>
    </row>
    <row r="17" spans="1:3" x14ac:dyDescent="0.2">
      <c r="B17" s="227" t="s">
        <v>54</v>
      </c>
      <c r="C17" s="227" t="s">
        <v>772</v>
      </c>
    </row>
    <row r="18" spans="1:3" x14ac:dyDescent="0.2">
      <c r="A18" s="33" t="s">
        <v>773</v>
      </c>
      <c r="B18" s="228">
        <f>'DOE25'!F199+'DOE25'!F217+'DOE25'!F235+'DOE25'!F278+'DOE25'!F297+'DOE25'!F316</f>
        <v>5056684</v>
      </c>
      <c r="C18" s="228">
        <f>'DOE25'!G199+'DOE25'!G217+'DOE25'!G235+'DOE25'!G278+'DOE25'!G297+'DOE25'!G316</f>
        <v>2511200</v>
      </c>
    </row>
    <row r="19" spans="1:3" x14ac:dyDescent="0.2">
      <c r="A19" t="s">
        <v>775</v>
      </c>
      <c r="B19" s="239">
        <f>2341298+720</f>
        <v>2342018</v>
      </c>
      <c r="C19" s="239">
        <f>C18*0.463153</f>
        <v>1163069.8136</v>
      </c>
    </row>
    <row r="20" spans="1:3" x14ac:dyDescent="0.2">
      <c r="A20" t="s">
        <v>776</v>
      </c>
      <c r="B20" s="239">
        <v>2630841</v>
      </c>
      <c r="C20" s="239">
        <f>C18*0.52027</f>
        <v>1306502.024</v>
      </c>
    </row>
    <row r="21" spans="1:3" x14ac:dyDescent="0.2">
      <c r="A21" t="s">
        <v>777</v>
      </c>
      <c r="B21" s="239">
        <v>83825</v>
      </c>
      <c r="C21" s="239">
        <f>C18*0.016577</f>
        <v>41628.162400000001</v>
      </c>
    </row>
    <row r="22" spans="1:3" x14ac:dyDescent="0.2">
      <c r="A22" t="str">
        <f>IF(B18=B22,IF(C18=C22,"Check Total OK","Check Total Error"),"Check Total Error")</f>
        <v>Check Total OK</v>
      </c>
      <c r="B22" s="230">
        <f>SUM(B19:B21)</f>
        <v>5056684</v>
      </c>
      <c r="C22" s="230">
        <f>SUM(C19:C21)</f>
        <v>2511200</v>
      </c>
    </row>
    <row r="23" spans="1:3" x14ac:dyDescent="0.2">
      <c r="B23" s="229"/>
      <c r="C23" s="229"/>
    </row>
    <row r="24" spans="1:3" x14ac:dyDescent="0.2">
      <c r="B24" s="379" t="s">
        <v>779</v>
      </c>
      <c r="C24" s="379"/>
    </row>
    <row r="25" spans="1:3" x14ac:dyDescent="0.2">
      <c r="A25" s="238" t="s">
        <v>784</v>
      </c>
      <c r="B25" s="377" t="s">
        <v>704</v>
      </c>
      <c r="C25" s="378"/>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9" t="s">
        <v>779</v>
      </c>
      <c r="C33" s="379"/>
    </row>
    <row r="34" spans="1:3" x14ac:dyDescent="0.2">
      <c r="A34" s="238" t="s">
        <v>785</v>
      </c>
      <c r="B34" s="377" t="s">
        <v>705</v>
      </c>
      <c r="C34" s="378"/>
    </row>
    <row r="35" spans="1:3" x14ac:dyDescent="0.2">
      <c r="B35" s="227" t="s">
        <v>54</v>
      </c>
      <c r="C35" s="227" t="s">
        <v>772</v>
      </c>
    </row>
    <row r="36" spans="1:3" x14ac:dyDescent="0.2">
      <c r="A36" s="33" t="s">
        <v>773</v>
      </c>
      <c r="B36" s="234">
        <f>'DOE25'!F201+'DOE25'!F219+'DOE25'!F237+'DOE25'!F280+'DOE25'!F299+'DOE25'!F318</f>
        <v>466918</v>
      </c>
      <c r="C36" s="234">
        <f>'DOE25'!G201+'DOE25'!G219+'DOE25'!G237+'DOE25'!G280+'DOE25'!G299+'DOE25'!G318</f>
        <v>134375</v>
      </c>
    </row>
    <row r="37" spans="1:3" x14ac:dyDescent="0.2">
      <c r="A37" t="s">
        <v>775</v>
      </c>
      <c r="B37" s="239">
        <v>141980</v>
      </c>
      <c r="C37" s="239">
        <f>C36*0.304079</f>
        <v>40860.615624999999</v>
      </c>
    </row>
    <row r="38" spans="1:3" x14ac:dyDescent="0.2">
      <c r="A38" t="s">
        <v>776</v>
      </c>
      <c r="B38" s="239"/>
      <c r="C38" s="239"/>
    </row>
    <row r="39" spans="1:3" x14ac:dyDescent="0.2">
      <c r="A39" t="s">
        <v>777</v>
      </c>
      <c r="B39" s="239">
        <v>324938</v>
      </c>
      <c r="C39" s="239">
        <f>C36*0.695921</f>
        <v>93514.384375000009</v>
      </c>
    </row>
    <row r="40" spans="1:3" x14ac:dyDescent="0.2">
      <c r="A40" t="str">
        <f>IF(B36=B40,IF(C36=C40,"Check Total OK","Check Total Error"),"Check Total Error")</f>
        <v>Check Total OK</v>
      </c>
      <c r="B40" s="230">
        <f>SUM(B37:B39)</f>
        <v>466918</v>
      </c>
      <c r="C40" s="230">
        <f>SUM(C37:C39)</f>
        <v>134375</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9" t="s">
        <v>892</v>
      </c>
      <c r="B1" s="382"/>
      <c r="C1" s="382"/>
      <c r="D1" s="382"/>
      <c r="E1" s="382"/>
      <c r="F1" s="382"/>
      <c r="G1" s="382"/>
      <c r="H1" s="382"/>
      <c r="I1" s="180"/>
    </row>
    <row r="2" spans="1:9" x14ac:dyDescent="0.2">
      <c r="A2" s="33" t="s">
        <v>713</v>
      </c>
      <c r="B2" s="259" t="str">
        <f>'DOE25'!A2</f>
        <v>Merrimack Valley</v>
      </c>
      <c r="C2" s="276"/>
      <c r="D2" s="180" t="s">
        <v>787</v>
      </c>
      <c r="E2" s="180" t="s">
        <v>789</v>
      </c>
      <c r="F2" s="380" t="s">
        <v>891</v>
      </c>
      <c r="G2" s="381"/>
      <c r="H2" s="381"/>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23923601</v>
      </c>
      <c r="D5" s="20">
        <f>SUM('DOE25'!L198:L201)+SUM('DOE25'!L216:L219)+SUM('DOE25'!L234:L237)-F5-G5-H5</f>
        <v>23723280</v>
      </c>
      <c r="E5" s="242"/>
      <c r="F5" s="243">
        <v>28800</v>
      </c>
      <c r="G5" s="53">
        <f>SUM('DOE25'!J198:J201)+SUM('DOE25'!J216:J219)+SUM('DOE25'!J234:J237)</f>
        <v>165969</v>
      </c>
      <c r="H5" s="53">
        <f>SUM('DOE25'!K198:K201)+SUM('DOE25'!K216:K219)+SUM('DOE25'!K234:K237)</f>
        <v>5552</v>
      </c>
      <c r="I5" s="255"/>
    </row>
    <row r="6" spans="1:9" x14ac:dyDescent="0.2">
      <c r="A6" s="32">
        <v>2100</v>
      </c>
      <c r="B6" t="s">
        <v>796</v>
      </c>
      <c r="C6" s="274">
        <f t="shared" si="0"/>
        <v>5352317</v>
      </c>
      <c r="D6" s="20">
        <f>'DOE25'!L203+'DOE25'!L221+'DOE25'!L239-F6-G6-H6</f>
        <v>5349683</v>
      </c>
      <c r="E6" s="242"/>
      <c r="F6" s="243"/>
      <c r="G6" s="53">
        <f>'DOE25'!J203+'DOE25'!J221+'DOE25'!J239</f>
        <v>679</v>
      </c>
      <c r="H6" s="53">
        <f>'DOE25'!K203+'DOE25'!K221+'DOE25'!K239</f>
        <v>1955</v>
      </c>
      <c r="I6" s="255"/>
    </row>
    <row r="7" spans="1:9" x14ac:dyDescent="0.2">
      <c r="A7" s="32">
        <v>2200</v>
      </c>
      <c r="B7" t="s">
        <v>821</v>
      </c>
      <c r="C7" s="274">
        <f t="shared" si="0"/>
        <v>1254448</v>
      </c>
      <c r="D7" s="20">
        <f>'DOE25'!L204+'DOE25'!L222+'DOE25'!L240-F7-G7-H7</f>
        <v>1128106</v>
      </c>
      <c r="E7" s="242"/>
      <c r="F7" s="243"/>
      <c r="G7" s="53">
        <f>'DOE25'!J204+'DOE25'!J222+'DOE25'!J240</f>
        <v>126342</v>
      </c>
      <c r="H7" s="53">
        <f>'DOE25'!K204+'DOE25'!K222+'DOE25'!K240</f>
        <v>0</v>
      </c>
      <c r="I7" s="255"/>
    </row>
    <row r="8" spans="1:9" x14ac:dyDescent="0.2">
      <c r="A8" s="32">
        <v>2300</v>
      </c>
      <c r="B8" t="s">
        <v>797</v>
      </c>
      <c r="C8" s="274">
        <f t="shared" si="0"/>
        <v>137477</v>
      </c>
      <c r="D8" s="242"/>
      <c r="E8" s="20">
        <f>'DOE25'!L205+'DOE25'!L223+'DOE25'!L241-F8-G8-H8-D9-D11</f>
        <v>131395</v>
      </c>
      <c r="F8" s="243"/>
      <c r="G8" s="53">
        <f>'DOE25'!J205+'DOE25'!J223+'DOE25'!J241</f>
        <v>0</v>
      </c>
      <c r="H8" s="53">
        <f>'DOE25'!K205+'DOE25'!K223+'DOE25'!K241</f>
        <v>6082</v>
      </c>
      <c r="I8" s="255"/>
    </row>
    <row r="9" spans="1:9" ht="14.25" x14ac:dyDescent="0.2">
      <c r="A9" s="32">
        <v>2310</v>
      </c>
      <c r="B9" s="184" t="s">
        <v>888</v>
      </c>
      <c r="C9" s="274">
        <f t="shared" si="0"/>
        <v>35976</v>
      </c>
      <c r="D9" s="243">
        <v>35976</v>
      </c>
      <c r="E9" s="242"/>
      <c r="F9" s="252"/>
      <c r="G9" s="252"/>
      <c r="H9" s="252"/>
      <c r="I9" s="255"/>
    </row>
    <row r="10" spans="1:9" ht="14.25" x14ac:dyDescent="0.2">
      <c r="A10" s="32">
        <v>2317</v>
      </c>
      <c r="B10" s="184" t="s">
        <v>889</v>
      </c>
      <c r="C10" s="274">
        <f t="shared" si="0"/>
        <v>40730</v>
      </c>
      <c r="D10" s="242"/>
      <c r="E10" s="243">
        <v>40730</v>
      </c>
      <c r="F10" s="252"/>
      <c r="G10" s="252"/>
      <c r="H10" s="252"/>
      <c r="I10" s="255"/>
    </row>
    <row r="11" spans="1:9" ht="14.25" x14ac:dyDescent="0.2">
      <c r="A11" s="32">
        <v>2321</v>
      </c>
      <c r="B11" s="184" t="s">
        <v>890</v>
      </c>
      <c r="C11" s="274">
        <f t="shared" si="0"/>
        <v>827996</v>
      </c>
      <c r="D11" s="243">
        <v>827996</v>
      </c>
      <c r="E11" s="242"/>
      <c r="F11" s="252"/>
      <c r="G11" s="252"/>
      <c r="H11" s="252"/>
      <c r="I11" s="255"/>
    </row>
    <row r="12" spans="1:9" x14ac:dyDescent="0.2">
      <c r="A12" s="32">
        <v>2400</v>
      </c>
      <c r="B12" t="s">
        <v>711</v>
      </c>
      <c r="C12" s="274">
        <f t="shared" si="0"/>
        <v>2156867</v>
      </c>
      <c r="D12" s="20">
        <f>'DOE25'!L206+'DOE25'!L224+'DOE25'!L242-F12-G12-H12</f>
        <v>2052766</v>
      </c>
      <c r="E12" s="242"/>
      <c r="F12" s="243"/>
      <c r="G12" s="53">
        <f>'DOE25'!J206+'DOE25'!J224+'DOE25'!J242</f>
        <v>67037</v>
      </c>
      <c r="H12" s="53">
        <f>'DOE25'!K206+'DOE25'!K224+'DOE25'!K242</f>
        <v>37064</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4240552</v>
      </c>
      <c r="D14" s="20">
        <f>'DOE25'!L208+'DOE25'!L226+'DOE25'!L244-F14-G14-H14</f>
        <v>3836785</v>
      </c>
      <c r="E14" s="242"/>
      <c r="F14" s="243">
        <f>191000+35200+66272</f>
        <v>292472</v>
      </c>
      <c r="G14" s="53">
        <f>'DOE25'!J208+'DOE25'!J226+'DOE25'!J244</f>
        <v>111295</v>
      </c>
      <c r="H14" s="53">
        <f>'DOE25'!K208+'DOE25'!K226+'DOE25'!K244</f>
        <v>0</v>
      </c>
      <c r="I14" s="255"/>
    </row>
    <row r="15" spans="1:9" x14ac:dyDescent="0.2">
      <c r="A15" s="32">
        <v>2700</v>
      </c>
      <c r="B15" t="s">
        <v>799</v>
      </c>
      <c r="C15" s="274">
        <f t="shared" si="0"/>
        <v>2156826</v>
      </c>
      <c r="D15" s="20">
        <f>'DOE25'!L209+'DOE25'!L227+'DOE25'!L245-F15-G15-H15</f>
        <v>1965424</v>
      </c>
      <c r="E15" s="242"/>
      <c r="F15" s="243"/>
      <c r="G15" s="53">
        <f>'DOE25'!J209+'DOE25'!J227+'DOE25'!J245</f>
        <v>190749</v>
      </c>
      <c r="H15" s="53">
        <f>'DOE25'!K209+'DOE25'!K227+'DOE25'!K245</f>
        <v>653</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1849807</v>
      </c>
      <c r="D22" s="242"/>
      <c r="E22" s="242"/>
      <c r="F22" s="242"/>
      <c r="G22" s="53">
        <f>'DOE25'!L256+'DOE25'!L337</f>
        <v>1849807</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660350</v>
      </c>
      <c r="D29" s="282">
        <f>'DOE25'!L359+'DOE25'!L360+'DOE25'!L361-'DOE25'!I368-F29-G29-H29</f>
        <v>660350</v>
      </c>
      <c r="E29" s="242"/>
      <c r="F29" s="243"/>
      <c r="G29" s="53">
        <f>'DOE25'!J359+'DOE25'!J360+'DOE25'!J361</f>
        <v>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2291785</v>
      </c>
      <c r="D31" s="20">
        <f>'DOE25'!L291+'DOE25'!L310+'DOE25'!L329+'DOE25'!L334+'DOE25'!L335+'DOE25'!L336-F31-G31-H31</f>
        <v>1716176</v>
      </c>
      <c r="E31" s="242"/>
      <c r="F31" s="243"/>
      <c r="G31" s="53">
        <f>'DOE25'!J291+'DOE25'!J310+'DOE25'!J329+'DOE25'!J334+'DOE25'!J335+'DOE25'!J336</f>
        <v>540996</v>
      </c>
      <c r="H31" s="53">
        <f>'DOE25'!K291+'DOE25'!K310+'DOE25'!K329+'DOE25'!K334+'DOE25'!K335+'DOE25'!K336</f>
        <v>34613</v>
      </c>
      <c r="I31" s="255"/>
    </row>
    <row r="32" spans="1:9" ht="12" thickBot="1" x14ac:dyDescent="0.25">
      <c r="C32" s="275"/>
      <c r="G32" s="250"/>
      <c r="H32" s="250"/>
      <c r="I32" s="257"/>
    </row>
    <row r="33" spans="1:9" ht="12" thickTop="1" x14ac:dyDescent="0.2">
      <c r="B33" t="s">
        <v>809</v>
      </c>
      <c r="D33" s="244">
        <f t="shared" ref="D33:I33" si="1">SUM(D5:D31)</f>
        <v>41296542</v>
      </c>
      <c r="E33" s="244">
        <f t="shared" si="1"/>
        <v>172125</v>
      </c>
      <c r="F33" s="244">
        <f t="shared" si="1"/>
        <v>321272</v>
      </c>
      <c r="G33" s="244">
        <f t="shared" si="1"/>
        <v>3052874</v>
      </c>
      <c r="H33" s="244">
        <f t="shared" si="1"/>
        <v>85919</v>
      </c>
      <c r="I33" s="244">
        <f t="shared" si="1"/>
        <v>0</v>
      </c>
    </row>
    <row r="35" spans="1:9" ht="12" thickBot="1" x14ac:dyDescent="0.25">
      <c r="B35" s="250" t="s">
        <v>831</v>
      </c>
      <c r="D35" s="251">
        <f>E33</f>
        <v>172125</v>
      </c>
      <c r="E35" s="247"/>
      <c r="F35" s="328" t="s">
        <v>1617</v>
      </c>
      <c r="G35" s="329"/>
      <c r="H35" s="329"/>
      <c r="I35" s="329"/>
    </row>
    <row r="36" spans="1:9" ht="12" thickTop="1" x14ac:dyDescent="0.2">
      <c r="B36" t="s">
        <v>810</v>
      </c>
      <c r="D36" s="20">
        <f>D33</f>
        <v>41296542</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3" t="s">
        <v>900</v>
      </c>
      <c r="C53" s="383"/>
      <c r="D53" s="383"/>
      <c r="E53" s="383"/>
      <c r="F53" s="383"/>
      <c r="G53" s="383"/>
      <c r="H53" s="383"/>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D39" sqref="D39"/>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Merrimack Valley</v>
      </c>
      <c r="B2" s="126">
        <f>'DOE25'!B2</f>
        <v>352</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19023693</v>
      </c>
      <c r="G4" s="299">
        <f>'DOE25'!L212+'DOE25'!L291</f>
        <v>19023693</v>
      </c>
      <c r="H4" s="340">
        <f>F4-G4</f>
        <v>0</v>
      </c>
      <c r="I4" s="384"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5"/>
      <c r="N5"/>
    </row>
    <row r="6" spans="1:18" x14ac:dyDescent="0.2">
      <c r="A6" s="126" t="str" cm="1">
        <f t="array" ref="A6">IFERROR(INDEX('School Tables'!$A$4:$G$325,'School Tables'!$J4,3),"")</f>
        <v>Boscawen Elementary School</v>
      </c>
      <c r="B6" s="300">
        <f>IFERROR(VLOOKUP(A6,'School Tables'!$C$3:$D$365,2,FALSE),"")</f>
        <v>22155</v>
      </c>
      <c r="C6" s="293" t="str">
        <f>IFERROR(INDEX('School Tables'!$B$3:$B$365,MATCH('School Level Expenditures'!B6,'School Tables'!$D$3:$D$365,0)),"")</f>
        <v>Merrimack Valley</v>
      </c>
      <c r="D6" s="290">
        <f>2101746+1852936+617176-149918-72</f>
        <v>4421868</v>
      </c>
      <c r="E6" s="290">
        <f>7429+281426+5717-60769</f>
        <v>233803</v>
      </c>
      <c r="F6" s="303">
        <f t="shared" ref="F6:F20" si="0">D6+E6</f>
        <v>4655671</v>
      </c>
      <c r="G6" s="293"/>
      <c r="H6" s="293"/>
      <c r="I6" s="385"/>
      <c r="N6"/>
    </row>
    <row r="7" spans="1:18" x14ac:dyDescent="0.2">
      <c r="A7" s="126" t="str" cm="1">
        <f t="array" ref="A7">IFERROR(INDEX('School Tables'!$A$4:$G$325,'School Tables'!$J5,3),"")</f>
        <v>Loudon Elementary School</v>
      </c>
      <c r="B7" s="300">
        <f>IFERROR(VLOOKUP(A7,'School Tables'!$C$3:$D$365,2,FALSE),"")</f>
        <v>22180</v>
      </c>
      <c r="C7" s="293" t="str">
        <f>IFERROR(INDEX('School Tables'!$B$3:$B$365,MATCH('School Level Expenditures'!B7,'School Tables'!$D$3:$D$365,0)),"")</f>
        <v>Merrimack Valley</v>
      </c>
      <c r="D7" s="290">
        <f>1932632+2261852+753378-183003-72</f>
        <v>4764787</v>
      </c>
      <c r="E7" s="290">
        <f>343533+6979-74180</f>
        <v>276332</v>
      </c>
      <c r="F7" s="303">
        <f t="shared" si="0"/>
        <v>5041119</v>
      </c>
      <c r="G7" s="293"/>
      <c r="H7" s="293"/>
      <c r="I7" s="341"/>
      <c r="N7"/>
    </row>
    <row r="8" spans="1:18" x14ac:dyDescent="0.2">
      <c r="A8" s="126" t="str" cm="1">
        <f t="array" ref="A8">IFERROR(INDEX('School Tables'!$A$4:$G$325,'School Tables'!$J6,3),"")</f>
        <v>Penacook Elementary School</v>
      </c>
      <c r="B8" s="300">
        <f>IFERROR(VLOOKUP(A8,'School Tables'!$C$3:$D$365,2,FALSE),"")</f>
        <v>22185</v>
      </c>
      <c r="C8" s="293" t="str">
        <f>IFERROR(INDEX('School Tables'!$B$3:$B$365,MATCH('School Level Expenditures'!B8,'School Tables'!$D$3:$D$365,0)),"")</f>
        <v>Merrimack Valley</v>
      </c>
      <c r="D8" s="290">
        <f>2562629+2605254+867758-210787-72</f>
        <v>5824782</v>
      </c>
      <c r="E8" s="290">
        <f>8079+395689+8039-85443</f>
        <v>326364</v>
      </c>
      <c r="F8" s="303">
        <f t="shared" si="0"/>
        <v>6151146</v>
      </c>
      <c r="G8" s="293"/>
      <c r="H8" s="293"/>
      <c r="I8" s="341"/>
      <c r="N8"/>
    </row>
    <row r="9" spans="1:18" x14ac:dyDescent="0.2">
      <c r="A9" s="126" t="str" cm="1">
        <f t="array" ref="A9">IFERROR(INDEX('School Tables'!$A$4:$G$325,'School Tables'!$J7,3),"")</f>
        <v>Salisbury Elementary School</v>
      </c>
      <c r="B9" s="300">
        <f>IFERROR(VLOOKUP(A9,'School Tables'!$C$3:$D$365,2,FALSE),"")</f>
        <v>22200</v>
      </c>
      <c r="C9" s="293" t="str">
        <f>IFERROR(INDEX('School Tables'!$B$3:$B$365,MATCH('School Level Expenditures'!B9,'School Tables'!$D$3:$D$365,0)),"")</f>
        <v>Merrimack Valley</v>
      </c>
      <c r="D9" s="290">
        <f>820188+541956+180515-43849-72</f>
        <v>1498738</v>
      </c>
      <c r="E9" s="372">
        <f>82313+1672-17774</f>
        <v>66211</v>
      </c>
      <c r="F9" s="303">
        <f t="shared" si="0"/>
        <v>1564949</v>
      </c>
      <c r="G9" s="293"/>
      <c r="H9" s="293"/>
      <c r="I9" s="341"/>
      <c r="N9"/>
    </row>
    <row r="10" spans="1:18" x14ac:dyDescent="0.2">
      <c r="A10" s="126" t="str" cm="1">
        <f t="array" ref="A10">IFERROR(INDEX('School Tables'!$A$4:$G$325,'School Tables'!$J8,3),"")</f>
        <v>Webster Elementary School</v>
      </c>
      <c r="B10" s="300">
        <f>IFERROR(VLOOKUP(A10,'School Tables'!$C$3:$D$365,2,FALSE),"")</f>
        <v>22205</v>
      </c>
      <c r="C10" s="293" t="str">
        <f>IFERROR(INDEX('School Tables'!$B$3:$B$365,MATCH('School Level Expenditures'!B10,'School Tables'!$D$3:$D$365,0)),"")</f>
        <v>Merrimack Valley</v>
      </c>
      <c r="D10" s="290">
        <f>567619+758878+252767-61400-39</f>
        <v>1517825</v>
      </c>
      <c r="E10" s="290">
        <f>115529+2342-24888</f>
        <v>92983</v>
      </c>
      <c r="F10" s="303">
        <f t="shared" si="0"/>
        <v>1610808</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18028000</v>
      </c>
      <c r="E21" s="338">
        <f>SUM(E5:E20)</f>
        <v>995693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9402880</v>
      </c>
      <c r="G24" s="299">
        <f>'DOE25'!L230+'DOE25'!L310</f>
        <v>9402880</v>
      </c>
      <c r="H24" s="340">
        <f>F24-G24</f>
        <v>0</v>
      </c>
      <c r="I24" s="384"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5"/>
      <c r="N25"/>
    </row>
    <row r="26" spans="1:14" x14ac:dyDescent="0.2">
      <c r="A26" s="126" t="str" cm="1">
        <f t="array" ref="A26">IFERROR(INDEX('School Tables'!$L$4:$R$75,'School Tables'!$U4,3),"")</f>
        <v>Merrimack Valley Middle School</v>
      </c>
      <c r="B26" s="300">
        <f>IFERROR(VLOOKUP(A26,'School Tables'!$N$4:$O$75,2,FALSE),"")</f>
        <v>26585</v>
      </c>
      <c r="C26" s="293" t="str">
        <f>IFERROR(INDEX('School Tables'!$M$4:$M$75,MATCH('School Level Expenditures'!A26,'School Tables'!$N$4:$N$75,0)),"")</f>
        <v>Merrimack Valley</v>
      </c>
      <c r="D26" s="290">
        <f>5097033+3811330+691</f>
        <v>8909054</v>
      </c>
      <c r="E26" s="290">
        <v>493826</v>
      </c>
      <c r="F26" s="303">
        <f t="shared" ref="F26:F32" si="1">D26+E26</f>
        <v>9402880</v>
      </c>
      <c r="G26" s="293"/>
      <c r="H26" s="293"/>
      <c r="I26" s="385"/>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8909054</v>
      </c>
      <c r="E33" s="338">
        <f>SUM(E25:E32)</f>
        <v>493826</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13951147</v>
      </c>
      <c r="G36" s="299">
        <f>'DOE25'!L248+'DOE25'!L329</f>
        <v>13951147</v>
      </c>
      <c r="H36" s="340">
        <f>F36-G36</f>
        <v>0</v>
      </c>
      <c r="I36" s="384" t="str">
        <f>IF(H36=0,"","ISSUES!! Please review page 9 and 13 totals in comparison with total on this page")</f>
        <v/>
      </c>
      <c r="N36"/>
    </row>
    <row r="37" spans="1:14" x14ac:dyDescent="0.2">
      <c r="A37" s="126" t="s">
        <v>1548</v>
      </c>
      <c r="B37" s="300">
        <v>99999</v>
      </c>
      <c r="C37" s="293" t="s">
        <v>1548</v>
      </c>
      <c r="D37" s="290"/>
      <c r="E37" s="290"/>
      <c r="F37" s="303">
        <f t="shared" ref="F37:F42" si="2">D37+E37</f>
        <v>0</v>
      </c>
      <c r="G37" s="293"/>
      <c r="H37" s="293"/>
      <c r="I37" s="385"/>
      <c r="N37"/>
    </row>
    <row r="38" spans="1:14" x14ac:dyDescent="0.2">
      <c r="A38" s="126" t="str" cm="1">
        <f t="array" ref="A38">IFERROR(INDEX('School Tables'!$W$4:$AC$100,'School Tables'!$AF4,3),"")</f>
        <v>Merrimack Valley High School</v>
      </c>
      <c r="B38" s="300">
        <f>IFERROR(VLOOKUP(A38,'School Tables'!$Y$4:$Z$100,2,FALSE),"")</f>
        <v>22195</v>
      </c>
      <c r="C38" s="293" t="str">
        <f>IFERROR(INDEX('School Tables'!$X$4:$X$100,MATCH('School Level Expenditures'!A38,'School Tables'!$Y$4:$Y$100,0)),"")</f>
        <v>Merrimack Valley</v>
      </c>
      <c r="D38" s="290">
        <f>6193953+6739212-5577</f>
        <v>12927588</v>
      </c>
      <c r="E38" s="290">
        <v>1023559</v>
      </c>
      <c r="F38" s="303">
        <f t="shared" si="2"/>
        <v>13951147</v>
      </c>
      <c r="G38" s="293"/>
      <c r="H38" s="293"/>
      <c r="I38" s="385"/>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12927588</v>
      </c>
      <c r="E43" s="339">
        <f>SUM(E37:E42)</f>
        <v>1023559</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3"/>
      <c r="B58" s="383"/>
      <c r="C58" s="383"/>
      <c r="D58" s="383"/>
      <c r="E58" s="383"/>
      <c r="F58" s="383"/>
      <c r="G58" s="383"/>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4" zoomScale="80" zoomScaleNormal="80" workbookViewId="0">
      <selection activeCell="C43" sqref="C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Merrimack Valley</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585976</v>
      </c>
      <c r="D8" s="95">
        <f>'DOE25'!G9</f>
        <v>352360</v>
      </c>
      <c r="E8" s="95">
        <f>'DOE25'!H9</f>
        <v>0</v>
      </c>
      <c r="F8" s="95">
        <f>'DOE25'!I9</f>
        <v>0</v>
      </c>
      <c r="G8" s="95">
        <f>'DOE25'!J9</f>
        <v>0</v>
      </c>
      <c r="H8" s="124">
        <f>SUM(C8:G8)</f>
        <v>938336</v>
      </c>
      <c r="I8" s="124"/>
    </row>
    <row r="9" spans="1:9" x14ac:dyDescent="0.2">
      <c r="A9" s="1" t="s">
        <v>140</v>
      </c>
      <c r="B9" s="6">
        <v>110</v>
      </c>
      <c r="C9" s="95">
        <f>'DOE25'!F10</f>
        <v>36761</v>
      </c>
      <c r="D9" s="95">
        <f>'DOE25'!G10</f>
        <v>0</v>
      </c>
      <c r="E9" s="95">
        <f>'DOE25'!H10</f>
        <v>0</v>
      </c>
      <c r="F9" s="95">
        <f>'DOE25'!I10</f>
        <v>0</v>
      </c>
      <c r="G9" s="95">
        <f>'DOE25'!J10</f>
        <v>0</v>
      </c>
      <c r="H9" s="124">
        <f t="shared" ref="H9:H18" si="0">SUM(C9:G9)</f>
        <v>36761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1335958</v>
      </c>
      <c r="D11" s="95">
        <f>'DOE25'!G12</f>
        <v>0</v>
      </c>
      <c r="E11" s="95">
        <f>'DOE25'!H12</f>
        <v>111009</v>
      </c>
      <c r="F11" s="95">
        <f>'DOE25'!I12</f>
        <v>0</v>
      </c>
      <c r="G11" s="95">
        <f>'DOE25'!J12</f>
        <v>0</v>
      </c>
      <c r="H11" s="124">
        <f t="shared" si="0"/>
        <v>1446967</v>
      </c>
      <c r="I11" s="124"/>
    </row>
    <row r="12" spans="1:9" x14ac:dyDescent="0.2">
      <c r="A12" s="1" t="s">
        <v>143</v>
      </c>
      <c r="B12" s="6">
        <v>140</v>
      </c>
      <c r="C12" s="95">
        <f>'DOE25'!F13</f>
        <v>715277</v>
      </c>
      <c r="D12" s="95">
        <f>'DOE25'!G13</f>
        <v>286715</v>
      </c>
      <c r="E12" s="95">
        <f>'DOE25'!H13</f>
        <v>1213521</v>
      </c>
      <c r="F12" s="95">
        <f>'DOE25'!I13</f>
        <v>0</v>
      </c>
      <c r="G12" s="95">
        <f>'DOE25'!J13</f>
        <v>1249769</v>
      </c>
      <c r="H12" s="124">
        <f t="shared" si="0"/>
        <v>3465282</v>
      </c>
      <c r="I12" s="124"/>
    </row>
    <row r="13" spans="1:9" x14ac:dyDescent="0.2">
      <c r="A13" s="1" t="s">
        <v>144</v>
      </c>
      <c r="B13" s="6">
        <v>150</v>
      </c>
      <c r="C13" s="95">
        <f>'DOE25'!F14</f>
        <v>11552</v>
      </c>
      <c r="D13" s="95">
        <f>'DOE25'!G14</f>
        <v>0</v>
      </c>
      <c r="E13" s="95">
        <f>'DOE25'!H14</f>
        <v>0</v>
      </c>
      <c r="F13" s="95">
        <f>'DOE25'!I14</f>
        <v>0</v>
      </c>
      <c r="G13" s="95">
        <f>'DOE25'!J14</f>
        <v>0</v>
      </c>
      <c r="H13" s="124">
        <f t="shared" si="0"/>
        <v>11552</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14390</v>
      </c>
      <c r="E15" s="95">
        <f>'DOE25'!H16</f>
        <v>0</v>
      </c>
      <c r="F15" s="95">
        <f>'DOE25'!I16</f>
        <v>0</v>
      </c>
      <c r="G15" s="24" t="s">
        <v>288</v>
      </c>
      <c r="H15" s="124">
        <f t="shared" si="0"/>
        <v>14390</v>
      </c>
      <c r="I15" s="124"/>
    </row>
    <row r="16" spans="1:9" x14ac:dyDescent="0.2">
      <c r="A16" s="1" t="s">
        <v>147</v>
      </c>
      <c r="B16" s="6">
        <v>180</v>
      </c>
      <c r="C16" s="95">
        <f>'DOE25'!F17</f>
        <v>508945</v>
      </c>
      <c r="D16" s="95">
        <f>'DOE25'!G17</f>
        <v>0</v>
      </c>
      <c r="E16" s="95">
        <f>'DOE25'!H17</f>
        <v>0</v>
      </c>
      <c r="F16" s="95">
        <f>'DOE25'!I17</f>
        <v>0</v>
      </c>
      <c r="G16" s="95">
        <f>'DOE25'!J17</f>
        <v>0</v>
      </c>
      <c r="H16" s="124">
        <f t="shared" si="0"/>
        <v>508945</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3194469</v>
      </c>
      <c r="D18" s="41">
        <f>SUM(D8:D17)</f>
        <v>653465</v>
      </c>
      <c r="E18" s="41">
        <f>SUM(E8:E17)</f>
        <v>1324530</v>
      </c>
      <c r="F18" s="41">
        <f>SUM(F8:F17)</f>
        <v>0</v>
      </c>
      <c r="G18" s="41">
        <f>SUM(G8:G17)</f>
        <v>1249769</v>
      </c>
      <c r="H18" s="41">
        <f t="shared" si="0"/>
        <v>6422233</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343193</v>
      </c>
      <c r="E21" s="95">
        <f>'DOE25'!H22</f>
        <v>1118147</v>
      </c>
      <c r="F21" s="95">
        <f>'DOE25'!I22</f>
        <v>0</v>
      </c>
      <c r="G21" s="95">
        <f>'DOE25'!J22</f>
        <v>0</v>
      </c>
      <c r="H21" s="124">
        <f t="shared" ref="H21:H31" si="1">SUM(C21:G21)</f>
        <v>1461340</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188470</v>
      </c>
      <c r="D23" s="95">
        <f>'DOE25'!G24</f>
        <v>39402</v>
      </c>
      <c r="E23" s="95">
        <f>'DOE25'!H24</f>
        <v>0</v>
      </c>
      <c r="F23" s="95">
        <f>'DOE25'!I24</f>
        <v>0</v>
      </c>
      <c r="G23" s="95">
        <f>'DOE25'!J24</f>
        <v>0</v>
      </c>
      <c r="H23" s="124">
        <f t="shared" si="1"/>
        <v>227872</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2239169</v>
      </c>
      <c r="D27" s="95">
        <f>'DOE25'!G28</f>
        <v>1933</v>
      </c>
      <c r="E27" s="95">
        <f>'DOE25'!H28</f>
        <v>112580</v>
      </c>
      <c r="F27" s="95">
        <f>'DOE25'!I28</f>
        <v>0</v>
      </c>
      <c r="G27" s="24" t="s">
        <v>288</v>
      </c>
      <c r="H27" s="124">
        <f t="shared" si="1"/>
        <v>2353682</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64144</v>
      </c>
      <c r="F29" s="95">
        <f>'DOE25'!I30</f>
        <v>0</v>
      </c>
      <c r="G29" s="24" t="s">
        <v>288</v>
      </c>
      <c r="H29" s="124">
        <f t="shared" si="1"/>
        <v>64144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2427639</v>
      </c>
      <c r="D31" s="41">
        <f>SUM(D21:D30)</f>
        <v>384528</v>
      </c>
      <c r="E31" s="41">
        <f>SUM(E21:E30)</f>
        <v>1294871</v>
      </c>
      <c r="F31" s="41">
        <f>SUM(F21:F30)</f>
        <v>0</v>
      </c>
      <c r="G31" s="41">
        <f>SUM(G21:G30)</f>
        <v>0</v>
      </c>
      <c r="H31" s="41">
        <f t="shared" si="1"/>
        <v>4107038</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300000</v>
      </c>
      <c r="D43" s="95">
        <f>'DOE25'!G44</f>
        <v>0</v>
      </c>
      <c r="E43" s="95">
        <f>'DOE25'!H44</f>
        <v>0</v>
      </c>
      <c r="F43" s="95">
        <f>'DOE25'!I44</f>
        <v>0</v>
      </c>
      <c r="G43" s="24" t="s">
        <v>288</v>
      </c>
      <c r="H43" s="124">
        <f t="shared" si="2"/>
        <v>300000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268937</v>
      </c>
      <c r="E47" s="95">
        <f>'DOE25'!H48</f>
        <v>29659</v>
      </c>
      <c r="F47" s="95">
        <f>'DOE25'!I48</f>
        <v>0</v>
      </c>
      <c r="G47" s="95">
        <f>'DOE25'!J48</f>
        <v>1249769</v>
      </c>
      <c r="H47" s="124">
        <f t="shared" si="2"/>
        <v>1548365</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466830</v>
      </c>
      <c r="D49" s="24" t="s">
        <v>288</v>
      </c>
      <c r="E49" s="24" t="s">
        <v>288</v>
      </c>
      <c r="F49" s="24" t="s">
        <v>288</v>
      </c>
      <c r="G49" s="24" t="s">
        <v>288</v>
      </c>
      <c r="H49" s="124">
        <f t="shared" si="2"/>
        <v>466830</v>
      </c>
      <c r="I49" s="124"/>
    </row>
    <row r="50" spans="1:9" ht="12.75" thickTop="1" thickBot="1" x14ac:dyDescent="0.25">
      <c r="A50" s="38" t="s">
        <v>884</v>
      </c>
      <c r="B50" s="48"/>
      <c r="C50" s="41">
        <f>SUM(C34:C49)</f>
        <v>766830</v>
      </c>
      <c r="D50" s="41">
        <f>SUM(D34:D49)</f>
        <v>268937</v>
      </c>
      <c r="E50" s="41">
        <f>SUM(E34:E49)</f>
        <v>29659</v>
      </c>
      <c r="F50" s="41">
        <f>SUM(F34:F49)</f>
        <v>0</v>
      </c>
      <c r="G50" s="41">
        <f>SUM(G34:G49)</f>
        <v>1249769</v>
      </c>
      <c r="H50" s="41">
        <f t="shared" si="2"/>
        <v>2315195</v>
      </c>
      <c r="I50" s="124"/>
    </row>
    <row r="51" spans="1:9" ht="12" thickTop="1" x14ac:dyDescent="0.2">
      <c r="A51" s="38" t="s">
        <v>885</v>
      </c>
      <c r="B51" s="2"/>
      <c r="C51" s="41">
        <f>C50+C31</f>
        <v>3194469</v>
      </c>
      <c r="D51" s="41">
        <f>D50+D31</f>
        <v>653465</v>
      </c>
      <c r="E51" s="41">
        <f>E50+E31</f>
        <v>1324530</v>
      </c>
      <c r="F51" s="41">
        <f>F50+F31</f>
        <v>0</v>
      </c>
      <c r="G51" s="41">
        <f>G50+G31</f>
        <v>1249769</v>
      </c>
      <c r="H51" s="41">
        <f t="shared" si="2"/>
        <v>6422233</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24264025</v>
      </c>
      <c r="D56" s="95">
        <f>'DOE25'!G60</f>
        <v>0</v>
      </c>
      <c r="E56" s="95">
        <f>'DOE25'!H60</f>
        <v>0</v>
      </c>
      <c r="F56" s="95">
        <f>'DOE25'!I60</f>
        <v>0</v>
      </c>
      <c r="G56" s="95">
        <f>'DOE25'!J60</f>
        <v>0</v>
      </c>
      <c r="H56" s="124">
        <f t="shared" ref="H56:H63" si="3">SUM(C56:G56)</f>
        <v>24264025</v>
      </c>
      <c r="I56"/>
    </row>
    <row r="57" spans="1:9" x14ac:dyDescent="0.2">
      <c r="A57" s="1" t="s">
        <v>164</v>
      </c>
      <c r="B57" s="6" t="s">
        <v>165</v>
      </c>
      <c r="C57" s="95">
        <f>'DOE25'!F79</f>
        <v>1143275</v>
      </c>
      <c r="D57" s="24" t="s">
        <v>288</v>
      </c>
      <c r="E57" s="95">
        <f>'DOE25'!H79</f>
        <v>0</v>
      </c>
      <c r="F57" s="24" t="s">
        <v>288</v>
      </c>
      <c r="G57" s="24" t="s">
        <v>288</v>
      </c>
      <c r="H57" s="124">
        <f t="shared" si="3"/>
        <v>1143275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72</v>
      </c>
      <c r="D59" s="95">
        <f>'DOE25'!G96</f>
        <v>112</v>
      </c>
      <c r="E59" s="95">
        <f>'DOE25'!H96</f>
        <v>0</v>
      </c>
      <c r="F59" s="95">
        <f>'DOE25'!I96</f>
        <v>0</v>
      </c>
      <c r="G59" s="95">
        <f>'DOE25'!J96</f>
        <v>23564</v>
      </c>
      <c r="H59" s="124">
        <f t="shared" si="3"/>
        <v>23748</v>
      </c>
      <c r="I59"/>
    </row>
    <row r="60" spans="1:9" x14ac:dyDescent="0.2">
      <c r="A60" s="1" t="s">
        <v>170</v>
      </c>
      <c r="B60" s="118" t="s">
        <v>171</v>
      </c>
      <c r="C60" s="24" t="s">
        <v>288</v>
      </c>
      <c r="D60" s="95">
        <f>'DOE25'!G97</f>
        <v>235891</v>
      </c>
      <c r="E60" s="24" t="s">
        <v>288</v>
      </c>
      <c r="F60" s="24" t="s">
        <v>288</v>
      </c>
      <c r="G60" s="24" t="s">
        <v>288</v>
      </c>
      <c r="H60" s="124">
        <f t="shared" si="3"/>
        <v>235891</v>
      </c>
      <c r="I60"/>
    </row>
    <row r="61" spans="1:9" ht="12" thickBot="1" x14ac:dyDescent="0.25">
      <c r="A61" s="1" t="s">
        <v>172</v>
      </c>
      <c r="B61" s="118" t="s">
        <v>173</v>
      </c>
      <c r="C61" s="95">
        <f>SUM('DOE25'!F98:F110)</f>
        <v>717526</v>
      </c>
      <c r="D61" s="95">
        <f>SUM('DOE25'!G98:G110)</f>
        <v>11575</v>
      </c>
      <c r="E61" s="95">
        <f>SUM('DOE25'!H98:H110)</f>
        <v>0</v>
      </c>
      <c r="F61" s="95">
        <f>SUM('DOE25'!I98:I110)</f>
        <v>0</v>
      </c>
      <c r="G61" s="95">
        <f>SUM('DOE25'!J98:J110)</f>
        <v>-106632</v>
      </c>
      <c r="H61" s="124">
        <f t="shared" si="3"/>
        <v>622469</v>
      </c>
      <c r="I61"/>
    </row>
    <row r="62" spans="1:9" ht="12.75" thickTop="1" thickBot="1" x14ac:dyDescent="0.25">
      <c r="A62" s="29" t="s">
        <v>174</v>
      </c>
      <c r="B62" s="6"/>
      <c r="C62" s="130">
        <f>SUM(C57:C61)</f>
        <v>1860873</v>
      </c>
      <c r="D62" s="130">
        <f>SUM(D57:D61)</f>
        <v>247578</v>
      </c>
      <c r="E62" s="130">
        <f>SUM(E57:E61)</f>
        <v>0</v>
      </c>
      <c r="F62" s="130">
        <f>SUM(F57:F61)</f>
        <v>0</v>
      </c>
      <c r="G62" s="130">
        <f>SUM(G57:G61)</f>
        <v>-83068</v>
      </c>
      <c r="H62" s="124">
        <f t="shared" si="3"/>
        <v>2025383</v>
      </c>
      <c r="I62"/>
    </row>
    <row r="63" spans="1:9" ht="12" thickTop="1" x14ac:dyDescent="0.2">
      <c r="A63" s="29" t="s">
        <v>175</v>
      </c>
      <c r="B63" s="6"/>
      <c r="C63" s="22">
        <f>C56+C62</f>
        <v>26124898</v>
      </c>
      <c r="D63" s="22">
        <f>D56+D62</f>
        <v>247578</v>
      </c>
      <c r="E63" s="22">
        <f>E56+E62</f>
        <v>0</v>
      </c>
      <c r="F63" s="22">
        <f>F56+F62</f>
        <v>0</v>
      </c>
      <c r="G63" s="22">
        <f>G56+G62</f>
        <v>-83068</v>
      </c>
      <c r="H63" s="124">
        <f t="shared" si="3"/>
        <v>26289408</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10836688</v>
      </c>
      <c r="D66" s="24" t="s">
        <v>288</v>
      </c>
      <c r="E66" s="24" t="s">
        <v>288</v>
      </c>
      <c r="F66" s="24" t="s">
        <v>288</v>
      </c>
      <c r="G66" s="24" t="s">
        <v>288</v>
      </c>
      <c r="H66" s="124">
        <f t="shared" ref="H66:H81" si="4">SUM(C66:G66)</f>
        <v>10836688</v>
      </c>
      <c r="I66"/>
    </row>
    <row r="67" spans="1:9" x14ac:dyDescent="0.2">
      <c r="A67" s="1" t="s">
        <v>770</v>
      </c>
      <c r="B67" s="6">
        <v>3112</v>
      </c>
      <c r="C67" s="95">
        <f>'DOE25'!F118</f>
        <v>3161537</v>
      </c>
      <c r="D67" s="24"/>
      <c r="E67" s="24"/>
      <c r="F67" s="24"/>
      <c r="G67" s="24"/>
      <c r="H67" s="124">
        <f t="shared" si="4"/>
        <v>3161537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31923</v>
      </c>
      <c r="D69" s="95">
        <f>'DOE25'!G120</f>
        <v>0</v>
      </c>
      <c r="E69" s="95">
        <f>'DOE25'!H120</f>
        <v>0</v>
      </c>
      <c r="F69" s="95">
        <f>'DOE25'!I120</f>
        <v>0</v>
      </c>
      <c r="G69" s="95">
        <f>'DOE25'!J120</f>
        <v>0</v>
      </c>
      <c r="H69" s="124">
        <f t="shared" si="4"/>
        <v>31923</v>
      </c>
      <c r="I69"/>
    </row>
    <row r="70" spans="1:9" ht="12" thickTop="1" x14ac:dyDescent="0.2">
      <c r="A70" s="29" t="s">
        <v>252</v>
      </c>
      <c r="B70" s="2"/>
      <c r="C70" s="139">
        <f>SUM(C66:C69)</f>
        <v>14030148</v>
      </c>
      <c r="D70" s="139">
        <f>D69</f>
        <v>0</v>
      </c>
      <c r="E70" s="139">
        <f>E69</f>
        <v>0</v>
      </c>
      <c r="F70" s="139">
        <f>F69</f>
        <v>0</v>
      </c>
      <c r="G70" s="139">
        <f>G69</f>
        <v>0</v>
      </c>
      <c r="H70" s="124">
        <f t="shared" si="4"/>
        <v>14030148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308133</v>
      </c>
      <c r="D75" s="24" t="s">
        <v>288</v>
      </c>
      <c r="E75" s="24" t="s">
        <v>288</v>
      </c>
      <c r="F75" s="24" t="s">
        <v>288</v>
      </c>
      <c r="G75" s="24" t="s">
        <v>288</v>
      </c>
      <c r="H75" s="124">
        <f t="shared" si="4"/>
        <v>308133</v>
      </c>
      <c r="I75"/>
    </row>
    <row r="76" spans="1:9" x14ac:dyDescent="0.2">
      <c r="A76" s="1" t="s">
        <v>257</v>
      </c>
      <c r="B76" s="6" t="s">
        <v>179</v>
      </c>
      <c r="C76" s="95">
        <f>SUM('DOE25'!F127:F130)</f>
        <v>30824</v>
      </c>
      <c r="D76" s="24" t="s">
        <v>288</v>
      </c>
      <c r="E76" s="95">
        <f>SUM('DOE25'!H127:H130)</f>
        <v>0</v>
      </c>
      <c r="F76" s="95">
        <f>SUM('DOE25'!I127:I130)</f>
        <v>0</v>
      </c>
      <c r="G76" s="24" t="s">
        <v>288</v>
      </c>
      <c r="H76" s="124">
        <f t="shared" si="4"/>
        <v>30824</v>
      </c>
      <c r="I76"/>
    </row>
    <row r="77" spans="1:9" ht="12" thickBot="1" x14ac:dyDescent="0.25">
      <c r="A77" s="1" t="s">
        <v>258</v>
      </c>
      <c r="B77" s="6" t="s">
        <v>180</v>
      </c>
      <c r="C77" s="95">
        <f>SUM('DOE25'!F131:F135)</f>
        <v>0</v>
      </c>
      <c r="D77" s="95">
        <f>SUM('DOE25'!G131:G135)</f>
        <v>53167</v>
      </c>
      <c r="E77" s="95">
        <f>SUM('DOE25'!H131:H135)</f>
        <v>0</v>
      </c>
      <c r="F77" s="95">
        <f>SUM('DOE25'!I131:I135)</f>
        <v>0</v>
      </c>
      <c r="G77" s="95">
        <f>SUM('DOE25'!J131:J135)</f>
        <v>0</v>
      </c>
      <c r="H77" s="124">
        <f t="shared" si="4"/>
        <v>53167</v>
      </c>
      <c r="I77"/>
    </row>
    <row r="78" spans="1:9" ht="12.75" thickTop="1" thickBot="1" x14ac:dyDescent="0.25">
      <c r="A78" s="29" t="s">
        <v>259</v>
      </c>
      <c r="B78" s="6"/>
      <c r="C78" s="130">
        <f>SUM(C72:C77)</f>
        <v>338957</v>
      </c>
      <c r="D78" s="130">
        <f>SUM(D72:D77)</f>
        <v>53167</v>
      </c>
      <c r="E78" s="130">
        <f>SUM(E72:E77)</f>
        <v>0</v>
      </c>
      <c r="F78" s="130">
        <f>SUM(F72:F77)</f>
        <v>0</v>
      </c>
      <c r="G78" s="130">
        <f>SUM(G72:G77)</f>
        <v>0</v>
      </c>
      <c r="H78" s="124">
        <f t="shared" si="4"/>
        <v>392124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14369105</v>
      </c>
      <c r="D81" s="130">
        <f>SUM(D79:D80)+D78+D70</f>
        <v>53167</v>
      </c>
      <c r="E81" s="130">
        <f>SUM(E79:E80)+E78+E70</f>
        <v>0</v>
      </c>
      <c r="F81" s="130">
        <f>SUM(F79:F80)+F78+F70</f>
        <v>0</v>
      </c>
      <c r="G81" s="130">
        <f>SUM(G79:G80)+G78+G70</f>
        <v>0</v>
      </c>
      <c r="H81" s="130">
        <f t="shared" si="4"/>
        <v>14422272</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309023</v>
      </c>
      <c r="F85" s="95">
        <f>'DOE25'!I147</f>
        <v>0</v>
      </c>
      <c r="G85" s="24" t="s">
        <v>288</v>
      </c>
      <c r="H85" s="124">
        <f t="shared" ref="H85:H104" si="5">SUM(C85:G85)</f>
        <v>309023</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621021</v>
      </c>
      <c r="D88" s="326">
        <f>SUM('DOE25'!G153:G162)</f>
        <v>1211500</v>
      </c>
      <c r="E88" s="326">
        <f>SUM('DOE25'!H153:H162)</f>
        <v>2657938</v>
      </c>
      <c r="F88" s="326">
        <f>SUM('DOE25'!I153:I162)</f>
        <v>0</v>
      </c>
      <c r="G88" s="24" t="s">
        <v>288</v>
      </c>
      <c r="H88" s="124">
        <f t="shared" si="5"/>
        <v>4490459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621021</v>
      </c>
      <c r="D91" s="131">
        <f>SUM(D85:D90)</f>
        <v>1211500</v>
      </c>
      <c r="E91" s="131">
        <f>SUM(E85:E90)</f>
        <v>2966961</v>
      </c>
      <c r="F91" s="131">
        <f>SUM(F85:F90)</f>
        <v>0</v>
      </c>
      <c r="G91" s="24" t="s">
        <v>288</v>
      </c>
      <c r="H91" s="124">
        <f t="shared" si="5"/>
        <v>4799482</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300000</v>
      </c>
      <c r="H96" s="124">
        <f t="shared" si="5"/>
        <v>300000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300000</v>
      </c>
      <c r="H103" s="86">
        <f t="shared" si="5"/>
        <v>300000</v>
      </c>
    </row>
    <row r="104" spans="1:8" ht="12.75" thickTop="1" thickBot="1" x14ac:dyDescent="0.25">
      <c r="A104" s="33" t="s">
        <v>761</v>
      </c>
      <c r="C104" s="86">
        <f>C63+C81+C91+C103</f>
        <v>41115024</v>
      </c>
      <c r="D104" s="86">
        <f>D63+D81+D91+D103</f>
        <v>1512245</v>
      </c>
      <c r="E104" s="86">
        <f>E63+E81+E91+E103</f>
        <v>2966961</v>
      </c>
      <c r="F104" s="86">
        <f>F63+F81+F91+F103</f>
        <v>0</v>
      </c>
      <c r="G104" s="86">
        <f>G63+G81+G103</f>
        <v>216932</v>
      </c>
      <c r="H104" s="86">
        <f t="shared" si="5"/>
        <v>45811162</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14390865</v>
      </c>
      <c r="D109" s="24" t="s">
        <v>288</v>
      </c>
      <c r="E109" s="95">
        <f>('DOE25'!L277)+('DOE25'!L296)+('DOE25'!L315)</f>
        <v>813333</v>
      </c>
      <c r="F109" s="24" t="s">
        <v>288</v>
      </c>
      <c r="G109" s="24" t="s">
        <v>288</v>
      </c>
      <c r="H109" s="124">
        <f t="shared" ref="H109:H115" si="6">SUM(C109:G109)</f>
        <v>15204198</v>
      </c>
    </row>
    <row r="110" spans="1:8" x14ac:dyDescent="0.2">
      <c r="A110" t="s">
        <v>198</v>
      </c>
      <c r="B110" s="32" t="s">
        <v>199</v>
      </c>
      <c r="C110" s="95">
        <f>('DOE25'!L199)+('DOE25'!L217)+('DOE25'!L235)</f>
        <v>8456640</v>
      </c>
      <c r="D110" s="24" t="s">
        <v>288</v>
      </c>
      <c r="E110" s="95">
        <f>('DOE25'!L278)+('DOE25'!L297)+('DOE25'!L316)</f>
        <v>755222</v>
      </c>
      <c r="F110" s="24" t="s">
        <v>288</v>
      </c>
      <c r="G110" s="24" t="s">
        <v>288</v>
      </c>
      <c r="H110" s="124">
        <f t="shared" si="6"/>
        <v>9211862</v>
      </c>
    </row>
    <row r="111" spans="1:8" x14ac:dyDescent="0.2">
      <c r="A111" t="s">
        <v>200</v>
      </c>
      <c r="B111" s="32" t="s">
        <v>165</v>
      </c>
      <c r="C111" s="95">
        <f>('DOE25'!L200)+('DOE25'!L218)+('DOE25'!L236)</f>
        <v>342812</v>
      </c>
      <c r="D111" s="24" t="s">
        <v>288</v>
      </c>
      <c r="E111" s="95">
        <f>('DOE25'!L279)+('DOE25'!L298)+('DOE25'!L317)</f>
        <v>0</v>
      </c>
      <c r="F111" s="24" t="s">
        <v>288</v>
      </c>
      <c r="G111" s="24" t="s">
        <v>288</v>
      </c>
      <c r="H111" s="124">
        <f t="shared" si="6"/>
        <v>342812</v>
      </c>
    </row>
    <row r="112" spans="1:8" x14ac:dyDescent="0.2">
      <c r="A112" t="s">
        <v>201</v>
      </c>
      <c r="B112" s="32" t="s">
        <v>167</v>
      </c>
      <c r="C112" s="95">
        <f>('DOE25'!L201)+('DOE25'!L219)+('DOE25'!L237)</f>
        <v>733284</v>
      </c>
      <c r="D112" s="24" t="s">
        <v>288</v>
      </c>
      <c r="E112" s="95">
        <f>+('DOE25'!L280)+('DOE25'!L299)+('DOE25'!L318)</f>
        <v>29273</v>
      </c>
      <c r="F112" s="24" t="s">
        <v>288</v>
      </c>
      <c r="G112" s="24" t="s">
        <v>288</v>
      </c>
      <c r="H112" s="124">
        <f t="shared" si="6"/>
        <v>762557</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125</v>
      </c>
      <c r="F114" s="24" t="s">
        <v>288</v>
      </c>
      <c r="G114" s="24" t="s">
        <v>288</v>
      </c>
      <c r="H114" s="124">
        <f t="shared" si="6"/>
        <v>125</v>
      </c>
    </row>
    <row r="115" spans="1:8" ht="12.75" thickTop="1" thickBot="1" x14ac:dyDescent="0.25">
      <c r="A115" s="33" t="s">
        <v>205</v>
      </c>
      <c r="C115" s="86">
        <f>SUM(C109:C114)</f>
        <v>23923601</v>
      </c>
      <c r="D115" s="86">
        <f>SUM(D109:D114)</f>
        <v>0</v>
      </c>
      <c r="E115" s="86">
        <f>SUM(E109:E114)</f>
        <v>1597953</v>
      </c>
      <c r="F115" s="86">
        <f>SUM(F109:F114)</f>
        <v>0</v>
      </c>
      <c r="G115" s="86">
        <f>SUM(G109:G114)</f>
        <v>0</v>
      </c>
      <c r="H115" s="86">
        <f t="shared" si="6"/>
        <v>25521554</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5352317</v>
      </c>
      <c r="D118" s="24" t="s">
        <v>288</v>
      </c>
      <c r="E118" s="95">
        <f>+('DOE25'!L282)+('DOE25'!L301)+('DOE25'!L320)</f>
        <v>148187</v>
      </c>
      <c r="F118" s="24" t="s">
        <v>288</v>
      </c>
      <c r="G118" s="24" t="s">
        <v>288</v>
      </c>
      <c r="H118" s="124">
        <f t="shared" ref="H118:H145" si="7">SUM(C118:G118)</f>
        <v>5500504</v>
      </c>
    </row>
    <row r="119" spans="1:8" x14ac:dyDescent="0.2">
      <c r="A119" t="s">
        <v>208</v>
      </c>
      <c r="B119" s="32" t="s">
        <v>209</v>
      </c>
      <c r="C119" s="95">
        <f>('DOE25'!L204)+('DOE25'!L222)+('DOE25'!L240)</f>
        <v>1254448</v>
      </c>
      <c r="D119" s="24" t="s">
        <v>288</v>
      </c>
      <c r="E119" s="95">
        <f>+('DOE25'!L283)+('DOE25'!L302)+('DOE25'!L321)</f>
        <v>433182</v>
      </c>
      <c r="F119" s="24" t="s">
        <v>288</v>
      </c>
      <c r="G119" s="24" t="s">
        <v>288</v>
      </c>
      <c r="H119" s="124">
        <f t="shared" si="7"/>
        <v>1687630</v>
      </c>
    </row>
    <row r="120" spans="1:8" x14ac:dyDescent="0.2">
      <c r="A120" t="s">
        <v>210</v>
      </c>
      <c r="B120" s="32" t="s">
        <v>211</v>
      </c>
      <c r="C120" s="95">
        <f>('DOE25'!L205)+('DOE25'!L223)+('DOE25'!L241)</f>
        <v>1001449</v>
      </c>
      <c r="D120" s="24" t="s">
        <v>288</v>
      </c>
      <c r="E120" s="95">
        <f>+('DOE25'!L284)+('DOE25'!L303)+('DOE25'!L322)</f>
        <v>0</v>
      </c>
      <c r="F120" s="24" t="s">
        <v>288</v>
      </c>
      <c r="G120" s="24" t="s">
        <v>288</v>
      </c>
      <c r="H120" s="124">
        <f t="shared" si="7"/>
        <v>1001449</v>
      </c>
    </row>
    <row r="121" spans="1:8" x14ac:dyDescent="0.2">
      <c r="A121" t="s">
        <v>212</v>
      </c>
      <c r="B121" s="32" t="s">
        <v>213</v>
      </c>
      <c r="C121" s="95">
        <f>('DOE25'!L206)+('DOE25'!L224)+('DOE25'!L242)</f>
        <v>2156867</v>
      </c>
      <c r="D121" s="24" t="s">
        <v>288</v>
      </c>
      <c r="E121" s="95">
        <f>+('DOE25'!L285)+('DOE25'!L304)+('DOE25'!L323)</f>
        <v>0</v>
      </c>
      <c r="F121" s="24" t="s">
        <v>288</v>
      </c>
      <c r="G121" s="24" t="s">
        <v>288</v>
      </c>
      <c r="H121" s="124">
        <f t="shared" si="7"/>
        <v>2156867</v>
      </c>
    </row>
    <row r="122" spans="1:8" x14ac:dyDescent="0.2">
      <c r="A122" t="s">
        <v>214</v>
      </c>
      <c r="B122" s="32" t="s">
        <v>215</v>
      </c>
      <c r="C122" s="95">
        <f>('DOE25'!L207)+('DOE25'!L225)+('DOE25'!L243)</f>
        <v>0</v>
      </c>
      <c r="D122" s="24" t="s">
        <v>288</v>
      </c>
      <c r="E122" s="95">
        <f>+('DOE25'!L286)+('DOE25'!L305)+('DOE25'!L324)</f>
        <v>34613</v>
      </c>
      <c r="F122" s="24" t="s">
        <v>288</v>
      </c>
      <c r="G122" s="24" t="s">
        <v>288</v>
      </c>
      <c r="H122" s="124">
        <f t="shared" si="7"/>
        <v>34613</v>
      </c>
    </row>
    <row r="123" spans="1:8" x14ac:dyDescent="0.2">
      <c r="A123" t="s">
        <v>216</v>
      </c>
      <c r="B123" s="32" t="s">
        <v>217</v>
      </c>
      <c r="C123" s="95">
        <f>('DOE25'!L208)+('DOE25'!L226)+('DOE25'!L244)</f>
        <v>4240552</v>
      </c>
      <c r="D123" s="24" t="s">
        <v>288</v>
      </c>
      <c r="E123" s="95">
        <f>+('DOE25'!L287)+('DOE25'!L306)+('DOE25'!L325)</f>
        <v>12475</v>
      </c>
      <c r="F123" s="24" t="s">
        <v>288</v>
      </c>
      <c r="G123" s="24" t="s">
        <v>288</v>
      </c>
      <c r="H123" s="124">
        <f t="shared" si="7"/>
        <v>4253027</v>
      </c>
    </row>
    <row r="124" spans="1:8" x14ac:dyDescent="0.2">
      <c r="A124" t="s">
        <v>218</v>
      </c>
      <c r="B124" s="32" t="s">
        <v>219</v>
      </c>
      <c r="C124" s="95">
        <f>('DOE25'!L209)+('DOE25'!L227)+('DOE25'!L245+'DOE25'!L255)</f>
        <v>2156826</v>
      </c>
      <c r="D124" s="24" t="s">
        <v>288</v>
      </c>
      <c r="E124" s="95">
        <f>+('DOE25'!L288)+('DOE25'!L307)+('DOE25'!L326)</f>
        <v>9191</v>
      </c>
      <c r="F124" s="24" t="s">
        <v>288</v>
      </c>
      <c r="G124" s="24" t="s">
        <v>288</v>
      </c>
      <c r="H124" s="124">
        <f t="shared" si="7"/>
        <v>2166017</v>
      </c>
    </row>
    <row r="125" spans="1:8" x14ac:dyDescent="0.2">
      <c r="A125" t="s">
        <v>220</v>
      </c>
      <c r="B125" s="32" t="s">
        <v>221</v>
      </c>
      <c r="C125" s="95">
        <f>('DOE25'!L210)+('DOE25'!L228)+('DOE25'!L246)</f>
        <v>0</v>
      </c>
      <c r="D125" s="24" t="s">
        <v>288</v>
      </c>
      <c r="E125" s="95">
        <f>+('DOE25'!L289)+('DOE25'!L308)+('DOE25'!L327)</f>
        <v>56184</v>
      </c>
      <c r="F125" s="24" t="s">
        <v>288</v>
      </c>
      <c r="G125" s="24" t="s">
        <v>288</v>
      </c>
      <c r="H125" s="124">
        <f t="shared" si="7"/>
        <v>56184</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1247459</v>
      </c>
      <c r="E127" s="24" t="s">
        <v>288</v>
      </c>
      <c r="F127" s="24" t="s">
        <v>288</v>
      </c>
      <c r="G127" s="24" t="s">
        <v>288</v>
      </c>
      <c r="H127" s="124">
        <f t="shared" si="7"/>
        <v>1247459</v>
      </c>
    </row>
    <row r="128" spans="1:8" ht="12.75" thickTop="1" thickBot="1" x14ac:dyDescent="0.25">
      <c r="A128" s="33" t="s">
        <v>226</v>
      </c>
      <c r="C128" s="86">
        <f>SUM(C118:C127)</f>
        <v>16162459</v>
      </c>
      <c r="D128" s="86">
        <f>SUM(D118:D127)</f>
        <v>1247459</v>
      </c>
      <c r="E128" s="86">
        <f>SUM(E118:E127)</f>
        <v>693832</v>
      </c>
      <c r="F128" s="86">
        <f>SUM(F118:F127)</f>
        <v>0</v>
      </c>
      <c r="G128" s="86">
        <f>SUM(G118:G127)</f>
        <v>0</v>
      </c>
      <c r="H128" s="86">
        <f t="shared" si="7"/>
        <v>18103750</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1229729</v>
      </c>
      <c r="D130" s="24" t="s">
        <v>288</v>
      </c>
      <c r="E130" s="129">
        <f>'DOE25'!L337</f>
        <v>620078</v>
      </c>
      <c r="F130" s="129">
        <f>SUM('DOE25'!L375:'DOE25'!L381)</f>
        <v>0</v>
      </c>
      <c r="G130" s="24" t="s">
        <v>288</v>
      </c>
      <c r="H130" s="124">
        <f t="shared" si="7"/>
        <v>1849807</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216932</v>
      </c>
      <c r="D139" s="24" t="s">
        <v>288</v>
      </c>
      <c r="E139" s="24" t="s">
        <v>288</v>
      </c>
      <c r="F139" s="24" t="s">
        <v>288</v>
      </c>
      <c r="G139" s="24" t="s">
        <v>288</v>
      </c>
      <c r="H139" s="124">
        <f t="shared" si="7"/>
        <v>216932</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83068</v>
      </c>
      <c r="D141" s="24" t="s">
        <v>288</v>
      </c>
      <c r="E141" s="24" t="s">
        <v>288</v>
      </c>
      <c r="F141" s="24" t="s">
        <v>288</v>
      </c>
      <c r="G141" s="24" t="s">
        <v>288</v>
      </c>
      <c r="H141" s="124">
        <f t="shared" si="7"/>
        <v>83068</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1529729</v>
      </c>
      <c r="D144" s="141">
        <f>SUM(D130:D143)</f>
        <v>0</v>
      </c>
      <c r="E144" s="141">
        <f>SUM(E130:E143)</f>
        <v>620078</v>
      </c>
      <c r="F144" s="141">
        <f>SUM(F130:F143)</f>
        <v>0</v>
      </c>
      <c r="G144" s="141">
        <f>SUM(G130:G143)</f>
        <v>0</v>
      </c>
      <c r="H144" s="141">
        <f t="shared" si="7"/>
        <v>2149807</v>
      </c>
    </row>
    <row r="145" spans="1:9" ht="12.75" thickTop="1" thickBot="1" x14ac:dyDescent="0.25">
      <c r="A145" s="33" t="s">
        <v>244</v>
      </c>
      <c r="C145" s="86">
        <f>(C115+C128+C144)</f>
        <v>41615789</v>
      </c>
      <c r="D145" s="86">
        <f>(D115+D128+D144)</f>
        <v>1247459</v>
      </c>
      <c r="E145" s="86">
        <f>(E115+E128+E144)</f>
        <v>2911863</v>
      </c>
      <c r="F145" s="86">
        <f>(F115+F128+F144)</f>
        <v>0</v>
      </c>
      <c r="G145" s="86">
        <f>(G115+G128+G144)</f>
        <v>0</v>
      </c>
      <c r="H145" s="86">
        <f t="shared" si="7"/>
        <v>45775111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84" orientation="landscape" r:id="rId1"/>
  <headerFooter alignWithMargins="0">
    <oddHeader>&amp;C&amp;A
2021-2022</oddHeader>
    <oddFooter>&amp;CPage &amp;P&amp;R&amp;D&amp;T</oddFooter>
  </headerFooter>
  <rowBreaks count="4" manualBreakCount="4">
    <brk id="51" max="16383" man="1"/>
    <brk id="81" max="16383" man="1"/>
    <brk id="105" max="16383" man="1"/>
    <brk id="146" max="16383" man="1"/>
  </rowBreaks>
  <colBreaks count="1" manualBreakCount="1">
    <brk id="12"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6" t="s">
        <v>736</v>
      </c>
      <c r="B1" s="386"/>
      <c r="C1" s="386"/>
      <c r="D1" s="386"/>
    </row>
    <row r="2" spans="1:4" x14ac:dyDescent="0.2">
      <c r="A2" s="186" t="s">
        <v>713</v>
      </c>
      <c r="B2" s="185" t="str">
        <f>'DOE25'!A2</f>
        <v>Merrimack Valley</v>
      </c>
    </row>
    <row r="3" spans="1:4" x14ac:dyDescent="0.2">
      <c r="B3" s="187" t="s">
        <v>1799</v>
      </c>
    </row>
    <row r="4" spans="1:4" x14ac:dyDescent="0.2">
      <c r="B4" t="s">
        <v>61</v>
      </c>
      <c r="C4" s="178">
        <f>IF('DOE25'!F666+'DOE25'!F671=0,0,ROUND('DOE25'!F673,0))</f>
        <v>19022</v>
      </c>
    </row>
    <row r="5" spans="1:4" x14ac:dyDescent="0.2">
      <c r="B5" t="s">
        <v>700</v>
      </c>
      <c r="C5" s="178">
        <f>IF('DOE25'!G666+'DOE25'!G671=0,0,ROUND('DOE25'!G673,0))</f>
        <v>18044</v>
      </c>
    </row>
    <row r="6" spans="1:4" x14ac:dyDescent="0.2">
      <c r="B6" t="s">
        <v>62</v>
      </c>
      <c r="C6" s="178">
        <f>IF('DOE25'!H666+'DOE25'!H671=0,0,ROUND('DOE25'!H673,0))</f>
        <v>17173</v>
      </c>
    </row>
    <row r="7" spans="1:4" x14ac:dyDescent="0.2">
      <c r="B7" t="s">
        <v>701</v>
      </c>
      <c r="C7" s="178">
        <f>IF('DOE25'!I666+'DOE25'!I671=0,0,ROUND('DOE25'!I673,0))</f>
        <v>18169</v>
      </c>
    </row>
    <row r="9" spans="1:4" x14ac:dyDescent="0.2">
      <c r="A9" s="186" t="s">
        <v>94</v>
      </c>
      <c r="B9" s="187" t="s">
        <v>1800</v>
      </c>
      <c r="C9" s="180" t="s">
        <v>720</v>
      </c>
      <c r="D9" s="180" t="s">
        <v>721</v>
      </c>
    </row>
    <row r="10" spans="1:4" x14ac:dyDescent="0.2">
      <c r="A10">
        <v>1100</v>
      </c>
      <c r="B10" t="s">
        <v>702</v>
      </c>
      <c r="C10" s="178">
        <f>ROUND('DOE25'!L198+'DOE25'!L216+'DOE25'!L234+'DOE25'!L277+'DOE25'!L296+'DOE25'!L315,0)</f>
        <v>15204198</v>
      </c>
      <c r="D10" s="181">
        <f>ROUND((C10/$C$28)*100,1)</f>
        <v>35.1</v>
      </c>
    </row>
    <row r="11" spans="1:4" x14ac:dyDescent="0.2">
      <c r="A11">
        <v>1200</v>
      </c>
      <c r="B11" t="s">
        <v>703</v>
      </c>
      <c r="C11" s="178">
        <f>ROUND('DOE25'!L199+'DOE25'!L217+'DOE25'!L235+'DOE25'!L278+'DOE25'!L297+'DOE25'!L316,0)</f>
        <v>9211862</v>
      </c>
      <c r="D11" s="181">
        <f>ROUND((C11/$C$28)*100,1)</f>
        <v>21.2</v>
      </c>
    </row>
    <row r="12" spans="1:4" x14ac:dyDescent="0.2">
      <c r="A12">
        <v>1300</v>
      </c>
      <c r="B12" t="s">
        <v>704</v>
      </c>
      <c r="C12" s="178">
        <f>ROUND('DOE25'!L200+'DOE25'!L218+'DOE25'!L236+'DOE25'!L279+'DOE25'!L298+'DOE25'!L317,0)</f>
        <v>342812</v>
      </c>
      <c r="D12" s="181">
        <f>ROUND((C12/$C$28)*100,1)</f>
        <v>0.8</v>
      </c>
    </row>
    <row r="13" spans="1:4" x14ac:dyDescent="0.2">
      <c r="A13">
        <v>1400</v>
      </c>
      <c r="B13" t="s">
        <v>705</v>
      </c>
      <c r="C13" s="178">
        <f>ROUND('DOE25'!L201+'DOE25'!L219+'DOE25'!L237+'DOE25'!L280+'DOE25'!L299+'DOE25'!L318,0)</f>
        <v>762557</v>
      </c>
      <c r="D13" s="181">
        <f>ROUND((C13/$C$28)*100,1)</f>
        <v>1.8</v>
      </c>
    </row>
    <row r="14" spans="1:4" x14ac:dyDescent="0.2">
      <c r="D14" s="181"/>
    </row>
    <row r="15" spans="1:4" x14ac:dyDescent="0.2">
      <c r="A15">
        <v>2100</v>
      </c>
      <c r="B15" t="s">
        <v>706</v>
      </c>
      <c r="C15" s="178">
        <f>ROUND('DOE25'!L203+'DOE25'!L221+'DOE25'!L239+'DOE25'!L282+'DOE25'!L301+'DOE25'!L320,0)</f>
        <v>5500504</v>
      </c>
      <c r="D15" s="181">
        <f t="shared" ref="D15:D27" si="0">ROUND((C15/$C$28)*100,1)</f>
        <v>12.7</v>
      </c>
    </row>
    <row r="16" spans="1:4" x14ac:dyDescent="0.2">
      <c r="A16">
        <v>2200</v>
      </c>
      <c r="B16" t="s">
        <v>707</v>
      </c>
      <c r="C16" s="178">
        <f>ROUND('DOE25'!L204+'DOE25'!L222+'DOE25'!L240+'DOE25'!L283+'DOE25'!L302+'DOE25'!L321,0)</f>
        <v>1687630</v>
      </c>
      <c r="D16" s="181">
        <f t="shared" si="0"/>
        <v>3.9</v>
      </c>
    </row>
    <row r="17" spans="1:4" x14ac:dyDescent="0.2">
      <c r="A17" s="182" t="s">
        <v>723</v>
      </c>
      <c r="B17" t="s">
        <v>738</v>
      </c>
      <c r="C17" s="178">
        <f>ROUND('DOE25'!L205+'DOE25'!L210+'DOE25'!L223+'DOE25'!L228+'DOE25'!L241+'DOE25'!L246+'DOE25'!L284+'DOE25'!L289+'DOE25'!L303+'DOE25'!L308+'DOE25'!L322+'DOE25'!L327,0)</f>
        <v>1057633</v>
      </c>
      <c r="D17" s="181">
        <f t="shared" si="0"/>
        <v>2.4</v>
      </c>
    </row>
    <row r="18" spans="1:4" x14ac:dyDescent="0.2">
      <c r="A18">
        <v>2400</v>
      </c>
      <c r="B18" t="s">
        <v>711</v>
      </c>
      <c r="C18" s="178">
        <f>ROUND('DOE25'!L206+'DOE25'!L224+'DOE25'!L242+'DOE25'!L285+'DOE25'!L304+'DOE25'!L323,0)</f>
        <v>2156867</v>
      </c>
      <c r="D18" s="181">
        <f t="shared" si="0"/>
        <v>5</v>
      </c>
    </row>
    <row r="19" spans="1:4" x14ac:dyDescent="0.2">
      <c r="A19">
        <v>2500</v>
      </c>
      <c r="B19" t="s">
        <v>708</v>
      </c>
      <c r="C19" s="178">
        <f>ROUND('DOE25'!L207+'DOE25'!L225+'DOE25'!L243+'DOE25'!L286+'DOE25'!L305+'DOE25'!L324,0)</f>
        <v>34613</v>
      </c>
      <c r="D19" s="181">
        <f t="shared" si="0"/>
        <v>0.1</v>
      </c>
    </row>
    <row r="20" spans="1:4" x14ac:dyDescent="0.2">
      <c r="A20">
        <v>2600</v>
      </c>
      <c r="B20" t="s">
        <v>709</v>
      </c>
      <c r="C20" s="178">
        <f>ROUND('DOE25'!L208+'DOE25'!L226+'DOE25'!L244+'DOE25'!L287+'DOE25'!L306+'DOE25'!L325,0)</f>
        <v>4253027</v>
      </c>
      <c r="D20" s="181">
        <f t="shared" si="0"/>
        <v>9.8000000000000007</v>
      </c>
    </row>
    <row r="21" spans="1:4" x14ac:dyDescent="0.2">
      <c r="A21">
        <v>2700</v>
      </c>
      <c r="B21" t="s">
        <v>710</v>
      </c>
      <c r="C21" s="178">
        <f>ROUND('DOE25'!L209+'DOE25'!L227+'DOE25'!L245+'DOE25'!L288+'DOE25'!L307+'DOE25'!L326,0)</f>
        <v>2166017</v>
      </c>
      <c r="D21" s="181">
        <f t="shared" si="0"/>
        <v>5</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125</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999993</v>
      </c>
      <c r="D27" s="181">
        <f t="shared" si="0"/>
        <v>2.2999999999999998</v>
      </c>
    </row>
    <row r="28" spans="1:4" x14ac:dyDescent="0.2">
      <c r="B28" s="186" t="s">
        <v>719</v>
      </c>
      <c r="C28" s="179">
        <f>SUM(C10:C27)</f>
        <v>43377838</v>
      </c>
      <c r="D28" s="183">
        <f>ROUND(SUM(D10:D27),0)</f>
        <v>100</v>
      </c>
    </row>
    <row r="29" spans="1:4" x14ac:dyDescent="0.2">
      <c r="A29">
        <v>4000</v>
      </c>
      <c r="B29" t="s">
        <v>724</v>
      </c>
      <c r="C29" s="178">
        <f>ROUND('DOE25'!L256+'DOE25'!L337+'DOE25'!L375+'DOE25'!L376+'DOE25'!L377+'DOE25'!L378+'DOE25'!L379+'DOE25'!L380+'DOE25'!L381,0)</f>
        <v>1849807</v>
      </c>
    </row>
    <row r="30" spans="1:4" x14ac:dyDescent="0.2">
      <c r="B30" s="186" t="s">
        <v>725</v>
      </c>
      <c r="C30" s="179">
        <f>SUM(C28:C29)</f>
        <v>45227645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24264025</v>
      </c>
      <c r="D35" s="181">
        <f t="shared" ref="D35:D40" si="1">ROUND((C35/$C$41)*100,1)</f>
        <v>53.6</v>
      </c>
    </row>
    <row r="36" spans="1:4" x14ac:dyDescent="0.2">
      <c r="B36" s="184" t="s">
        <v>739</v>
      </c>
      <c r="C36" s="178">
        <f>SUM('DOE25'!F112:J112)-SUM('DOE25'!G97:G110)+('DOE25'!F175+'DOE25'!F176+'DOE25'!I175+'DOE25'!I176)-C35</f>
        <v>1777917</v>
      </c>
      <c r="D36" s="181">
        <f t="shared" si="1"/>
        <v>3.9</v>
      </c>
    </row>
    <row r="37" spans="1:4" x14ac:dyDescent="0.2">
      <c r="A37" s="182" t="s">
        <v>835</v>
      </c>
      <c r="B37" s="184" t="s">
        <v>728</v>
      </c>
      <c r="C37" s="178">
        <f>ROUND('DOE25'!F117+'DOE25'!F118,0)</f>
        <v>13998225</v>
      </c>
      <c r="D37" s="181">
        <f t="shared" si="1"/>
        <v>30.9</v>
      </c>
    </row>
    <row r="38" spans="1:4" x14ac:dyDescent="0.2">
      <c r="A38" s="182" t="s">
        <v>734</v>
      </c>
      <c r="B38" s="184" t="s">
        <v>729</v>
      </c>
      <c r="C38" s="178">
        <f>ROUND(SUM('DOE25'!F140:J140)-SUM('DOE25'!F117:F119),0)</f>
        <v>424047</v>
      </c>
      <c r="D38" s="181">
        <f t="shared" si="1"/>
        <v>0.9</v>
      </c>
    </row>
    <row r="39" spans="1:4" x14ac:dyDescent="0.2">
      <c r="A39">
        <v>4000</v>
      </c>
      <c r="B39" s="184" t="s">
        <v>730</v>
      </c>
      <c r="C39" s="178">
        <f>ROUND('DOE25'!F170+'DOE25'!G170+'DOE25'!H170+'DOE25'!I170,0)</f>
        <v>4799482</v>
      </c>
      <c r="D39" s="181">
        <f t="shared" si="1"/>
        <v>10.6</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45263696</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7" t="s">
        <v>766</v>
      </c>
      <c r="B1" s="398"/>
      <c r="C1" s="398"/>
      <c r="D1" s="398"/>
      <c r="E1" s="398"/>
      <c r="F1" s="398"/>
      <c r="G1" s="398"/>
      <c r="H1" s="398"/>
      <c r="I1" s="398"/>
      <c r="J1" s="212"/>
      <c r="K1" s="212"/>
      <c r="L1" s="212"/>
      <c r="M1" s="213"/>
    </row>
    <row r="2" spans="1:26" ht="12.75" x14ac:dyDescent="0.2">
      <c r="A2" s="403" t="s">
        <v>763</v>
      </c>
      <c r="B2" s="404"/>
      <c r="C2" s="404"/>
      <c r="D2" s="404"/>
      <c r="E2" s="404"/>
      <c r="F2" s="401" t="str">
        <f>'DOE25'!A2</f>
        <v>Merrimack Valley</v>
      </c>
      <c r="G2" s="402"/>
      <c r="H2" s="402"/>
      <c r="I2" s="402"/>
      <c r="J2" s="52"/>
      <c r="K2" s="52"/>
      <c r="L2" s="52"/>
      <c r="M2" s="214"/>
    </row>
    <row r="3" spans="1:26" x14ac:dyDescent="0.2">
      <c r="A3" s="215" t="s">
        <v>764</v>
      </c>
      <c r="B3" s="216" t="s">
        <v>765</v>
      </c>
      <c r="C3" s="399" t="s">
        <v>767</v>
      </c>
      <c r="D3" s="399"/>
      <c r="E3" s="399"/>
      <c r="F3" s="399"/>
      <c r="G3" s="399"/>
      <c r="H3" s="399"/>
      <c r="I3" s="399"/>
      <c r="J3" s="399"/>
      <c r="K3" s="399"/>
      <c r="L3" s="399"/>
      <c r="M3" s="400"/>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94"/>
      <c r="Q29" s="394"/>
      <c r="R29" s="394"/>
      <c r="S29" s="394"/>
      <c r="T29" s="394"/>
      <c r="U29" s="394"/>
      <c r="V29" s="394"/>
      <c r="W29" s="394"/>
      <c r="X29" s="394"/>
      <c r="Y29" s="394"/>
      <c r="Z29" s="394"/>
      <c r="AA29" s="206"/>
      <c r="AB29" s="206"/>
      <c r="AC29" s="393"/>
      <c r="AD29" s="393"/>
      <c r="AE29" s="393"/>
      <c r="AF29" s="393"/>
      <c r="AG29" s="393"/>
      <c r="AH29" s="393"/>
      <c r="AI29" s="393"/>
      <c r="AJ29" s="393"/>
      <c r="AK29" s="393"/>
      <c r="AL29" s="393"/>
      <c r="AM29" s="393"/>
      <c r="AN29" s="206"/>
      <c r="AO29" s="206"/>
      <c r="AP29" s="393"/>
      <c r="AQ29" s="393"/>
      <c r="AR29" s="393"/>
      <c r="AS29" s="393"/>
      <c r="AT29" s="393"/>
      <c r="AU29" s="393"/>
      <c r="AV29" s="393"/>
      <c r="AW29" s="393"/>
      <c r="AX29" s="393"/>
      <c r="AY29" s="393"/>
      <c r="AZ29" s="393"/>
      <c r="BA29" s="206"/>
      <c r="BB29" s="206"/>
      <c r="BC29" s="393"/>
      <c r="BD29" s="393"/>
      <c r="BE29" s="393"/>
      <c r="BF29" s="393"/>
      <c r="BG29" s="393"/>
      <c r="BH29" s="393"/>
      <c r="BI29" s="393"/>
      <c r="BJ29" s="393"/>
      <c r="BK29" s="393"/>
      <c r="BL29" s="393"/>
      <c r="BM29" s="393"/>
      <c r="BN29" s="206"/>
      <c r="BO29" s="206"/>
      <c r="BP29" s="393"/>
      <c r="BQ29" s="393"/>
      <c r="BR29" s="393"/>
      <c r="BS29" s="393"/>
      <c r="BT29" s="393"/>
      <c r="BU29" s="393"/>
      <c r="BV29" s="393"/>
      <c r="BW29" s="393"/>
      <c r="BX29" s="393"/>
      <c r="BY29" s="393"/>
      <c r="BZ29" s="393"/>
      <c r="CA29" s="206"/>
      <c r="CB29" s="206"/>
      <c r="CC29" s="393"/>
      <c r="CD29" s="393"/>
      <c r="CE29" s="393"/>
      <c r="CF29" s="393"/>
      <c r="CG29" s="393"/>
      <c r="CH29" s="393"/>
      <c r="CI29" s="393"/>
      <c r="CJ29" s="393"/>
      <c r="CK29" s="393"/>
      <c r="CL29" s="393"/>
      <c r="CM29" s="393"/>
      <c r="CN29" s="206"/>
      <c r="CO29" s="206"/>
      <c r="CP29" s="393"/>
      <c r="CQ29" s="393"/>
      <c r="CR29" s="393"/>
      <c r="CS29" s="393"/>
      <c r="CT29" s="393"/>
      <c r="CU29" s="393"/>
      <c r="CV29" s="393"/>
      <c r="CW29" s="393"/>
      <c r="CX29" s="393"/>
      <c r="CY29" s="393"/>
      <c r="CZ29" s="393"/>
      <c r="DA29" s="206"/>
      <c r="DB29" s="206"/>
      <c r="DC29" s="393"/>
      <c r="DD29" s="393"/>
      <c r="DE29" s="393"/>
      <c r="DF29" s="393"/>
      <c r="DG29" s="393"/>
      <c r="DH29" s="393"/>
      <c r="DI29" s="393"/>
      <c r="DJ29" s="393"/>
      <c r="DK29" s="393"/>
      <c r="DL29" s="393"/>
      <c r="DM29" s="393"/>
      <c r="DN29" s="206"/>
      <c r="DO29" s="206"/>
      <c r="DP29" s="393"/>
      <c r="DQ29" s="393"/>
      <c r="DR29" s="393"/>
      <c r="DS29" s="393"/>
      <c r="DT29" s="393"/>
      <c r="DU29" s="393"/>
      <c r="DV29" s="393"/>
      <c r="DW29" s="393"/>
      <c r="DX29" s="393"/>
      <c r="DY29" s="393"/>
      <c r="DZ29" s="393"/>
      <c r="EA29" s="206"/>
      <c r="EB29" s="206"/>
      <c r="EC29" s="393"/>
      <c r="ED29" s="393"/>
      <c r="EE29" s="393"/>
      <c r="EF29" s="393"/>
      <c r="EG29" s="393"/>
      <c r="EH29" s="393"/>
      <c r="EI29" s="393"/>
      <c r="EJ29" s="393"/>
      <c r="EK29" s="393"/>
      <c r="EL29" s="393"/>
      <c r="EM29" s="393"/>
      <c r="EN29" s="206"/>
      <c r="EO29" s="206"/>
      <c r="EP29" s="393"/>
      <c r="EQ29" s="393"/>
      <c r="ER29" s="393"/>
      <c r="ES29" s="393"/>
      <c r="ET29" s="393"/>
      <c r="EU29" s="393"/>
      <c r="EV29" s="393"/>
      <c r="EW29" s="393"/>
      <c r="EX29" s="393"/>
      <c r="EY29" s="393"/>
      <c r="EZ29" s="393"/>
      <c r="FA29" s="206"/>
      <c r="FB29" s="206"/>
      <c r="FC29" s="393"/>
      <c r="FD29" s="393"/>
      <c r="FE29" s="393"/>
      <c r="FF29" s="393"/>
      <c r="FG29" s="393"/>
      <c r="FH29" s="393"/>
      <c r="FI29" s="393"/>
      <c r="FJ29" s="393"/>
      <c r="FK29" s="393"/>
      <c r="FL29" s="393"/>
      <c r="FM29" s="393"/>
      <c r="FN29" s="206"/>
      <c r="FO29" s="206"/>
      <c r="FP29" s="393"/>
      <c r="FQ29" s="393"/>
      <c r="FR29" s="393"/>
      <c r="FS29" s="393"/>
      <c r="FT29" s="393"/>
      <c r="FU29" s="393"/>
      <c r="FV29" s="393"/>
      <c r="FW29" s="393"/>
      <c r="FX29" s="393"/>
      <c r="FY29" s="393"/>
      <c r="FZ29" s="393"/>
      <c r="GA29" s="206"/>
      <c r="GB29" s="206"/>
      <c r="GC29" s="393"/>
      <c r="GD29" s="393"/>
      <c r="GE29" s="393"/>
      <c r="GF29" s="393"/>
      <c r="GG29" s="393"/>
      <c r="GH29" s="393"/>
      <c r="GI29" s="393"/>
      <c r="GJ29" s="393"/>
      <c r="GK29" s="393"/>
      <c r="GL29" s="393"/>
      <c r="GM29" s="393"/>
      <c r="GN29" s="206"/>
      <c r="GO29" s="206"/>
      <c r="GP29" s="393"/>
      <c r="GQ29" s="393"/>
      <c r="GR29" s="393"/>
      <c r="GS29" s="393"/>
      <c r="GT29" s="393"/>
      <c r="GU29" s="393"/>
      <c r="GV29" s="393"/>
      <c r="GW29" s="393"/>
      <c r="GX29" s="393"/>
      <c r="GY29" s="393"/>
      <c r="GZ29" s="393"/>
      <c r="HA29" s="206"/>
      <c r="HB29" s="206"/>
      <c r="HC29" s="393"/>
      <c r="HD29" s="393"/>
      <c r="HE29" s="393"/>
      <c r="HF29" s="393"/>
      <c r="HG29" s="393"/>
      <c r="HH29" s="393"/>
      <c r="HI29" s="393"/>
      <c r="HJ29" s="393"/>
      <c r="HK29" s="393"/>
      <c r="HL29" s="393"/>
      <c r="HM29" s="393"/>
      <c r="HN29" s="206"/>
      <c r="HO29" s="206"/>
      <c r="HP29" s="393"/>
      <c r="HQ29" s="393"/>
      <c r="HR29" s="393"/>
      <c r="HS29" s="393"/>
      <c r="HT29" s="393"/>
      <c r="HU29" s="393"/>
      <c r="HV29" s="393"/>
      <c r="HW29" s="393"/>
      <c r="HX29" s="393"/>
      <c r="HY29" s="393"/>
      <c r="HZ29" s="393"/>
      <c r="IA29" s="206"/>
      <c r="IB29" s="206"/>
      <c r="IC29" s="393"/>
      <c r="ID29" s="393"/>
      <c r="IE29" s="393"/>
      <c r="IF29" s="393"/>
      <c r="IG29" s="393"/>
      <c r="IH29" s="393"/>
      <c r="II29" s="393"/>
      <c r="IJ29" s="393"/>
      <c r="IK29" s="393"/>
      <c r="IL29" s="393"/>
      <c r="IM29" s="393"/>
      <c r="IN29" s="206"/>
      <c r="IO29" s="206"/>
      <c r="IP29" s="393"/>
      <c r="IQ29" s="393"/>
      <c r="IR29" s="393"/>
      <c r="IS29" s="393"/>
      <c r="IT29" s="393"/>
      <c r="IU29" s="393"/>
      <c r="IV29" s="393"/>
    </row>
    <row r="30" spans="1:256" x14ac:dyDescent="0.2">
      <c r="A30" s="217"/>
      <c r="B30" s="218"/>
      <c r="C30" s="388"/>
      <c r="D30" s="388"/>
      <c r="E30" s="388"/>
      <c r="F30" s="388"/>
      <c r="G30" s="388"/>
      <c r="H30" s="388"/>
      <c r="I30" s="388"/>
      <c r="J30" s="388"/>
      <c r="K30" s="388"/>
      <c r="L30" s="388"/>
      <c r="M30" s="389"/>
      <c r="N30" s="210"/>
      <c r="O30" s="210"/>
      <c r="P30" s="394"/>
      <c r="Q30" s="394"/>
      <c r="R30" s="394"/>
      <c r="S30" s="394"/>
      <c r="T30" s="394"/>
      <c r="U30" s="394"/>
      <c r="V30" s="394"/>
      <c r="W30" s="394"/>
      <c r="X30" s="394"/>
      <c r="Y30" s="394"/>
      <c r="Z30" s="394"/>
      <c r="AA30" s="206"/>
      <c r="AB30" s="206"/>
      <c r="AC30" s="393"/>
      <c r="AD30" s="393"/>
      <c r="AE30" s="393"/>
      <c r="AF30" s="393"/>
      <c r="AG30" s="393"/>
      <c r="AH30" s="393"/>
      <c r="AI30" s="393"/>
      <c r="AJ30" s="393"/>
      <c r="AK30" s="393"/>
      <c r="AL30" s="393"/>
      <c r="AM30" s="393"/>
      <c r="AN30" s="206"/>
      <c r="AO30" s="206"/>
      <c r="AP30" s="393"/>
      <c r="AQ30" s="393"/>
      <c r="AR30" s="393"/>
      <c r="AS30" s="393"/>
      <c r="AT30" s="393"/>
      <c r="AU30" s="393"/>
      <c r="AV30" s="393"/>
      <c r="AW30" s="393"/>
      <c r="AX30" s="393"/>
      <c r="AY30" s="393"/>
      <c r="AZ30" s="393"/>
      <c r="BA30" s="206"/>
      <c r="BB30" s="206"/>
      <c r="BC30" s="393"/>
      <c r="BD30" s="393"/>
      <c r="BE30" s="393"/>
      <c r="BF30" s="393"/>
      <c r="BG30" s="393"/>
      <c r="BH30" s="393"/>
      <c r="BI30" s="393"/>
      <c r="BJ30" s="393"/>
      <c r="BK30" s="393"/>
      <c r="BL30" s="393"/>
      <c r="BM30" s="393"/>
      <c r="BN30" s="206"/>
      <c r="BO30" s="206"/>
      <c r="BP30" s="393"/>
      <c r="BQ30" s="393"/>
      <c r="BR30" s="393"/>
      <c r="BS30" s="393"/>
      <c r="BT30" s="393"/>
      <c r="BU30" s="393"/>
      <c r="BV30" s="393"/>
      <c r="BW30" s="393"/>
      <c r="BX30" s="393"/>
      <c r="BY30" s="393"/>
      <c r="BZ30" s="393"/>
      <c r="CA30" s="206"/>
      <c r="CB30" s="206"/>
      <c r="CC30" s="393"/>
      <c r="CD30" s="393"/>
      <c r="CE30" s="393"/>
      <c r="CF30" s="393"/>
      <c r="CG30" s="393"/>
      <c r="CH30" s="393"/>
      <c r="CI30" s="393"/>
      <c r="CJ30" s="393"/>
      <c r="CK30" s="393"/>
      <c r="CL30" s="393"/>
      <c r="CM30" s="393"/>
      <c r="CN30" s="206"/>
      <c r="CO30" s="206"/>
      <c r="CP30" s="393"/>
      <c r="CQ30" s="393"/>
      <c r="CR30" s="393"/>
      <c r="CS30" s="393"/>
      <c r="CT30" s="393"/>
      <c r="CU30" s="393"/>
      <c r="CV30" s="393"/>
      <c r="CW30" s="393"/>
      <c r="CX30" s="393"/>
      <c r="CY30" s="393"/>
      <c r="CZ30" s="393"/>
      <c r="DA30" s="206"/>
      <c r="DB30" s="206"/>
      <c r="DC30" s="393"/>
      <c r="DD30" s="393"/>
      <c r="DE30" s="393"/>
      <c r="DF30" s="393"/>
      <c r="DG30" s="393"/>
      <c r="DH30" s="393"/>
      <c r="DI30" s="393"/>
      <c r="DJ30" s="393"/>
      <c r="DK30" s="393"/>
      <c r="DL30" s="393"/>
      <c r="DM30" s="393"/>
      <c r="DN30" s="206"/>
      <c r="DO30" s="206"/>
      <c r="DP30" s="393"/>
      <c r="DQ30" s="393"/>
      <c r="DR30" s="393"/>
      <c r="DS30" s="393"/>
      <c r="DT30" s="393"/>
      <c r="DU30" s="393"/>
      <c r="DV30" s="393"/>
      <c r="DW30" s="393"/>
      <c r="DX30" s="393"/>
      <c r="DY30" s="393"/>
      <c r="DZ30" s="393"/>
      <c r="EA30" s="206"/>
      <c r="EB30" s="206"/>
      <c r="EC30" s="393"/>
      <c r="ED30" s="393"/>
      <c r="EE30" s="393"/>
      <c r="EF30" s="393"/>
      <c r="EG30" s="393"/>
      <c r="EH30" s="393"/>
      <c r="EI30" s="393"/>
      <c r="EJ30" s="393"/>
      <c r="EK30" s="393"/>
      <c r="EL30" s="393"/>
      <c r="EM30" s="393"/>
      <c r="EN30" s="206"/>
      <c r="EO30" s="206"/>
      <c r="EP30" s="393"/>
      <c r="EQ30" s="393"/>
      <c r="ER30" s="393"/>
      <c r="ES30" s="393"/>
      <c r="ET30" s="393"/>
      <c r="EU30" s="393"/>
      <c r="EV30" s="393"/>
      <c r="EW30" s="393"/>
      <c r="EX30" s="393"/>
      <c r="EY30" s="393"/>
      <c r="EZ30" s="393"/>
      <c r="FA30" s="206"/>
      <c r="FB30" s="206"/>
      <c r="FC30" s="393"/>
      <c r="FD30" s="393"/>
      <c r="FE30" s="393"/>
      <c r="FF30" s="393"/>
      <c r="FG30" s="393"/>
      <c r="FH30" s="393"/>
      <c r="FI30" s="393"/>
      <c r="FJ30" s="393"/>
      <c r="FK30" s="393"/>
      <c r="FL30" s="393"/>
      <c r="FM30" s="393"/>
      <c r="FN30" s="206"/>
      <c r="FO30" s="206"/>
      <c r="FP30" s="393"/>
      <c r="FQ30" s="393"/>
      <c r="FR30" s="393"/>
      <c r="FS30" s="393"/>
      <c r="FT30" s="393"/>
      <c r="FU30" s="393"/>
      <c r="FV30" s="393"/>
      <c r="FW30" s="393"/>
      <c r="FX30" s="393"/>
      <c r="FY30" s="393"/>
      <c r="FZ30" s="393"/>
      <c r="GA30" s="206"/>
      <c r="GB30" s="206"/>
      <c r="GC30" s="393"/>
      <c r="GD30" s="393"/>
      <c r="GE30" s="393"/>
      <c r="GF30" s="393"/>
      <c r="GG30" s="393"/>
      <c r="GH30" s="393"/>
      <c r="GI30" s="393"/>
      <c r="GJ30" s="393"/>
      <c r="GK30" s="393"/>
      <c r="GL30" s="393"/>
      <c r="GM30" s="393"/>
      <c r="GN30" s="206"/>
      <c r="GO30" s="206"/>
      <c r="GP30" s="393"/>
      <c r="GQ30" s="393"/>
      <c r="GR30" s="393"/>
      <c r="GS30" s="393"/>
      <c r="GT30" s="393"/>
      <c r="GU30" s="393"/>
      <c r="GV30" s="393"/>
      <c r="GW30" s="393"/>
      <c r="GX30" s="393"/>
      <c r="GY30" s="393"/>
      <c r="GZ30" s="393"/>
      <c r="HA30" s="206"/>
      <c r="HB30" s="206"/>
      <c r="HC30" s="393"/>
      <c r="HD30" s="393"/>
      <c r="HE30" s="393"/>
      <c r="HF30" s="393"/>
      <c r="HG30" s="393"/>
      <c r="HH30" s="393"/>
      <c r="HI30" s="393"/>
      <c r="HJ30" s="393"/>
      <c r="HK30" s="393"/>
      <c r="HL30" s="393"/>
      <c r="HM30" s="393"/>
      <c r="HN30" s="206"/>
      <c r="HO30" s="206"/>
      <c r="HP30" s="393"/>
      <c r="HQ30" s="393"/>
      <c r="HR30" s="393"/>
      <c r="HS30" s="393"/>
      <c r="HT30" s="393"/>
      <c r="HU30" s="393"/>
      <c r="HV30" s="393"/>
      <c r="HW30" s="393"/>
      <c r="HX30" s="393"/>
      <c r="HY30" s="393"/>
      <c r="HZ30" s="393"/>
      <c r="IA30" s="206"/>
      <c r="IB30" s="206"/>
      <c r="IC30" s="393"/>
      <c r="ID30" s="393"/>
      <c r="IE30" s="393"/>
      <c r="IF30" s="393"/>
      <c r="IG30" s="393"/>
      <c r="IH30" s="393"/>
      <c r="II30" s="393"/>
      <c r="IJ30" s="393"/>
      <c r="IK30" s="393"/>
      <c r="IL30" s="393"/>
      <c r="IM30" s="393"/>
      <c r="IN30" s="206"/>
      <c r="IO30" s="206"/>
      <c r="IP30" s="393"/>
      <c r="IQ30" s="393"/>
      <c r="IR30" s="393"/>
      <c r="IS30" s="393"/>
      <c r="IT30" s="393"/>
      <c r="IU30" s="393"/>
      <c r="IV30" s="393"/>
    </row>
    <row r="31" spans="1:256" x14ac:dyDescent="0.2">
      <c r="A31" s="217"/>
      <c r="B31" s="218"/>
      <c r="C31" s="388"/>
      <c r="D31" s="388"/>
      <c r="E31" s="388"/>
      <c r="F31" s="388"/>
      <c r="G31" s="388"/>
      <c r="H31" s="388"/>
      <c r="I31" s="388"/>
      <c r="J31" s="388"/>
      <c r="K31" s="388"/>
      <c r="L31" s="388"/>
      <c r="M31" s="389"/>
      <c r="N31" s="210"/>
      <c r="O31" s="210"/>
      <c r="P31" s="394"/>
      <c r="Q31" s="394"/>
      <c r="R31" s="394"/>
      <c r="S31" s="394"/>
      <c r="T31" s="394"/>
      <c r="U31" s="394"/>
      <c r="V31" s="394"/>
      <c r="W31" s="394"/>
      <c r="X31" s="394"/>
      <c r="Y31" s="394"/>
      <c r="Z31" s="394"/>
      <c r="AA31" s="206"/>
      <c r="AB31" s="206"/>
      <c r="AC31" s="393"/>
      <c r="AD31" s="393"/>
      <c r="AE31" s="393"/>
      <c r="AF31" s="393"/>
      <c r="AG31" s="393"/>
      <c r="AH31" s="393"/>
      <c r="AI31" s="393"/>
      <c r="AJ31" s="393"/>
      <c r="AK31" s="393"/>
      <c r="AL31" s="393"/>
      <c r="AM31" s="393"/>
      <c r="AN31" s="206"/>
      <c r="AO31" s="206"/>
      <c r="AP31" s="393"/>
      <c r="AQ31" s="393"/>
      <c r="AR31" s="393"/>
      <c r="AS31" s="393"/>
      <c r="AT31" s="393"/>
      <c r="AU31" s="393"/>
      <c r="AV31" s="393"/>
      <c r="AW31" s="393"/>
      <c r="AX31" s="393"/>
      <c r="AY31" s="393"/>
      <c r="AZ31" s="393"/>
      <c r="BA31" s="206"/>
      <c r="BB31" s="206"/>
      <c r="BC31" s="393"/>
      <c r="BD31" s="393"/>
      <c r="BE31" s="393"/>
      <c r="BF31" s="393"/>
      <c r="BG31" s="393"/>
      <c r="BH31" s="393"/>
      <c r="BI31" s="393"/>
      <c r="BJ31" s="393"/>
      <c r="BK31" s="393"/>
      <c r="BL31" s="393"/>
      <c r="BM31" s="393"/>
      <c r="BN31" s="206"/>
      <c r="BO31" s="206"/>
      <c r="BP31" s="393"/>
      <c r="BQ31" s="393"/>
      <c r="BR31" s="393"/>
      <c r="BS31" s="393"/>
      <c r="BT31" s="393"/>
      <c r="BU31" s="393"/>
      <c r="BV31" s="393"/>
      <c r="BW31" s="393"/>
      <c r="BX31" s="393"/>
      <c r="BY31" s="393"/>
      <c r="BZ31" s="393"/>
      <c r="CA31" s="206"/>
      <c r="CB31" s="206"/>
      <c r="CC31" s="393"/>
      <c r="CD31" s="393"/>
      <c r="CE31" s="393"/>
      <c r="CF31" s="393"/>
      <c r="CG31" s="393"/>
      <c r="CH31" s="393"/>
      <c r="CI31" s="393"/>
      <c r="CJ31" s="393"/>
      <c r="CK31" s="393"/>
      <c r="CL31" s="393"/>
      <c r="CM31" s="393"/>
      <c r="CN31" s="206"/>
      <c r="CO31" s="206"/>
      <c r="CP31" s="393"/>
      <c r="CQ31" s="393"/>
      <c r="CR31" s="393"/>
      <c r="CS31" s="393"/>
      <c r="CT31" s="393"/>
      <c r="CU31" s="393"/>
      <c r="CV31" s="393"/>
      <c r="CW31" s="393"/>
      <c r="CX31" s="393"/>
      <c r="CY31" s="393"/>
      <c r="CZ31" s="393"/>
      <c r="DA31" s="206"/>
      <c r="DB31" s="206"/>
      <c r="DC31" s="393"/>
      <c r="DD31" s="393"/>
      <c r="DE31" s="393"/>
      <c r="DF31" s="393"/>
      <c r="DG31" s="393"/>
      <c r="DH31" s="393"/>
      <c r="DI31" s="393"/>
      <c r="DJ31" s="393"/>
      <c r="DK31" s="393"/>
      <c r="DL31" s="393"/>
      <c r="DM31" s="393"/>
      <c r="DN31" s="206"/>
      <c r="DO31" s="206"/>
      <c r="DP31" s="393"/>
      <c r="DQ31" s="393"/>
      <c r="DR31" s="393"/>
      <c r="DS31" s="393"/>
      <c r="DT31" s="393"/>
      <c r="DU31" s="393"/>
      <c r="DV31" s="393"/>
      <c r="DW31" s="393"/>
      <c r="DX31" s="393"/>
      <c r="DY31" s="393"/>
      <c r="DZ31" s="393"/>
      <c r="EA31" s="206"/>
      <c r="EB31" s="206"/>
      <c r="EC31" s="393"/>
      <c r="ED31" s="393"/>
      <c r="EE31" s="393"/>
      <c r="EF31" s="393"/>
      <c r="EG31" s="393"/>
      <c r="EH31" s="393"/>
      <c r="EI31" s="393"/>
      <c r="EJ31" s="393"/>
      <c r="EK31" s="393"/>
      <c r="EL31" s="393"/>
      <c r="EM31" s="393"/>
      <c r="EN31" s="206"/>
      <c r="EO31" s="206"/>
      <c r="EP31" s="393"/>
      <c r="EQ31" s="393"/>
      <c r="ER31" s="393"/>
      <c r="ES31" s="393"/>
      <c r="ET31" s="393"/>
      <c r="EU31" s="393"/>
      <c r="EV31" s="393"/>
      <c r="EW31" s="393"/>
      <c r="EX31" s="393"/>
      <c r="EY31" s="393"/>
      <c r="EZ31" s="393"/>
      <c r="FA31" s="206"/>
      <c r="FB31" s="206"/>
      <c r="FC31" s="393"/>
      <c r="FD31" s="393"/>
      <c r="FE31" s="393"/>
      <c r="FF31" s="393"/>
      <c r="FG31" s="393"/>
      <c r="FH31" s="393"/>
      <c r="FI31" s="393"/>
      <c r="FJ31" s="393"/>
      <c r="FK31" s="393"/>
      <c r="FL31" s="393"/>
      <c r="FM31" s="393"/>
      <c r="FN31" s="206"/>
      <c r="FO31" s="206"/>
      <c r="FP31" s="393"/>
      <c r="FQ31" s="393"/>
      <c r="FR31" s="393"/>
      <c r="FS31" s="393"/>
      <c r="FT31" s="393"/>
      <c r="FU31" s="393"/>
      <c r="FV31" s="393"/>
      <c r="FW31" s="393"/>
      <c r="FX31" s="393"/>
      <c r="FY31" s="393"/>
      <c r="FZ31" s="393"/>
      <c r="GA31" s="206"/>
      <c r="GB31" s="206"/>
      <c r="GC31" s="393"/>
      <c r="GD31" s="393"/>
      <c r="GE31" s="393"/>
      <c r="GF31" s="393"/>
      <c r="GG31" s="393"/>
      <c r="GH31" s="393"/>
      <c r="GI31" s="393"/>
      <c r="GJ31" s="393"/>
      <c r="GK31" s="393"/>
      <c r="GL31" s="393"/>
      <c r="GM31" s="393"/>
      <c r="GN31" s="206"/>
      <c r="GO31" s="206"/>
      <c r="GP31" s="393"/>
      <c r="GQ31" s="393"/>
      <c r="GR31" s="393"/>
      <c r="GS31" s="393"/>
      <c r="GT31" s="393"/>
      <c r="GU31" s="393"/>
      <c r="GV31" s="393"/>
      <c r="GW31" s="393"/>
      <c r="GX31" s="393"/>
      <c r="GY31" s="393"/>
      <c r="GZ31" s="393"/>
      <c r="HA31" s="206"/>
      <c r="HB31" s="206"/>
      <c r="HC31" s="393"/>
      <c r="HD31" s="393"/>
      <c r="HE31" s="393"/>
      <c r="HF31" s="393"/>
      <c r="HG31" s="393"/>
      <c r="HH31" s="393"/>
      <c r="HI31" s="393"/>
      <c r="HJ31" s="393"/>
      <c r="HK31" s="393"/>
      <c r="HL31" s="393"/>
      <c r="HM31" s="393"/>
      <c r="HN31" s="206"/>
      <c r="HO31" s="206"/>
      <c r="HP31" s="393"/>
      <c r="HQ31" s="393"/>
      <c r="HR31" s="393"/>
      <c r="HS31" s="393"/>
      <c r="HT31" s="393"/>
      <c r="HU31" s="393"/>
      <c r="HV31" s="393"/>
      <c r="HW31" s="393"/>
      <c r="HX31" s="393"/>
      <c r="HY31" s="393"/>
      <c r="HZ31" s="393"/>
      <c r="IA31" s="206"/>
      <c r="IB31" s="206"/>
      <c r="IC31" s="393"/>
      <c r="ID31" s="393"/>
      <c r="IE31" s="393"/>
      <c r="IF31" s="393"/>
      <c r="IG31" s="393"/>
      <c r="IH31" s="393"/>
      <c r="II31" s="393"/>
      <c r="IJ31" s="393"/>
      <c r="IK31" s="393"/>
      <c r="IL31" s="393"/>
      <c r="IM31" s="393"/>
      <c r="IN31" s="206"/>
      <c r="IO31" s="206"/>
      <c r="IP31" s="393"/>
      <c r="IQ31" s="393"/>
      <c r="IR31" s="393"/>
      <c r="IS31" s="393"/>
      <c r="IT31" s="393"/>
      <c r="IU31" s="393"/>
      <c r="IV31" s="393"/>
    </row>
    <row r="32" spans="1:256" x14ac:dyDescent="0.2">
      <c r="A32" s="217"/>
      <c r="B32" s="218"/>
      <c r="C32" s="388"/>
      <c r="D32" s="388"/>
      <c r="E32" s="388"/>
      <c r="F32" s="388"/>
      <c r="G32" s="388"/>
      <c r="H32" s="388"/>
      <c r="I32" s="388"/>
      <c r="J32" s="388"/>
      <c r="K32" s="388"/>
      <c r="L32" s="388"/>
      <c r="M32" s="389"/>
      <c r="N32" s="222"/>
      <c r="O32" s="222"/>
      <c r="P32" s="395"/>
      <c r="Q32" s="395"/>
      <c r="R32" s="395"/>
      <c r="S32" s="395"/>
      <c r="T32" s="395"/>
      <c r="U32" s="395"/>
      <c r="V32" s="395"/>
      <c r="W32" s="395"/>
      <c r="X32" s="395"/>
      <c r="Y32" s="395"/>
      <c r="Z32" s="396"/>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94"/>
      <c r="Q38" s="394"/>
      <c r="R38" s="394"/>
      <c r="S38" s="394"/>
      <c r="T38" s="394"/>
      <c r="U38" s="394"/>
      <c r="V38" s="394"/>
      <c r="W38" s="394"/>
      <c r="X38" s="394"/>
      <c r="Y38" s="394"/>
      <c r="Z38" s="394"/>
      <c r="AA38" s="206"/>
      <c r="AB38" s="206"/>
      <c r="AC38" s="393"/>
      <c r="AD38" s="393"/>
      <c r="AE38" s="393"/>
      <c r="AF38" s="393"/>
      <c r="AG38" s="393"/>
      <c r="AH38" s="393"/>
      <c r="AI38" s="393"/>
      <c r="AJ38" s="393"/>
      <c r="AK38" s="393"/>
      <c r="AL38" s="393"/>
      <c r="AM38" s="393"/>
      <c r="AN38" s="206"/>
      <c r="AO38" s="206"/>
      <c r="AP38" s="393"/>
      <c r="AQ38" s="393"/>
      <c r="AR38" s="393"/>
      <c r="AS38" s="393"/>
      <c r="AT38" s="393"/>
      <c r="AU38" s="393"/>
      <c r="AV38" s="393"/>
      <c r="AW38" s="393"/>
      <c r="AX38" s="393"/>
      <c r="AY38" s="393"/>
      <c r="AZ38" s="393"/>
      <c r="BA38" s="206"/>
      <c r="BB38" s="206"/>
      <c r="BC38" s="393"/>
      <c r="BD38" s="393"/>
      <c r="BE38" s="393"/>
      <c r="BF38" s="393"/>
      <c r="BG38" s="393"/>
      <c r="BH38" s="393"/>
      <c r="BI38" s="393"/>
      <c r="BJ38" s="393"/>
      <c r="BK38" s="393"/>
      <c r="BL38" s="393"/>
      <c r="BM38" s="393"/>
      <c r="BN38" s="206"/>
      <c r="BO38" s="206"/>
      <c r="BP38" s="393"/>
      <c r="BQ38" s="393"/>
      <c r="BR38" s="393"/>
      <c r="BS38" s="393"/>
      <c r="BT38" s="393"/>
      <c r="BU38" s="393"/>
      <c r="BV38" s="393"/>
      <c r="BW38" s="393"/>
      <c r="BX38" s="393"/>
      <c r="BY38" s="393"/>
      <c r="BZ38" s="393"/>
      <c r="CA38" s="206"/>
      <c r="CB38" s="206"/>
      <c r="CC38" s="393"/>
      <c r="CD38" s="393"/>
      <c r="CE38" s="393"/>
      <c r="CF38" s="393"/>
      <c r="CG38" s="393"/>
      <c r="CH38" s="393"/>
      <c r="CI38" s="393"/>
      <c r="CJ38" s="393"/>
      <c r="CK38" s="393"/>
      <c r="CL38" s="393"/>
      <c r="CM38" s="393"/>
      <c r="CN38" s="206"/>
      <c r="CO38" s="206"/>
      <c r="CP38" s="393"/>
      <c r="CQ38" s="393"/>
      <c r="CR38" s="393"/>
      <c r="CS38" s="393"/>
      <c r="CT38" s="393"/>
      <c r="CU38" s="393"/>
      <c r="CV38" s="393"/>
      <c r="CW38" s="393"/>
      <c r="CX38" s="393"/>
      <c r="CY38" s="393"/>
      <c r="CZ38" s="393"/>
      <c r="DA38" s="206"/>
      <c r="DB38" s="206"/>
      <c r="DC38" s="393"/>
      <c r="DD38" s="393"/>
      <c r="DE38" s="393"/>
      <c r="DF38" s="393"/>
      <c r="DG38" s="393"/>
      <c r="DH38" s="393"/>
      <c r="DI38" s="393"/>
      <c r="DJ38" s="393"/>
      <c r="DK38" s="393"/>
      <c r="DL38" s="393"/>
      <c r="DM38" s="393"/>
      <c r="DN38" s="206"/>
      <c r="DO38" s="206"/>
      <c r="DP38" s="393"/>
      <c r="DQ38" s="393"/>
      <c r="DR38" s="393"/>
      <c r="DS38" s="393"/>
      <c r="DT38" s="393"/>
      <c r="DU38" s="393"/>
      <c r="DV38" s="393"/>
      <c r="DW38" s="393"/>
      <c r="DX38" s="393"/>
      <c r="DY38" s="393"/>
      <c r="DZ38" s="393"/>
      <c r="EA38" s="206"/>
      <c r="EB38" s="206"/>
      <c r="EC38" s="393"/>
      <c r="ED38" s="393"/>
      <c r="EE38" s="393"/>
      <c r="EF38" s="393"/>
      <c r="EG38" s="393"/>
      <c r="EH38" s="393"/>
      <c r="EI38" s="393"/>
      <c r="EJ38" s="393"/>
      <c r="EK38" s="393"/>
      <c r="EL38" s="393"/>
      <c r="EM38" s="393"/>
      <c r="EN38" s="206"/>
      <c r="EO38" s="206"/>
      <c r="EP38" s="393"/>
      <c r="EQ38" s="393"/>
      <c r="ER38" s="393"/>
      <c r="ES38" s="393"/>
      <c r="ET38" s="393"/>
      <c r="EU38" s="393"/>
      <c r="EV38" s="393"/>
      <c r="EW38" s="393"/>
      <c r="EX38" s="393"/>
      <c r="EY38" s="393"/>
      <c r="EZ38" s="393"/>
      <c r="FA38" s="206"/>
      <c r="FB38" s="206"/>
      <c r="FC38" s="393"/>
      <c r="FD38" s="393"/>
      <c r="FE38" s="393"/>
      <c r="FF38" s="393"/>
      <c r="FG38" s="393"/>
      <c r="FH38" s="393"/>
      <c r="FI38" s="393"/>
      <c r="FJ38" s="393"/>
      <c r="FK38" s="393"/>
      <c r="FL38" s="393"/>
      <c r="FM38" s="393"/>
      <c r="FN38" s="206"/>
      <c r="FO38" s="206"/>
      <c r="FP38" s="393"/>
      <c r="FQ38" s="393"/>
      <c r="FR38" s="393"/>
      <c r="FS38" s="393"/>
      <c r="FT38" s="393"/>
      <c r="FU38" s="393"/>
      <c r="FV38" s="393"/>
      <c r="FW38" s="393"/>
      <c r="FX38" s="393"/>
      <c r="FY38" s="393"/>
      <c r="FZ38" s="393"/>
      <c r="GA38" s="206"/>
      <c r="GB38" s="206"/>
      <c r="GC38" s="393"/>
      <c r="GD38" s="393"/>
      <c r="GE38" s="393"/>
      <c r="GF38" s="393"/>
      <c r="GG38" s="393"/>
      <c r="GH38" s="393"/>
      <c r="GI38" s="393"/>
      <c r="GJ38" s="393"/>
      <c r="GK38" s="393"/>
      <c r="GL38" s="393"/>
      <c r="GM38" s="393"/>
      <c r="GN38" s="206"/>
      <c r="GO38" s="206"/>
      <c r="GP38" s="393"/>
      <c r="GQ38" s="393"/>
      <c r="GR38" s="393"/>
      <c r="GS38" s="393"/>
      <c r="GT38" s="393"/>
      <c r="GU38" s="393"/>
      <c r="GV38" s="393"/>
      <c r="GW38" s="393"/>
      <c r="GX38" s="393"/>
      <c r="GY38" s="393"/>
      <c r="GZ38" s="393"/>
      <c r="HA38" s="206"/>
      <c r="HB38" s="206"/>
      <c r="HC38" s="393"/>
      <c r="HD38" s="393"/>
      <c r="HE38" s="393"/>
      <c r="HF38" s="393"/>
      <c r="HG38" s="393"/>
      <c r="HH38" s="393"/>
      <c r="HI38" s="393"/>
      <c r="HJ38" s="393"/>
      <c r="HK38" s="393"/>
      <c r="HL38" s="393"/>
      <c r="HM38" s="393"/>
      <c r="HN38" s="206"/>
      <c r="HO38" s="206"/>
      <c r="HP38" s="393"/>
      <c r="HQ38" s="393"/>
      <c r="HR38" s="393"/>
      <c r="HS38" s="393"/>
      <c r="HT38" s="393"/>
      <c r="HU38" s="393"/>
      <c r="HV38" s="393"/>
      <c r="HW38" s="393"/>
      <c r="HX38" s="393"/>
      <c r="HY38" s="393"/>
      <c r="HZ38" s="393"/>
      <c r="IA38" s="206"/>
      <c r="IB38" s="206"/>
      <c r="IC38" s="393"/>
      <c r="ID38" s="393"/>
      <c r="IE38" s="393"/>
      <c r="IF38" s="393"/>
      <c r="IG38" s="393"/>
      <c r="IH38" s="393"/>
      <c r="II38" s="393"/>
      <c r="IJ38" s="393"/>
      <c r="IK38" s="393"/>
      <c r="IL38" s="393"/>
      <c r="IM38" s="393"/>
      <c r="IN38" s="206"/>
      <c r="IO38" s="206"/>
      <c r="IP38" s="393"/>
      <c r="IQ38" s="393"/>
      <c r="IR38" s="393"/>
      <c r="IS38" s="393"/>
      <c r="IT38" s="393"/>
      <c r="IU38" s="393"/>
      <c r="IV38" s="393"/>
    </row>
    <row r="39" spans="1:256" x14ac:dyDescent="0.2">
      <c r="A39" s="217"/>
      <c r="B39" s="218"/>
      <c r="C39" s="388"/>
      <c r="D39" s="388"/>
      <c r="E39" s="388"/>
      <c r="F39" s="388"/>
      <c r="G39" s="388"/>
      <c r="H39" s="388"/>
      <c r="I39" s="388"/>
      <c r="J39" s="388"/>
      <c r="K39" s="388"/>
      <c r="L39" s="388"/>
      <c r="M39" s="389"/>
      <c r="N39" s="210"/>
      <c r="O39" s="210"/>
      <c r="P39" s="394"/>
      <c r="Q39" s="394"/>
      <c r="R39" s="394"/>
      <c r="S39" s="394"/>
      <c r="T39" s="394"/>
      <c r="U39" s="394"/>
      <c r="V39" s="394"/>
      <c r="W39" s="394"/>
      <c r="X39" s="394"/>
      <c r="Y39" s="394"/>
      <c r="Z39" s="394"/>
      <c r="AA39" s="206"/>
      <c r="AB39" s="206"/>
      <c r="AC39" s="393"/>
      <c r="AD39" s="393"/>
      <c r="AE39" s="393"/>
      <c r="AF39" s="393"/>
      <c r="AG39" s="393"/>
      <c r="AH39" s="393"/>
      <c r="AI39" s="393"/>
      <c r="AJ39" s="393"/>
      <c r="AK39" s="393"/>
      <c r="AL39" s="393"/>
      <c r="AM39" s="393"/>
      <c r="AN39" s="206"/>
      <c r="AO39" s="206"/>
      <c r="AP39" s="393"/>
      <c r="AQ39" s="393"/>
      <c r="AR39" s="393"/>
      <c r="AS39" s="393"/>
      <c r="AT39" s="393"/>
      <c r="AU39" s="393"/>
      <c r="AV39" s="393"/>
      <c r="AW39" s="393"/>
      <c r="AX39" s="393"/>
      <c r="AY39" s="393"/>
      <c r="AZ39" s="393"/>
      <c r="BA39" s="206"/>
      <c r="BB39" s="206"/>
      <c r="BC39" s="393"/>
      <c r="BD39" s="393"/>
      <c r="BE39" s="393"/>
      <c r="BF39" s="393"/>
      <c r="BG39" s="393"/>
      <c r="BH39" s="393"/>
      <c r="BI39" s="393"/>
      <c r="BJ39" s="393"/>
      <c r="BK39" s="393"/>
      <c r="BL39" s="393"/>
      <c r="BM39" s="393"/>
      <c r="BN39" s="206"/>
      <c r="BO39" s="206"/>
      <c r="BP39" s="393"/>
      <c r="BQ39" s="393"/>
      <c r="BR39" s="393"/>
      <c r="BS39" s="393"/>
      <c r="BT39" s="393"/>
      <c r="BU39" s="393"/>
      <c r="BV39" s="393"/>
      <c r="BW39" s="393"/>
      <c r="BX39" s="393"/>
      <c r="BY39" s="393"/>
      <c r="BZ39" s="393"/>
      <c r="CA39" s="206"/>
      <c r="CB39" s="206"/>
      <c r="CC39" s="393"/>
      <c r="CD39" s="393"/>
      <c r="CE39" s="393"/>
      <c r="CF39" s="393"/>
      <c r="CG39" s="393"/>
      <c r="CH39" s="393"/>
      <c r="CI39" s="393"/>
      <c r="CJ39" s="393"/>
      <c r="CK39" s="393"/>
      <c r="CL39" s="393"/>
      <c r="CM39" s="393"/>
      <c r="CN39" s="206"/>
      <c r="CO39" s="206"/>
      <c r="CP39" s="393"/>
      <c r="CQ39" s="393"/>
      <c r="CR39" s="393"/>
      <c r="CS39" s="393"/>
      <c r="CT39" s="393"/>
      <c r="CU39" s="393"/>
      <c r="CV39" s="393"/>
      <c r="CW39" s="393"/>
      <c r="CX39" s="393"/>
      <c r="CY39" s="393"/>
      <c r="CZ39" s="393"/>
      <c r="DA39" s="206"/>
      <c r="DB39" s="206"/>
      <c r="DC39" s="393"/>
      <c r="DD39" s="393"/>
      <c r="DE39" s="393"/>
      <c r="DF39" s="393"/>
      <c r="DG39" s="393"/>
      <c r="DH39" s="393"/>
      <c r="DI39" s="393"/>
      <c r="DJ39" s="393"/>
      <c r="DK39" s="393"/>
      <c r="DL39" s="393"/>
      <c r="DM39" s="393"/>
      <c r="DN39" s="206"/>
      <c r="DO39" s="206"/>
      <c r="DP39" s="393"/>
      <c r="DQ39" s="393"/>
      <c r="DR39" s="393"/>
      <c r="DS39" s="393"/>
      <c r="DT39" s="393"/>
      <c r="DU39" s="393"/>
      <c r="DV39" s="393"/>
      <c r="DW39" s="393"/>
      <c r="DX39" s="393"/>
      <c r="DY39" s="393"/>
      <c r="DZ39" s="393"/>
      <c r="EA39" s="206"/>
      <c r="EB39" s="206"/>
      <c r="EC39" s="393"/>
      <c r="ED39" s="393"/>
      <c r="EE39" s="393"/>
      <c r="EF39" s="393"/>
      <c r="EG39" s="393"/>
      <c r="EH39" s="393"/>
      <c r="EI39" s="393"/>
      <c r="EJ39" s="393"/>
      <c r="EK39" s="393"/>
      <c r="EL39" s="393"/>
      <c r="EM39" s="393"/>
      <c r="EN39" s="206"/>
      <c r="EO39" s="206"/>
      <c r="EP39" s="393"/>
      <c r="EQ39" s="393"/>
      <c r="ER39" s="393"/>
      <c r="ES39" s="393"/>
      <c r="ET39" s="393"/>
      <c r="EU39" s="393"/>
      <c r="EV39" s="393"/>
      <c r="EW39" s="393"/>
      <c r="EX39" s="393"/>
      <c r="EY39" s="393"/>
      <c r="EZ39" s="393"/>
      <c r="FA39" s="206"/>
      <c r="FB39" s="206"/>
      <c r="FC39" s="393"/>
      <c r="FD39" s="393"/>
      <c r="FE39" s="393"/>
      <c r="FF39" s="393"/>
      <c r="FG39" s="393"/>
      <c r="FH39" s="393"/>
      <c r="FI39" s="393"/>
      <c r="FJ39" s="393"/>
      <c r="FK39" s="393"/>
      <c r="FL39" s="393"/>
      <c r="FM39" s="393"/>
      <c r="FN39" s="206"/>
      <c r="FO39" s="206"/>
      <c r="FP39" s="393"/>
      <c r="FQ39" s="393"/>
      <c r="FR39" s="393"/>
      <c r="FS39" s="393"/>
      <c r="FT39" s="393"/>
      <c r="FU39" s="393"/>
      <c r="FV39" s="393"/>
      <c r="FW39" s="393"/>
      <c r="FX39" s="393"/>
      <c r="FY39" s="393"/>
      <c r="FZ39" s="393"/>
      <c r="GA39" s="206"/>
      <c r="GB39" s="206"/>
      <c r="GC39" s="393"/>
      <c r="GD39" s="393"/>
      <c r="GE39" s="393"/>
      <c r="GF39" s="393"/>
      <c r="GG39" s="393"/>
      <c r="GH39" s="393"/>
      <c r="GI39" s="393"/>
      <c r="GJ39" s="393"/>
      <c r="GK39" s="393"/>
      <c r="GL39" s="393"/>
      <c r="GM39" s="393"/>
      <c r="GN39" s="206"/>
      <c r="GO39" s="206"/>
      <c r="GP39" s="393"/>
      <c r="GQ39" s="393"/>
      <c r="GR39" s="393"/>
      <c r="GS39" s="393"/>
      <c r="GT39" s="393"/>
      <c r="GU39" s="393"/>
      <c r="GV39" s="393"/>
      <c r="GW39" s="393"/>
      <c r="GX39" s="393"/>
      <c r="GY39" s="393"/>
      <c r="GZ39" s="393"/>
      <c r="HA39" s="206"/>
      <c r="HB39" s="206"/>
      <c r="HC39" s="393"/>
      <c r="HD39" s="393"/>
      <c r="HE39" s="393"/>
      <c r="HF39" s="393"/>
      <c r="HG39" s="393"/>
      <c r="HH39" s="393"/>
      <c r="HI39" s="393"/>
      <c r="HJ39" s="393"/>
      <c r="HK39" s="393"/>
      <c r="HL39" s="393"/>
      <c r="HM39" s="393"/>
      <c r="HN39" s="206"/>
      <c r="HO39" s="206"/>
      <c r="HP39" s="393"/>
      <c r="HQ39" s="393"/>
      <c r="HR39" s="393"/>
      <c r="HS39" s="393"/>
      <c r="HT39" s="393"/>
      <c r="HU39" s="393"/>
      <c r="HV39" s="393"/>
      <c r="HW39" s="393"/>
      <c r="HX39" s="393"/>
      <c r="HY39" s="393"/>
      <c r="HZ39" s="393"/>
      <c r="IA39" s="206"/>
      <c r="IB39" s="206"/>
      <c r="IC39" s="393"/>
      <c r="ID39" s="393"/>
      <c r="IE39" s="393"/>
      <c r="IF39" s="393"/>
      <c r="IG39" s="393"/>
      <c r="IH39" s="393"/>
      <c r="II39" s="393"/>
      <c r="IJ39" s="393"/>
      <c r="IK39" s="393"/>
      <c r="IL39" s="393"/>
      <c r="IM39" s="393"/>
      <c r="IN39" s="206"/>
      <c r="IO39" s="206"/>
      <c r="IP39" s="393"/>
      <c r="IQ39" s="393"/>
      <c r="IR39" s="393"/>
      <c r="IS39" s="393"/>
      <c r="IT39" s="393"/>
      <c r="IU39" s="393"/>
      <c r="IV39" s="393"/>
    </row>
    <row r="40" spans="1:256" x14ac:dyDescent="0.2">
      <c r="A40" s="217"/>
      <c r="B40" s="218"/>
      <c r="C40" s="388"/>
      <c r="D40" s="388"/>
      <c r="E40" s="388"/>
      <c r="F40" s="388"/>
      <c r="G40" s="388"/>
      <c r="H40" s="388"/>
      <c r="I40" s="388"/>
      <c r="J40" s="388"/>
      <c r="K40" s="388"/>
      <c r="L40" s="388"/>
      <c r="M40" s="389"/>
      <c r="N40" s="210"/>
      <c r="O40" s="210"/>
      <c r="P40" s="394"/>
      <c r="Q40" s="394"/>
      <c r="R40" s="394"/>
      <c r="S40" s="394"/>
      <c r="T40" s="394"/>
      <c r="U40" s="394"/>
      <c r="V40" s="394"/>
      <c r="W40" s="394"/>
      <c r="X40" s="394"/>
      <c r="Y40" s="394"/>
      <c r="Z40" s="394"/>
      <c r="AA40" s="206"/>
      <c r="AB40" s="206"/>
      <c r="AC40" s="393"/>
      <c r="AD40" s="393"/>
      <c r="AE40" s="393"/>
      <c r="AF40" s="393"/>
      <c r="AG40" s="393"/>
      <c r="AH40" s="393"/>
      <c r="AI40" s="393"/>
      <c r="AJ40" s="393"/>
      <c r="AK40" s="393"/>
      <c r="AL40" s="393"/>
      <c r="AM40" s="393"/>
      <c r="AN40" s="206"/>
      <c r="AO40" s="206"/>
      <c r="AP40" s="393"/>
      <c r="AQ40" s="393"/>
      <c r="AR40" s="393"/>
      <c r="AS40" s="393"/>
      <c r="AT40" s="393"/>
      <c r="AU40" s="393"/>
      <c r="AV40" s="393"/>
      <c r="AW40" s="393"/>
      <c r="AX40" s="393"/>
      <c r="AY40" s="393"/>
      <c r="AZ40" s="393"/>
      <c r="BA40" s="206"/>
      <c r="BB40" s="206"/>
      <c r="BC40" s="393"/>
      <c r="BD40" s="393"/>
      <c r="BE40" s="393"/>
      <c r="BF40" s="393"/>
      <c r="BG40" s="393"/>
      <c r="BH40" s="393"/>
      <c r="BI40" s="393"/>
      <c r="BJ40" s="393"/>
      <c r="BK40" s="393"/>
      <c r="BL40" s="393"/>
      <c r="BM40" s="393"/>
      <c r="BN40" s="206"/>
      <c r="BO40" s="206"/>
      <c r="BP40" s="393"/>
      <c r="BQ40" s="393"/>
      <c r="BR40" s="393"/>
      <c r="BS40" s="393"/>
      <c r="BT40" s="393"/>
      <c r="BU40" s="393"/>
      <c r="BV40" s="393"/>
      <c r="BW40" s="393"/>
      <c r="BX40" s="393"/>
      <c r="BY40" s="393"/>
      <c r="BZ40" s="393"/>
      <c r="CA40" s="206"/>
      <c r="CB40" s="206"/>
      <c r="CC40" s="393"/>
      <c r="CD40" s="393"/>
      <c r="CE40" s="393"/>
      <c r="CF40" s="393"/>
      <c r="CG40" s="393"/>
      <c r="CH40" s="393"/>
      <c r="CI40" s="393"/>
      <c r="CJ40" s="393"/>
      <c r="CK40" s="393"/>
      <c r="CL40" s="393"/>
      <c r="CM40" s="393"/>
      <c r="CN40" s="206"/>
      <c r="CO40" s="206"/>
      <c r="CP40" s="393"/>
      <c r="CQ40" s="393"/>
      <c r="CR40" s="393"/>
      <c r="CS40" s="393"/>
      <c r="CT40" s="393"/>
      <c r="CU40" s="393"/>
      <c r="CV40" s="393"/>
      <c r="CW40" s="393"/>
      <c r="CX40" s="393"/>
      <c r="CY40" s="393"/>
      <c r="CZ40" s="393"/>
      <c r="DA40" s="206"/>
      <c r="DB40" s="206"/>
      <c r="DC40" s="393"/>
      <c r="DD40" s="393"/>
      <c r="DE40" s="393"/>
      <c r="DF40" s="393"/>
      <c r="DG40" s="393"/>
      <c r="DH40" s="393"/>
      <c r="DI40" s="393"/>
      <c r="DJ40" s="393"/>
      <c r="DK40" s="393"/>
      <c r="DL40" s="393"/>
      <c r="DM40" s="393"/>
      <c r="DN40" s="206"/>
      <c r="DO40" s="206"/>
      <c r="DP40" s="393"/>
      <c r="DQ40" s="393"/>
      <c r="DR40" s="393"/>
      <c r="DS40" s="393"/>
      <c r="DT40" s="393"/>
      <c r="DU40" s="393"/>
      <c r="DV40" s="393"/>
      <c r="DW40" s="393"/>
      <c r="DX40" s="393"/>
      <c r="DY40" s="393"/>
      <c r="DZ40" s="393"/>
      <c r="EA40" s="206"/>
      <c r="EB40" s="206"/>
      <c r="EC40" s="393"/>
      <c r="ED40" s="393"/>
      <c r="EE40" s="393"/>
      <c r="EF40" s="393"/>
      <c r="EG40" s="393"/>
      <c r="EH40" s="393"/>
      <c r="EI40" s="393"/>
      <c r="EJ40" s="393"/>
      <c r="EK40" s="393"/>
      <c r="EL40" s="393"/>
      <c r="EM40" s="393"/>
      <c r="EN40" s="206"/>
      <c r="EO40" s="206"/>
      <c r="EP40" s="393"/>
      <c r="EQ40" s="393"/>
      <c r="ER40" s="393"/>
      <c r="ES40" s="393"/>
      <c r="ET40" s="393"/>
      <c r="EU40" s="393"/>
      <c r="EV40" s="393"/>
      <c r="EW40" s="393"/>
      <c r="EX40" s="393"/>
      <c r="EY40" s="393"/>
      <c r="EZ40" s="393"/>
      <c r="FA40" s="206"/>
      <c r="FB40" s="206"/>
      <c r="FC40" s="393"/>
      <c r="FD40" s="393"/>
      <c r="FE40" s="393"/>
      <c r="FF40" s="393"/>
      <c r="FG40" s="393"/>
      <c r="FH40" s="393"/>
      <c r="FI40" s="393"/>
      <c r="FJ40" s="393"/>
      <c r="FK40" s="393"/>
      <c r="FL40" s="393"/>
      <c r="FM40" s="393"/>
      <c r="FN40" s="206"/>
      <c r="FO40" s="206"/>
      <c r="FP40" s="393"/>
      <c r="FQ40" s="393"/>
      <c r="FR40" s="393"/>
      <c r="FS40" s="393"/>
      <c r="FT40" s="393"/>
      <c r="FU40" s="393"/>
      <c r="FV40" s="393"/>
      <c r="FW40" s="393"/>
      <c r="FX40" s="393"/>
      <c r="FY40" s="393"/>
      <c r="FZ40" s="393"/>
      <c r="GA40" s="206"/>
      <c r="GB40" s="206"/>
      <c r="GC40" s="393"/>
      <c r="GD40" s="393"/>
      <c r="GE40" s="393"/>
      <c r="GF40" s="393"/>
      <c r="GG40" s="393"/>
      <c r="GH40" s="393"/>
      <c r="GI40" s="393"/>
      <c r="GJ40" s="393"/>
      <c r="GK40" s="393"/>
      <c r="GL40" s="393"/>
      <c r="GM40" s="393"/>
      <c r="GN40" s="206"/>
      <c r="GO40" s="206"/>
      <c r="GP40" s="393"/>
      <c r="GQ40" s="393"/>
      <c r="GR40" s="393"/>
      <c r="GS40" s="393"/>
      <c r="GT40" s="393"/>
      <c r="GU40" s="393"/>
      <c r="GV40" s="393"/>
      <c r="GW40" s="393"/>
      <c r="GX40" s="393"/>
      <c r="GY40" s="393"/>
      <c r="GZ40" s="393"/>
      <c r="HA40" s="206"/>
      <c r="HB40" s="206"/>
      <c r="HC40" s="393"/>
      <c r="HD40" s="393"/>
      <c r="HE40" s="393"/>
      <c r="HF40" s="393"/>
      <c r="HG40" s="393"/>
      <c r="HH40" s="393"/>
      <c r="HI40" s="393"/>
      <c r="HJ40" s="393"/>
      <c r="HK40" s="393"/>
      <c r="HL40" s="393"/>
      <c r="HM40" s="393"/>
      <c r="HN40" s="206"/>
      <c r="HO40" s="206"/>
      <c r="HP40" s="393"/>
      <c r="HQ40" s="393"/>
      <c r="HR40" s="393"/>
      <c r="HS40" s="393"/>
      <c r="HT40" s="393"/>
      <c r="HU40" s="393"/>
      <c r="HV40" s="393"/>
      <c r="HW40" s="393"/>
      <c r="HX40" s="393"/>
      <c r="HY40" s="393"/>
      <c r="HZ40" s="393"/>
      <c r="IA40" s="206"/>
      <c r="IB40" s="206"/>
      <c r="IC40" s="393"/>
      <c r="ID40" s="393"/>
      <c r="IE40" s="393"/>
      <c r="IF40" s="393"/>
      <c r="IG40" s="393"/>
      <c r="IH40" s="393"/>
      <c r="II40" s="393"/>
      <c r="IJ40" s="393"/>
      <c r="IK40" s="393"/>
      <c r="IL40" s="393"/>
      <c r="IM40" s="393"/>
      <c r="IN40" s="206"/>
      <c r="IO40" s="206"/>
      <c r="IP40" s="393"/>
      <c r="IQ40" s="393"/>
      <c r="IR40" s="393"/>
      <c r="IS40" s="393"/>
      <c r="IT40" s="393"/>
      <c r="IU40" s="393"/>
      <c r="IV40" s="393"/>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390"/>
      <c r="D70" s="390"/>
      <c r="E70" s="390"/>
      <c r="F70" s="390"/>
      <c r="G70" s="390"/>
      <c r="H70" s="390"/>
      <c r="I70" s="390"/>
      <c r="J70" s="390"/>
      <c r="K70" s="390"/>
      <c r="L70" s="390"/>
      <c r="M70" s="391"/>
    </row>
    <row r="71" spans="1:13" ht="12" thickTop="1" x14ac:dyDescent="0.2">
      <c r="A71" s="207"/>
      <c r="B71" s="207"/>
      <c r="C71" s="208"/>
      <c r="D71" s="208"/>
      <c r="E71" s="208"/>
      <c r="F71" s="208"/>
      <c r="G71" s="208"/>
      <c r="H71" s="208"/>
      <c r="I71" s="208"/>
      <c r="J71" s="208"/>
      <c r="K71" s="208"/>
      <c r="L71" s="208"/>
    </row>
    <row r="72" spans="1:13" ht="12.75" x14ac:dyDescent="0.2">
      <c r="A72" s="392" t="s">
        <v>832</v>
      </c>
      <c r="B72" s="392"/>
      <c r="C72" s="392"/>
      <c r="D72" s="392"/>
      <c r="E72" s="392"/>
      <c r="F72" s="126"/>
      <c r="G72" s="126"/>
      <c r="H72" s="126"/>
      <c r="I72" s="126"/>
      <c r="J72" s="126"/>
      <c r="K72" s="126"/>
      <c r="L72" s="126"/>
      <c r="M72" s="126"/>
    </row>
    <row r="73" spans="1:13" x14ac:dyDescent="0.2">
      <c r="A73" s="209" t="s">
        <v>764</v>
      </c>
      <c r="B73" s="209" t="s">
        <v>765</v>
      </c>
      <c r="C73" s="387"/>
      <c r="D73" s="387"/>
      <c r="E73" s="387"/>
      <c r="F73" s="387"/>
      <c r="G73" s="387"/>
      <c r="H73" s="387"/>
      <c r="I73" s="387"/>
      <c r="J73" s="387"/>
      <c r="K73" s="387"/>
      <c r="L73" s="387"/>
      <c r="M73" s="387"/>
    </row>
    <row r="74" spans="1:13" x14ac:dyDescent="0.2">
      <c r="A74" s="210"/>
      <c r="B74" s="210"/>
      <c r="C74" s="387"/>
      <c r="D74" s="387"/>
      <c r="E74" s="387"/>
      <c r="F74" s="387"/>
      <c r="G74" s="387"/>
      <c r="H74" s="387"/>
      <c r="I74" s="387"/>
      <c r="J74" s="387"/>
      <c r="K74" s="387"/>
      <c r="L74" s="387"/>
      <c r="M74" s="387"/>
    </row>
    <row r="75" spans="1:13" x14ac:dyDescent="0.2">
      <c r="A75" s="210"/>
      <c r="B75" s="210"/>
      <c r="C75" s="387"/>
      <c r="D75" s="387"/>
      <c r="E75" s="387"/>
      <c r="F75" s="387"/>
      <c r="G75" s="387"/>
      <c r="H75" s="387"/>
      <c r="I75" s="387"/>
      <c r="J75" s="387"/>
      <c r="K75" s="387"/>
      <c r="L75" s="387"/>
      <c r="M75" s="387"/>
    </row>
    <row r="76" spans="1:13" x14ac:dyDescent="0.2">
      <c r="A76" s="210"/>
      <c r="B76" s="210"/>
      <c r="C76" s="387"/>
      <c r="D76" s="387"/>
      <c r="E76" s="387"/>
      <c r="F76" s="387"/>
      <c r="G76" s="387"/>
      <c r="H76" s="387"/>
      <c r="I76" s="387"/>
      <c r="J76" s="387"/>
      <c r="K76" s="387"/>
      <c r="L76" s="387"/>
      <c r="M76" s="387"/>
    </row>
    <row r="77" spans="1:13" x14ac:dyDescent="0.2">
      <c r="A77" s="210"/>
      <c r="B77" s="210"/>
      <c r="C77" s="387"/>
      <c r="D77" s="387"/>
      <c r="E77" s="387"/>
      <c r="F77" s="387"/>
      <c r="G77" s="387"/>
      <c r="H77" s="387"/>
      <c r="I77" s="387"/>
      <c r="J77" s="387"/>
      <c r="K77" s="387"/>
      <c r="L77" s="387"/>
      <c r="M77" s="387"/>
    </row>
    <row r="78" spans="1:13" x14ac:dyDescent="0.2">
      <c r="A78" s="210"/>
      <c r="B78" s="210"/>
      <c r="C78" s="387"/>
      <c r="D78" s="387"/>
      <c r="E78" s="387"/>
      <c r="F78" s="387"/>
      <c r="G78" s="387"/>
      <c r="H78" s="387"/>
      <c r="I78" s="387"/>
      <c r="J78" s="387"/>
      <c r="K78" s="387"/>
      <c r="L78" s="387"/>
      <c r="M78" s="387"/>
    </row>
    <row r="79" spans="1:13" x14ac:dyDescent="0.2">
      <c r="A79" s="210"/>
      <c r="B79" s="210"/>
      <c r="C79" s="387"/>
      <c r="D79" s="387"/>
      <c r="E79" s="387"/>
      <c r="F79" s="387"/>
      <c r="G79" s="387"/>
      <c r="H79" s="387"/>
      <c r="I79" s="387"/>
      <c r="J79" s="387"/>
      <c r="K79" s="387"/>
      <c r="L79" s="387"/>
      <c r="M79" s="387"/>
    </row>
    <row r="80" spans="1:13" x14ac:dyDescent="0.2">
      <c r="A80" s="210"/>
      <c r="B80" s="210"/>
      <c r="C80" s="387"/>
      <c r="D80" s="387"/>
      <c r="E80" s="387"/>
      <c r="F80" s="387"/>
      <c r="G80" s="387"/>
      <c r="H80" s="387"/>
      <c r="I80" s="387"/>
      <c r="J80" s="387"/>
      <c r="K80" s="387"/>
      <c r="L80" s="387"/>
      <c r="M80" s="387"/>
    </row>
    <row r="81" spans="1:13" x14ac:dyDescent="0.2">
      <c r="A81" s="210"/>
      <c r="B81" s="210"/>
      <c r="C81" s="387"/>
      <c r="D81" s="387"/>
      <c r="E81" s="387"/>
      <c r="F81" s="387"/>
      <c r="G81" s="387"/>
      <c r="H81" s="387"/>
      <c r="I81" s="387"/>
      <c r="J81" s="387"/>
      <c r="K81" s="387"/>
      <c r="L81" s="387"/>
      <c r="M81" s="387"/>
    </row>
    <row r="82" spans="1:13" x14ac:dyDescent="0.2">
      <c r="A82" s="210"/>
      <c r="B82" s="210"/>
      <c r="C82" s="387"/>
      <c r="D82" s="387"/>
      <c r="E82" s="387"/>
      <c r="F82" s="387"/>
      <c r="G82" s="387"/>
      <c r="H82" s="387"/>
      <c r="I82" s="387"/>
      <c r="J82" s="387"/>
      <c r="K82" s="387"/>
      <c r="L82" s="387"/>
      <c r="M82" s="387"/>
    </row>
    <row r="83" spans="1:13" x14ac:dyDescent="0.2">
      <c r="A83" s="210"/>
      <c r="B83" s="210"/>
      <c r="C83" s="387"/>
      <c r="D83" s="387"/>
      <c r="E83" s="387"/>
      <c r="F83" s="387"/>
      <c r="G83" s="387"/>
      <c r="H83" s="387"/>
      <c r="I83" s="387"/>
      <c r="J83" s="387"/>
      <c r="K83" s="387"/>
      <c r="L83" s="387"/>
      <c r="M83" s="387"/>
    </row>
    <row r="84" spans="1:13" x14ac:dyDescent="0.2">
      <c r="A84" s="210"/>
      <c r="B84" s="210"/>
      <c r="C84" s="387"/>
      <c r="D84" s="387"/>
      <c r="E84" s="387"/>
      <c r="F84" s="387"/>
      <c r="G84" s="387"/>
      <c r="H84" s="387"/>
      <c r="I84" s="387"/>
      <c r="J84" s="387"/>
      <c r="K84" s="387"/>
      <c r="L84" s="387"/>
      <c r="M84" s="387"/>
    </row>
    <row r="85" spans="1:13" x14ac:dyDescent="0.2">
      <c r="A85" s="210"/>
      <c r="B85" s="210"/>
      <c r="C85" s="387"/>
      <c r="D85" s="387"/>
      <c r="E85" s="387"/>
      <c r="F85" s="387"/>
      <c r="G85" s="387"/>
      <c r="H85" s="387"/>
      <c r="I85" s="387"/>
      <c r="J85" s="387"/>
      <c r="K85" s="387"/>
      <c r="L85" s="387"/>
      <c r="M85" s="387"/>
    </row>
    <row r="86" spans="1:13" x14ac:dyDescent="0.2">
      <c r="A86" s="210"/>
      <c r="B86" s="210"/>
      <c r="C86" s="387"/>
      <c r="D86" s="387"/>
      <c r="E86" s="387"/>
      <c r="F86" s="387"/>
      <c r="G86" s="387"/>
      <c r="H86" s="387"/>
      <c r="I86" s="387"/>
      <c r="J86" s="387"/>
      <c r="K86" s="387"/>
      <c r="L86" s="387"/>
      <c r="M86" s="387"/>
    </row>
    <row r="87" spans="1:13" x14ac:dyDescent="0.2">
      <c r="A87" s="210"/>
      <c r="B87" s="210"/>
      <c r="C87" s="387"/>
      <c r="D87" s="387"/>
      <c r="E87" s="387"/>
      <c r="F87" s="387"/>
      <c r="G87" s="387"/>
      <c r="H87" s="387"/>
      <c r="I87" s="387"/>
      <c r="J87" s="387"/>
      <c r="K87" s="387"/>
      <c r="L87" s="387"/>
      <c r="M87" s="387"/>
    </row>
    <row r="88" spans="1:13" x14ac:dyDescent="0.2">
      <c r="A88" s="210"/>
      <c r="B88" s="210"/>
      <c r="C88" s="387"/>
      <c r="D88" s="387"/>
      <c r="E88" s="387"/>
      <c r="F88" s="387"/>
      <c r="G88" s="387"/>
      <c r="H88" s="387"/>
      <c r="I88" s="387"/>
      <c r="J88" s="387"/>
      <c r="K88" s="387"/>
      <c r="L88" s="387"/>
      <c r="M88" s="387"/>
    </row>
    <row r="89" spans="1:13" x14ac:dyDescent="0.2">
      <c r="A89" s="210"/>
      <c r="B89" s="210"/>
      <c r="C89" s="387"/>
      <c r="D89" s="387"/>
      <c r="E89" s="387"/>
      <c r="F89" s="387"/>
      <c r="G89" s="387"/>
      <c r="H89" s="387"/>
      <c r="I89" s="387"/>
      <c r="J89" s="387"/>
      <c r="K89" s="387"/>
      <c r="L89" s="387"/>
      <c r="M89" s="387"/>
    </row>
    <row r="90" spans="1:13" x14ac:dyDescent="0.2">
      <c r="A90" s="210"/>
      <c r="B90" s="210"/>
      <c r="C90" s="387"/>
      <c r="D90" s="387"/>
      <c r="E90" s="387"/>
      <c r="F90" s="387"/>
      <c r="G90" s="387"/>
      <c r="H90" s="387"/>
      <c r="I90" s="387"/>
      <c r="J90" s="387"/>
      <c r="K90" s="387"/>
      <c r="L90" s="387"/>
      <c r="M90" s="387"/>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28</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43</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57</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f>IFERROR(SMALL($I$4:$I$325,ROWS($I$4:I5)),"")</f>
        <v>164</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f>IFERROR(SMALL($I$4:$I$325,ROWS($I$4:I6)),"")</f>
        <v>234</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f>IFERROR(SMALL($I$4:$I$325,ROWS($I$4:I7)),"")</f>
        <v>260</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f>IFERROR(SMALL($I$4:$I$325,ROWS($I$4:I8)),"")</f>
        <v>306</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f>IF('School Level Expenditures'!$B$2=A31,'School Tables'!H31,"")</f>
        <v>28</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f>IF('School Level Expenditures'!$B$2='School Tables'!L46,'School Tables'!S46,"")</f>
        <v>43</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f>IF('School Level Expenditures'!$B$2='School Tables'!W60,'School Tables'!AD60,"")</f>
        <v>57</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f>IF('School Level Expenditures'!$B$2=A167,'School Tables'!H167,"")</f>
        <v>164</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f>IF('School Level Expenditures'!$B$2=A237,'School Tables'!H237,"")</f>
        <v>234</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f>IF('School Level Expenditures'!$B$2=A263,'School Tables'!H263,"")</f>
        <v>260</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f>IF('School Level Expenditures'!$B$2=A309,'School Tables'!H309,"")</f>
        <v>306</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0571A22EEC1C7428E87E013D40CF161" ma:contentTypeVersion="15" ma:contentTypeDescription="Create a new document." ma:contentTypeScope="" ma:versionID="14595deeff7768e6dbe95ca5e3c0fe8d">
  <xsd:schema xmlns:xsd="http://www.w3.org/2001/XMLSchema" xmlns:xs="http://www.w3.org/2001/XMLSchema" xmlns:p="http://schemas.microsoft.com/office/2006/metadata/properties" xmlns:ns2="e10c9d99-3472-4092-b024-1e9134c86f41" xmlns:ns3="706f0e18-1265-46da-8557-a15a9e53d0bb" targetNamespace="http://schemas.microsoft.com/office/2006/metadata/properties" ma:root="true" ma:fieldsID="de1fbc6d926aa465f819dc15bec886da" ns2:_="" ns3:_="">
    <xsd:import namespace="e10c9d99-3472-4092-b024-1e9134c86f41"/>
    <xsd:import namespace="706f0e18-1265-46da-8557-a15a9e53d0b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Location" minOccurs="0"/>
                <xsd:element ref="ns2:MediaServiceGenerationTime" minOccurs="0"/>
                <xsd:element ref="ns2:MediaServiceEventHashCode" minOccurs="0"/>
                <xsd:element ref="ns2:MediaServiceAutoTags" minOccurs="0"/>
                <xsd:element ref="ns2:MediaServiceOCR"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0c9d99-3472-4092-b024-1e9134c86f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73093f1-590b-4b70-8555-b35eb674b5c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706f0e18-1265-46da-8557-a15a9e53d0b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40f42f8-1049-4a72-b822-986d0a89c6e2}" ma:internalName="TaxCatchAll" ma:showField="CatchAllData" ma:web="706f0e18-1265-46da-8557-a15a9e53d0b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e10c9d99-3472-4092-b024-1e9134c86f41">
      <Terms xmlns="http://schemas.microsoft.com/office/infopath/2007/PartnerControls"/>
    </lcf76f155ced4ddcb4097134ff3c332f>
    <TaxCatchAll xmlns="706f0e18-1265-46da-8557-a15a9e53d0b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375A1F-53B8-49CC-ACCA-19E5356EF3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0c9d99-3472-4092-b024-1e9134c86f41"/>
    <ds:schemaRef ds:uri="706f0e18-1265-46da-8557-a15a9e53d0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5C7DB6-D730-4C35-BBD8-9DFCBA60A63B}">
  <ds:schemaRefs>
    <ds:schemaRef ds:uri="http://www.w3.org/XML/1998/namespace"/>
    <ds:schemaRef ds:uri="http://schemas.microsoft.com/office/2006/documentManagement/types"/>
    <ds:schemaRef ds:uri="http://schemas.microsoft.com/office/2006/metadata/properties"/>
    <ds:schemaRef ds:uri="http://purl.org/dc/elements/1.1/"/>
    <ds:schemaRef ds:uri="http://schemas.microsoft.com/office/infopath/2007/PartnerControls"/>
    <ds:schemaRef ds:uri="e10c9d99-3472-4092-b024-1e9134c86f41"/>
    <ds:schemaRef ds:uri="http://purl.org/dc/dcmitype/"/>
    <ds:schemaRef ds:uri="http://purl.org/dc/terms/"/>
    <ds:schemaRef ds:uri="http://schemas.openxmlformats.org/package/2006/metadata/core-properties"/>
    <ds:schemaRef ds:uri="706f0e18-1265-46da-8557-a15a9e53d0bb"/>
  </ds:schemaRefs>
</ds:datastoreItem>
</file>

<file path=customXml/itemProps3.xml><?xml version="1.0" encoding="utf-8"?>
<ds:datastoreItem xmlns:ds="http://schemas.openxmlformats.org/officeDocument/2006/customXml" ds:itemID="{EFBFE3B0-CE2B-4C1F-AF9E-9AE763F6EA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2022-11-15T14:06:29Z</cp:lastPrinted>
  <dcterms:created xsi:type="dcterms:W3CDTF">1997-12-04T19:04:30Z</dcterms:created>
  <dcterms:modified xsi:type="dcterms:W3CDTF">2022-12-19T18:22:49Z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0x01010010571A22EEC1C7428E87E013D40CF161</vt:lpwstr>
  </property>
  <property fmtid="{D5CDD505-2E9C-101B-9397-08002B2CF9AE}" pid="3" name="MediaServiceImageTags">
    <vt:lpwstr/>
  </property>
</Properties>
</file>