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2A061F6-C1EB-47F7-903E-0F19D565202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D7" i="14"/>
  <c r="D26" i="14"/>
  <c r="D38" i="14"/>
  <c r="H155" i="1" l="1"/>
  <c r="E38" i="14" l="1"/>
  <c r="D9" i="13"/>
  <c r="I612" i="1" l="1"/>
  <c r="F613" i="1"/>
  <c r="I614" i="1"/>
  <c r="F614" i="1"/>
  <c r="F612" i="1"/>
  <c r="H585" i="1" l="1"/>
  <c r="H583" i="1"/>
  <c r="G583" i="1"/>
  <c r="F583" i="1"/>
  <c r="K568" i="1"/>
  <c r="I568" i="1"/>
  <c r="G568" i="1"/>
  <c r="F568" i="1"/>
  <c r="G563" i="1"/>
  <c r="J565" i="1"/>
  <c r="J564" i="1"/>
  <c r="J563" i="1"/>
  <c r="I565" i="1"/>
  <c r="I564" i="1"/>
  <c r="I563" i="1"/>
  <c r="H565" i="1"/>
  <c r="H564" i="1"/>
  <c r="H563" i="1"/>
  <c r="G565" i="1"/>
  <c r="G564" i="1"/>
  <c r="F565" i="1"/>
  <c r="F564" i="1"/>
  <c r="F563" i="1"/>
  <c r="I558" i="1" l="1"/>
  <c r="H558" i="1"/>
  <c r="G558" i="1"/>
  <c r="F558" i="1"/>
  <c r="F234" i="1"/>
  <c r="J605" i="1"/>
  <c r="I605" i="1"/>
  <c r="H605" i="1"/>
  <c r="J226" i="1" l="1"/>
  <c r="J592" i="1" l="1"/>
  <c r="I592" i="1"/>
  <c r="H592" i="1"/>
  <c r="J593" i="1"/>
  <c r="J595" i="1"/>
  <c r="I595" i="1"/>
  <c r="I593" i="1"/>
  <c r="H593" i="1"/>
  <c r="H539" i="1" l="1"/>
  <c r="H538" i="1"/>
  <c r="H537" i="1"/>
  <c r="G524" i="1"/>
  <c r="G523" i="1"/>
  <c r="G522" i="1"/>
  <c r="G534" i="1"/>
  <c r="G533" i="1"/>
  <c r="G532" i="1"/>
  <c r="G529" i="1"/>
  <c r="G528" i="1"/>
  <c r="G527" i="1"/>
  <c r="K534" i="1"/>
  <c r="K533" i="1"/>
  <c r="K532" i="1"/>
  <c r="I534" i="1"/>
  <c r="I533" i="1"/>
  <c r="I532" i="1"/>
  <c r="H534" i="1"/>
  <c r="H533" i="1"/>
  <c r="H532" i="1"/>
  <c r="F534" i="1"/>
  <c r="F533" i="1"/>
  <c r="F532" i="1"/>
  <c r="J529" i="1"/>
  <c r="J528" i="1"/>
  <c r="J527" i="1"/>
  <c r="I529" i="1"/>
  <c r="I528" i="1"/>
  <c r="I527" i="1"/>
  <c r="H529" i="1"/>
  <c r="H528" i="1"/>
  <c r="H527" i="1"/>
  <c r="F529" i="1"/>
  <c r="F528" i="1"/>
  <c r="F527" i="1"/>
  <c r="J524" i="1"/>
  <c r="J523" i="1"/>
  <c r="J522" i="1"/>
  <c r="I524" i="1"/>
  <c r="I523" i="1"/>
  <c r="I522" i="1"/>
  <c r="H524" i="1"/>
  <c r="H523" i="1"/>
  <c r="H522" i="1"/>
  <c r="F524" i="1"/>
  <c r="F523" i="1"/>
  <c r="F522" i="1"/>
  <c r="H544" i="1"/>
  <c r="K529" i="1"/>
  <c r="H543" i="1"/>
  <c r="H542" i="1"/>
  <c r="K243" i="1" l="1"/>
  <c r="K241" i="1"/>
  <c r="J246" i="1"/>
  <c r="J244" i="1"/>
  <c r="J241" i="1"/>
  <c r="J239" i="1"/>
  <c r="I246" i="1"/>
  <c r="I244" i="1"/>
  <c r="I243" i="1"/>
  <c r="I241" i="1"/>
  <c r="I240" i="1"/>
  <c r="I239" i="1"/>
  <c r="I235" i="1"/>
  <c r="H246" i="1"/>
  <c r="H245" i="1"/>
  <c r="H244" i="1"/>
  <c r="H241" i="1"/>
  <c r="H240" i="1"/>
  <c r="H239" i="1"/>
  <c r="H235" i="1"/>
  <c r="F246" i="1"/>
  <c r="F244" i="1"/>
  <c r="F243" i="1"/>
  <c r="F241" i="1"/>
  <c r="F239" i="1"/>
  <c r="F237" i="1"/>
  <c r="F235" i="1"/>
  <c r="K225" i="1"/>
  <c r="K223" i="1"/>
  <c r="J228" i="1"/>
  <c r="J223" i="1"/>
  <c r="J221" i="1"/>
  <c r="I228" i="1"/>
  <c r="I226" i="1"/>
  <c r="I225" i="1"/>
  <c r="I223" i="1"/>
  <c r="I222" i="1"/>
  <c r="I221" i="1"/>
  <c r="I217" i="1"/>
  <c r="H228" i="1"/>
  <c r="H227" i="1"/>
  <c r="H226" i="1"/>
  <c r="H223" i="1"/>
  <c r="H221" i="1"/>
  <c r="H217" i="1"/>
  <c r="F228" i="1"/>
  <c r="F226" i="1"/>
  <c r="F225" i="1"/>
  <c r="F223" i="1"/>
  <c r="F221" i="1"/>
  <c r="F219" i="1"/>
  <c r="F217" i="1"/>
  <c r="K207" i="1"/>
  <c r="K205" i="1"/>
  <c r="J210" i="1"/>
  <c r="J208" i="1"/>
  <c r="J205" i="1"/>
  <c r="J203" i="1"/>
  <c r="I210" i="1"/>
  <c r="I208" i="1"/>
  <c r="I207" i="1"/>
  <c r="I205" i="1"/>
  <c r="I204" i="1"/>
  <c r="I203" i="1"/>
  <c r="I199" i="1"/>
  <c r="H205" i="1"/>
  <c r="H210" i="1"/>
  <c r="H208" i="1"/>
  <c r="H209" i="1"/>
  <c r="H203" i="1"/>
  <c r="H199" i="1"/>
  <c r="F210" i="1"/>
  <c r="F208" i="1"/>
  <c r="F207" i="1"/>
  <c r="F205" i="1"/>
  <c r="F203" i="1"/>
  <c r="F201" i="1"/>
  <c r="F199" i="1"/>
  <c r="J224" i="1" l="1"/>
  <c r="F277" i="1" l="1"/>
  <c r="J301" i="1"/>
  <c r="J320" i="1"/>
  <c r="I320" i="1"/>
  <c r="H320" i="1"/>
  <c r="G320" i="1"/>
  <c r="F320" i="1"/>
  <c r="I301" i="1"/>
  <c r="H301" i="1"/>
  <c r="G301" i="1"/>
  <c r="F301" i="1"/>
  <c r="J282" i="1"/>
  <c r="I282" i="1"/>
  <c r="H282" i="1"/>
  <c r="G282" i="1"/>
  <c r="F282" i="1"/>
  <c r="I327" i="1"/>
  <c r="H326" i="1"/>
  <c r="J325" i="1"/>
  <c r="H325" i="1"/>
  <c r="H323" i="1"/>
  <c r="I321" i="1"/>
  <c r="H321" i="1"/>
  <c r="G321" i="1"/>
  <c r="F321" i="1"/>
  <c r="I318" i="1"/>
  <c r="K317" i="1"/>
  <c r="J316" i="1"/>
  <c r="I316" i="1"/>
  <c r="H316" i="1"/>
  <c r="G316" i="1"/>
  <c r="F316" i="1"/>
  <c r="J315" i="1"/>
  <c r="I315" i="1"/>
  <c r="H315" i="1"/>
  <c r="G315" i="1"/>
  <c r="F315" i="1"/>
  <c r="I308" i="1"/>
  <c r="H307" i="1"/>
  <c r="J306" i="1"/>
  <c r="H306" i="1"/>
  <c r="H304" i="1"/>
  <c r="I302" i="1"/>
  <c r="H302" i="1"/>
  <c r="G302" i="1"/>
  <c r="F302" i="1"/>
  <c r="I299" i="1"/>
  <c r="K298" i="1"/>
  <c r="I297" i="1"/>
  <c r="H297" i="1"/>
  <c r="G297" i="1"/>
  <c r="F297" i="1"/>
  <c r="J296" i="1"/>
  <c r="I296" i="1"/>
  <c r="H296" i="1"/>
  <c r="G296" i="1"/>
  <c r="F296" i="1"/>
  <c r="I289" i="1"/>
  <c r="H288" i="1"/>
  <c r="J287" i="1"/>
  <c r="H287" i="1"/>
  <c r="H285" i="1"/>
  <c r="I283" i="1"/>
  <c r="H283" i="1"/>
  <c r="G283" i="1"/>
  <c r="F283" i="1"/>
  <c r="I280" i="1"/>
  <c r="K279" i="1"/>
  <c r="J278" i="1"/>
  <c r="I278" i="1"/>
  <c r="H278" i="1"/>
  <c r="G278" i="1"/>
  <c r="F278" i="1"/>
  <c r="J277" i="1"/>
  <c r="I277" i="1"/>
  <c r="H277" i="1"/>
  <c r="G277" i="1"/>
  <c r="I326" i="1" l="1"/>
  <c r="I317" i="1"/>
  <c r="K321" i="1"/>
  <c r="K320" i="1"/>
  <c r="J322" i="1"/>
  <c r="J318" i="1"/>
  <c r="I322" i="1"/>
  <c r="H322" i="1"/>
  <c r="H317" i="1"/>
  <c r="G317" i="1"/>
  <c r="F317" i="1"/>
  <c r="F299" i="1"/>
  <c r="G284" i="1"/>
  <c r="K280" i="1"/>
  <c r="J283" i="1"/>
  <c r="F284" i="1"/>
  <c r="G244" i="1" l="1"/>
  <c r="G242" i="1"/>
  <c r="G240" i="1"/>
  <c r="G239" i="1"/>
  <c r="G237" i="1"/>
  <c r="G236" i="1"/>
  <c r="G235" i="1"/>
  <c r="G234" i="1"/>
  <c r="G226" i="1"/>
  <c r="G224" i="1"/>
  <c r="G223" i="1"/>
  <c r="G222" i="1"/>
  <c r="G221" i="1"/>
  <c r="G219" i="1"/>
  <c r="G217" i="1"/>
  <c r="G216" i="1"/>
  <c r="G208" i="1"/>
  <c r="G206" i="1"/>
  <c r="G205" i="1"/>
  <c r="G204" i="1"/>
  <c r="G203" i="1"/>
  <c r="G199" i="1"/>
  <c r="G198" i="1"/>
  <c r="K242" i="1" l="1"/>
  <c r="K239" i="1"/>
  <c r="K237" i="1"/>
  <c r="K236" i="1"/>
  <c r="K234" i="1"/>
  <c r="J240" i="1"/>
  <c r="J237" i="1"/>
  <c r="J236" i="1"/>
  <c r="J234" i="1"/>
  <c r="I242" i="1"/>
  <c r="I237" i="1"/>
  <c r="I236" i="1"/>
  <c r="I234" i="1"/>
  <c r="H242" i="1"/>
  <c r="H237" i="1"/>
  <c r="H236" i="1"/>
  <c r="H234" i="1"/>
  <c r="F242" i="1"/>
  <c r="F240" i="1"/>
  <c r="F236" i="1"/>
  <c r="K224" i="1"/>
  <c r="K219" i="1"/>
  <c r="K216" i="1"/>
  <c r="J219" i="1"/>
  <c r="J216" i="1"/>
  <c r="I224" i="1"/>
  <c r="I219" i="1"/>
  <c r="I216" i="1"/>
  <c r="H224" i="1"/>
  <c r="H222" i="1"/>
  <c r="H219" i="1"/>
  <c r="H216" i="1"/>
  <c r="F224" i="1"/>
  <c r="F222" i="1"/>
  <c r="F216" i="1"/>
  <c r="H206" i="1"/>
  <c r="H198" i="1"/>
  <c r="K206" i="1"/>
  <c r="K201" i="1"/>
  <c r="K198" i="1"/>
  <c r="J206" i="1"/>
  <c r="J204" i="1"/>
  <c r="J198" i="1"/>
  <c r="I206" i="1"/>
  <c r="I201" i="1"/>
  <c r="I198" i="1"/>
  <c r="H201" i="1"/>
  <c r="F206" i="1"/>
  <c r="F204" i="1"/>
  <c r="F198" i="1"/>
  <c r="H369" i="1"/>
  <c r="F369" i="1"/>
  <c r="G369" i="1"/>
  <c r="H368" i="1"/>
  <c r="G368" i="1"/>
  <c r="F368" i="1"/>
  <c r="I361" i="1"/>
  <c r="I359" i="1"/>
  <c r="I360" i="1"/>
  <c r="H359" i="1"/>
  <c r="H473" i="1" l="1"/>
  <c r="H469" i="1"/>
  <c r="H14" i="1"/>
  <c r="H12" i="1"/>
  <c r="H48" i="1"/>
  <c r="H466" i="1"/>
  <c r="H159" i="1"/>
  <c r="H156" i="1"/>
  <c r="H110" i="1"/>
  <c r="H98" i="1"/>
  <c r="H65" i="1"/>
  <c r="G158" i="1"/>
  <c r="G132" i="1"/>
  <c r="G97" i="1"/>
  <c r="J466" i="1" l="1"/>
  <c r="G458" i="1"/>
  <c r="G443" i="1"/>
  <c r="J469" i="1"/>
  <c r="J96" i="1" l="1"/>
  <c r="H9" i="1" l="1"/>
  <c r="H13" i="1"/>
  <c r="H22"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H655" i="1"/>
  <c r="H656" i="1"/>
  <c r="I170" i="1"/>
  <c r="I409" i="1" l="1"/>
  <c r="E112" i="2"/>
  <c r="J652" i="1"/>
  <c r="C120" i="2"/>
  <c r="C112" i="2"/>
  <c r="E121" i="2"/>
  <c r="E111" i="2"/>
  <c r="E13" i="13"/>
  <c r="C13" i="13" s="1"/>
  <c r="C12" i="10"/>
  <c r="C110" i="2"/>
  <c r="D15" i="13"/>
  <c r="C15" i="13" s="1"/>
  <c r="C119" i="2"/>
  <c r="C13" i="10"/>
  <c r="C121" i="2"/>
  <c r="D6" i="13"/>
  <c r="C6" i="13" s="1"/>
  <c r="A40" i="12"/>
  <c r="C32" i="10"/>
  <c r="G662" i="1"/>
  <c r="G409" i="1"/>
  <c r="H646" i="1" s="1"/>
  <c r="G62" i="2"/>
  <c r="G63" i="2" s="1"/>
  <c r="H477" i="1"/>
  <c r="H625" i="1" s="1"/>
  <c r="J625" i="1" s="1"/>
  <c r="G477"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E115" i="2"/>
  <c r="G24" i="14"/>
  <c r="H24" i="14" s="1"/>
  <c r="I24" i="14" s="1"/>
  <c r="E128" i="2"/>
  <c r="E145" i="2" s="1"/>
  <c r="F661" i="1"/>
  <c r="F665" i="1" s="1"/>
  <c r="F668" i="1" s="1"/>
  <c r="I663" i="1"/>
  <c r="C81" i="2"/>
  <c r="F194" i="1"/>
  <c r="G628" i="1" s="1"/>
  <c r="J628" i="1" s="1"/>
  <c r="E51" i="2"/>
  <c r="D51" i="2"/>
  <c r="H661" i="1"/>
  <c r="H665" i="1" s="1"/>
  <c r="H668" i="1" s="1"/>
  <c r="H194" i="1"/>
  <c r="G630" i="1" s="1"/>
  <c r="J630"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<sst xmlns="http://schemas.openxmlformats.org/spreadsheetml/2006/main" count="6508" uniqueCount="1804">
  <si>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</si>
  <si>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</si>
  <si>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</si>
  <si>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</si>
  <si>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</si>
  <si>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</si>
  <si>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</si>
  <si>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</si>
  <si>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</si>
  <si>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</si>
  <si>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</si>
  <si>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</si>
  <si>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</si>
  <si>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</si>
  <si>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</si>
  <si>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</si>
  <si>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</si>
  <si>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</si>
  <si>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</si>
  <si>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</si>
  <si>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</si>
  <si>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</si>
  <si>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</si>
  <si>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</si>
  <si>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</si>
  <si>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</si>
  <si>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</si>
  <si>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</si>
  <si>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</si>
  <si>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</si>
  <si>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</si>
  <si>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</si>
  <si>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</si>
  <si>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</si>
  <si>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</si>
  <si>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</si>
  <si>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</si>
  <si>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</si>
  <si>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</si>
  <si>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</si>
  <si>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</si>
  <si>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</si>
  <si>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</si>
  <si>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</si>
  <si>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</si>
  <si>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</si>
  <si>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</si>
  <si>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</si>
  <si>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</si>
  <si>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</si>
  <si>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</si>
  <si>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</si>
  <si>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</si>
  <si>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</si>
  <si>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</si>
  <si>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</si>
  <si>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</si>
  <si>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</si>
  <si>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</si>
  <si>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</si>
  <si>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</si>
  <si>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</si>
  <si>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</si>
  <si>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</si>
  <si>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</si>
  <si>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</si>
  <si>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</si>
  <si>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</si>
  <si>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</si>
  <si>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</si>
  <si>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</si>
  <si>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</si>
  <si>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</si>
  <si>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</si>
  <si>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</si>
  <si>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</si>
  <si>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</si>
  <si>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</si>
  <si>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</si>
  <si>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</si>
  <si>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</si>
  <si>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</si>
  <si>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</si>
  <si>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</si>
  <si>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</si>
  <si>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</si>
  <si>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</si>
  <si>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</si>
  <si>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</si>
  <si>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</si>
  <si>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</si>
  <si>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</si>
  <si>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</si>
  <si>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</si>
  <si>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</si>
  <si>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</si>
  <si>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</si>
  <si>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</si>
  <si>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</si>
  <si>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</si>
  <si>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</si>
  <si>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</si>
  <si>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</si>
  <si>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</si>
  <si>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</si>
  <si>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</si>
  <si>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</si>
  <si>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</si>
  <si>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</si>
  <si>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</si>
  <si>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</si>
  <si>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</si>
  <si>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</si>
  <si>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</si>
  <si>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</si>
  <si>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</si>
  <si>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</si>
  <si>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</si>
  <si>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</si>
  <si>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</si>
  <si>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</si>
  <si>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</si>
  <si>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</si>
  <si>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</si>
  <si>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</si>
  <si>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</si>
  <si>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</si>
  <si>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</si>
  <si>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</si>
  <si>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</si>
  <si>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</si>
  <si>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</si>
  <si>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</si>
  <si>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</si>
  <si>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</si>
  <si>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</si>
  <si>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</si>
  <si>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</si>
  <si>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</si>
  <si>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</si>
  <si>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</si>
  <si>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</si>
  <si>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</si>
  <si>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</si>
  <si>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</si>
  <si>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</si>
  <si>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</si>
  <si>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</si>
  <si>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</si>
  <si>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</si>
  <si>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</si>
  <si>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</si>
  <si>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</si>
  <si>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</si>
  <si>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</si>
  <si>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</si>
  <si>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</si>
  <si>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</si>
  <si>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</si>
  <si>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</si>
  <si>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</si>
  <si>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</si>
  <si>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</si>
  <si>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</si>
  <si>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</si>
  <si>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</si>
  <si>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</si>
  <si>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</si>
  <si>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</si>
  <si>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</si>
  <si>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</si>
  <si>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</si>
  <si>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</si>
  <si>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</si>
  <si>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</si>
  <si>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</si>
  <si>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</si>
  <si>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</si>
  <si>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</si>
  <si>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</si>
  <si>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</si>
  <si>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</si>
  <si>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</si>
  <si>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</si>
  <si>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</si>
  <si>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</si>
  <si>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</si>
  <si>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</si>
  <si>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</si>
  <si>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</si>
  <si>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</si>
  <si>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</si>
  <si>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</si>
  <si>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</si>
  <si>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</si>
  <si>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</si>
  <si>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</si>
  <si>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</si>
  <si>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</si>
  <si>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</si>
  <si>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</si>
  <si>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</si>
  <si>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</si>
  <si>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</si>
  <si>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</si>
  <si>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</si>
  <si>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</si>
  <si>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</si>
  <si>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</si>
  <si>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</si>
  <si>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</si>
  <si>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</si>
  <si>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</si>
  <si>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</si>
  <si>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</si>
  <si>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</si>
  <si>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</si>
  <si>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</si>
  <si>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</si>
  <si>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</si>
  <si>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</si>
  <si>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</si>
  <si>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</si>
  <si>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</si>
  <si>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</si>
  <si>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</si>
  <si>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</si>
  <si>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</si>
  <si>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</si>
  <si>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</si>
  <si>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</si>
  <si>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</si>
  <si>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</si>
  <si>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</si>
  <si>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</si>
  <si>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</si>
  <si>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</si>
  <si>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</si>
  <si>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</si>
  <si>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</si>
  <si>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</si>
  <si>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</si>
  <si>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</si>
  <si>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</si>
  <si>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</si>
  <si>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</si>
  <si>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</si>
  <si>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</si>
  <si>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</si>
  <si>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</si>
  <si>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</si>
  <si>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</si>
  <si>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</si>
  <si>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</si>
  <si>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</si>
  <si>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</si>
  <si>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</si>
  <si>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</si>
  <si>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</si>
  <si>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</si>
  <si>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</si>
  <si>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</si>
  <si>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</si>
  <si>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</si>
  <si>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</si>
  <si>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</si>
  <si>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</si>
  <si>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</si>
  <si>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</si>
  <si>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</si>
  <si>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</si>
  <si>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</si>
  <si>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</si>
  <si>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</si>
  <si>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</si>
  <si>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</si>
  <si>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</si>
  <si>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</si>
  <si>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</si>
  <si>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</si>
  <si>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</si>
  <si>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</si>
  <si>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</si>
  <si>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</si>
  <si>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</si>
  <si>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</si>
  <si>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</si>
  <si>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</si>
  <si>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</si>
  <si>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</si>
  <si>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</si>
  <si>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</si>
  <si>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</si>
  <si>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</si>
  <si>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</si>
  <si>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</si>
  <si>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</si>
  <si>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</si>
  <si>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</si>
  <si>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</si>
  <si>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</si>
  <si>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</si>
  <si>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</si>
  <si>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</si>
  <si>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</si>
  <si>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</si>
  <si>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</si>
  <si>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</si>
  <si>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</si>
  <si>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</si>
  <si>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</si>
  <si>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</si>
  <si>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</si>
  <si>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</si>
  <si>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</si>
  <si>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</si>
  <si>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</si>
  <si>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</si>
  <si>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</si>
  <si>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</si>
  <si>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</si>
  <si>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</si>
  <si>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</si>
  <si>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</si>
  <si>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</si>
  <si>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</si>
  <si>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</si>
  <si>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</si>
  <si>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</si>
  <si>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</si>
  <si>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</si>
  <si>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</si>
  <si>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</si>
  <si>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</si>
  <si>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</si>
  <si>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</si>
  <si>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</si>
  <si>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</si>
  <si>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</si>
  <si>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</si>
  <si>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</si>
  <si>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</si>
  <si>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</si>
  <si>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</si>
  <si>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</si>
  <si>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</si>
  <si>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</si>
  <si>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</si>
  <si>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</si>
  <si>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</si>
  <si>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</si>
  <si>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</si>
  <si>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</si>
  <si>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</si>
  <si>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</si>
  <si>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</si>
  <si>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</si>
  <si>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</si>
  <si>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</si>
  <si>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</si>
  <si>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</si>
  <si>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</si>
  <si>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</si>
  <si>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</si>
  <si>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</si>
  <si>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</si>
  <si>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</si>
  <si>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</si>
  <si>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</si>
  <si>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</si>
  <si>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</si>
  <si>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</si>
  <si>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</si>
  <si>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</si>
  <si>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</si>
  <si>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</si>
  <si>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</si>
  <si>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</si>
  <si>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</si>
  <si>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</si>
  <si>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</si>
  <si>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</si>
  <si>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</si>
  <si>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</si>
  <si>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</si>
  <si>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</si>
  <si>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</si>
  <si>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</si>
  <si>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</si>
  <si>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</si>
  <si>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</si>
  <si>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</si>
  <si>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</si>
  <si>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</si>
  <si>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</si>
  <si>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</si>
  <si>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</si>
  <si>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</si>
  <si>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</si>
  <si>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</si>
  <si>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</si>
  <si>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</si>
  <si>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</si>
  <si>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</si>
  <si>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</si>
  <si>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</si>
  <si>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</si>
  <si>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</si>
  <si>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</si>
  <si>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</si>
  <si>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</si>
  <si>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</si>
  <si>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</si>
  <si>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</si>
  <si>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</si>
  <si>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</si>
  <si>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</si>
  <si>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</si>
  <si>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</si>
  <si>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</si>
  <si>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</si>
  <si>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</si>
  <si>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</si>
  <si>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</si>
  <si>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</si>
  <si>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</si>
  <si>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</si>
  <si>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</si>
  <si>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</si>
  <si>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</si>
  <si>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</si>
  <si>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</si>
  <si>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</si>
  <si>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</si>
  <si>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</si>
  <si>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</si>
  <si>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</si>
  <si>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</si>
  <si>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</si>
  <si>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</si>
  <si>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</si>
  <si>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</si>
  <si>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</si>
  <si>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</si>
  <si>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</si>
  <si>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</si>
  <si>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</si>
  <si>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</si>
  <si>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</si>
  <si>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</si>
  <si>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</si>
  <si>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</si>
  <si>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</si>
  <si>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</si>
  <si>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</si>
  <si>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</si>
  <si>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</si>
  <si>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</si>
  <si>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</si>
  <si>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</si>
  <si>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</si>
  <si>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</si>
  <si>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</si>
  <si>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</si>
  <si>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</si>
  <si>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</si>
  <si>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</si>
  <si>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</si>
  <si>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</si>
  <si>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</si>
  <si>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</si>
  <si>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</si>
  <si>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</si>
  <si>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</si>
  <si>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</si>
  <si>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</si>
  <si>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</si>
  <si>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</si>
  <si>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</si>
  <si>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</si>
  <si>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</si>
  <si>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</si>
  <si>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</si>
  <si>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</si>
  <si>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</si>
  <si>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</si>
  <si>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</si>
  <si>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</si>
  <si>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</si>
  <si>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</si>
  <si>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</si>
  <si>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</si>
  <si>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</si>
  <si>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</si>
  <si>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</si>
  <si>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</si>
  <si>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</si>
  <si>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</si>
  <si>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</si>
  <si>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</si>
  <si>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</si>
  <si>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</si>
  <si>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</si>
  <si>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</si>
  <si>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</si>
  <si>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</si>
  <si>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</si>
  <si>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</si>
  <si>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</si>
  <si>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</si>
  <si>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</si>
  <si>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</si>
  <si>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</si>
  <si>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</si>
  <si>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</si>
  <si>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</si>
  <si>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</si>
  <si>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</si>
  <si>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</si>
  <si>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</si>
  <si>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</si>
  <si>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</si>
  <si>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</si>
  <si>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</si>
  <si>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</si>
  <si>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</si>
  <si>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</si>
  <si>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</si>
  <si>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</si>
  <si>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</si>
  <si>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</si>
  <si>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</si>
  <si>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</si>
  <si>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</si>
  <si>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</si>
  <si>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</si>
  <si>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</si>
  <si>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</si>
  <si>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</si>
  <si>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</si>
  <si>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</si>
  <si>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</si>
  <si>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</si>
  <si>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</si>
  <si>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</si>
  <si>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</si>
  <si>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</si>
  <si>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</si>
  <si>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</si>
  <si>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</si>
  <si>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</si>
  <si>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</si>
  <si>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</si>
  <si>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</si>
  <si>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</si>
  <si>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</si>
  <si>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</si>
  <si>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</si>
  <si>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</si>
  <si>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</si>
  <si>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</si>
  <si>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</si>
  <si>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</si>
  <si>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</si>
  <si>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</si>
  <si>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</si>
  <si>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</si>
  <si>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</si>
  <si>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</si>
  <si>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</si>
  <si>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</si>
  <si>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</si>
  <si>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</si>
  <si>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</si>
  <si>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</si>
  <si>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</si>
  <si>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</si>
  <si>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</si>
  <si>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</si>
  <si>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</si>
  <si>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</si>
  <si>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</si>
  <si>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</si>
  <si>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</si>
  <si>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</si>
  <si>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</si>
  <si>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</si>
  <si>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</si>
  <si>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</si>
  <si>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</si>
  <si>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</si>
  <si>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</si>
  <si>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</si>
  <si>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</si>
  <si>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</si>
  <si>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</si>
  <si>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</si>
  <si>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</si>
  <si>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</si>
  <si>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</si>
  <si>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</si>
  <si>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</si>
  <si>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</si>
  <si>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</si>
  <si>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</si>
  <si>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</si>
  <si>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</si>
  <si>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</si>
  <si>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</si>
  <si>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</si>
  <si>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</si>
  <si>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</si>
  <si>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</si>
  <si>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</si>
  <si>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</si>
  <si>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</si>
  <si>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</si>
  <si>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</si>
  <si>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</si>
  <si>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</si>
  <si>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</si>
  <si>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</si>
  <si>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</si>
  <si>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</si>
  <si>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</si>
  <si>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</si>
  <si>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</si>
  <si>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</si>
  <si>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</si>
  <si>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</si>
  <si>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</si>
  <si>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</si>
  <si>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</si>
  <si>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</si>
  <si>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</si>
  <si>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</si>
  <si>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</si>
  <si>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</si>
  <si>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</si>
  <si>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</si>
  <si>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</si>
  <si>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</si>
  <si>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</si>
  <si>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</si>
  <si>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</si>
  <si>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</si>
  <si>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</si>
  <si>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</si>
  <si>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</si>
  <si>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</si>
  <si>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</si>
  <si>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</si>
  <si>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</si>
  <si>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</si>
  <si>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</si>
  <si>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</si>
  <si>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</si>
  <si>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</si>
  <si>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</si>
  <si>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</si>
  <si>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</si>
  <si>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</si>
  <si>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</si>
  <si>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</si>
  <si>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</si>
  <si>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</si>
  <si>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</si>
  <si>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</si>
  <si>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</si>
  <si>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</si>
  <si>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</si>
  <si>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</si>
  <si>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</si>
  <si>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</si>
  <si>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</si>
  <si>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</si>
  <si>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</si>
  <si>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</si>
  <si>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</si>
  <si>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</si>
  <si>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</si>
  <si>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</si>
  <si>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</si>
  <si>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</si>
  <si>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</si>
  <si>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</si>
  <si>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</si>
  <si>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</si>
  <si>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</si>
  <si>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</si>
  <si>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</si>
  <si>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</si>
  <si>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</si>
  <si>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</si>
  <si>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</si>
  <si>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</si>
  <si>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</si>
  <si>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</si>
  <si>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</si>
  <si>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</si>
  <si>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</si>
  <si>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</si>
  <si>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</si>
  <si>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</si>
  <si>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</si>
  <si>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</si>
  <si>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</si>
  <si>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</si>
  <si>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</si>
  <si>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</si>
  <si>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</si>
  <si>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</si>
  <si>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</si>
  <si>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</si>
  <si>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</si>
  <si>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</si>
  <si>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</si>
  <si>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</si>
  <si>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</si>
  <si>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</si>
  <si>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</si>
  <si>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</si>
  <si>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</si>
  <si>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</si>
  <si>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</si>
  <si>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</si>
  <si>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</si>
  <si>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</si>
  <si>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</si>
  <si>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</si>
  <si>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</si>
  <si>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</si>
  <si>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</si>
  <si>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</si>
  <si>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</si>
  <si>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</si>
  <si>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</si>
  <si>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</si>
  <si>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</si>
  <si>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</si>
  <si>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</si>
  <si>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</si>
  <si>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</si>
  <si>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</si>
  <si>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</si>
  <si>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</si>
  <si>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</si>
  <si>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</si>
  <si>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</si>
  <si>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</si>
  <si>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</si>
  <si>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</si>
  <si>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</si>
  <si>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</si>
  <si>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</si>
  <si>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</si>
  <si>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</si>
  <si>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</si>
  <si>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</si>
  <si>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</si>
  <si>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</si>
  <si>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</si>
  <si>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</si>
  <si>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</si>
  <si>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</si>
  <si>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</si>
  <si>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</si>
  <si>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</si>
  <si>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</si>
  <si>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</si>
  <si>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</si>
  <si>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</si>
  <si>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</si>
  <si>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</si>
  <si>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</si>
  <si>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</si>
  <si>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</si>
  <si>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</si>
  <si>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</si>
  <si>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</si>
  <si>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</si>
  <si>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</si>
  <si>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</si>
  <si>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</si>
  <si>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</si>
  <si>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</si>
  <si>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</si>
  <si>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</si>
  <si>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</si>
  <si>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</si>
  <si>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</si>
  <si>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</si>
  <si>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</si>
  <si>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</si>
  <si>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</si>
  <si>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</si>
  <si>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</si>
  <si>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</si>
  <si>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</si>
  <si>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</si>
  <si>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</si>
  <si>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</si>
  <si>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</si>
  <si>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</si>
  <si>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</si>
  <si>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</si>
  <si>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</si>
  <si>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</si>
  <si>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</si>
  <si>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</si>
  <si>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</si>
  <si>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</si>
  <si>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</si>
  <si>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</si>
  <si>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</si>
  <si>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</si>
  <si>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</si>
  <si>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</si>
  <si>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</si>
  <si>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</si>
  <si>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</si>
  <si>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</si>
  <si>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</si>
  <si>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</si>
  <si>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</si>
  <si>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</si>
  <si>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</si>
  <si>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</si>
  <si>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</si>
  <si>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</si>
  <si>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</si>
  <si>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</si>
  <si>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</si>
  <si>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</si>
  <si>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</si>
  <si>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</si>
  <si>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</si>
  <si>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</si>
  <si>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</si>
  <si>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</si>
  <si>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</si>
  <si>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</si>
  <si>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</si>
  <si>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</si>
  <si>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</si>
  <si>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</si>
  <si>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</si>
  <si>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</si>
  <si>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</si>
  <si>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</si>
  <si>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</si>
  <si>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</si>
  <si>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</si>
  <si>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</si>
  <si>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</si>
  <si>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</si>
  <si>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</si>
  <si>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</si>
  <si>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</si>
  <si>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</si>
  <si>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</si>
  <si>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</si>
  <si>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</si>
  <si>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</si>
  <si>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</si>
  <si>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</si>
  <si>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</si>
  <si>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</si>
  <si>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</si>
  <si>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</si>
  <si>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</si>
  <si>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</si>
  <si>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</si>
  <si>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</si>
  <si>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</si>
  <si>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</si>
  <si>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</si>
  <si>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</si>
  <si>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</si>
  <si>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</si>
  <si>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</si>
  <si>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</si>
  <si>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</si>
  <si>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</si>
  <si>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</si>
  <si>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</si>
  <si>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</si>
  <si>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</si>
  <si>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</si>
  <si>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</si>
  <si>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</si>
  <si>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</si>
  <si>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</si>
  <si>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</si>
  <si>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</si>
  <si>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</si>
  <si>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</si>
  <si>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</si>
  <si>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</si>
  <si>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</si>
  <si>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</si>
  <si>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</si>
  <si>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</si>
  <si>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</si>
  <si>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</si>
  <si>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</si>
  <si>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</si>
  <si>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</si>
  <si>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</si>
  <si>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</si>
  <si>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</si>
  <si>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</si>
  <si>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</si>
  <si>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</si>
  <si>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</si>
  <si>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</si>
  <si>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</si>
  <si>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</si>
  <si>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</si>
  <si>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</si>
  <si>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</si>
  <si>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</si>
  <si>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</si>
  <si>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</si>
  <si>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</si>
  <si>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</si>
  <si>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</si>
  <si>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</si>
  <si>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</si>
  <si>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</si>
  <si>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</si>
  <si>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</si>
  <si>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</si>
  <si>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</si>
  <si>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</si>
  <si>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</si>
  <si>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</si>
  <si>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</si>
  <si>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</si>
  <si>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</si>
  <si>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</si>
  <si>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</si>
  <si>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</si>
  <si>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</si>
  <si>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</si>
  <si>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</si>
  <si>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</si>
  <si>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</si>
  <si>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</si>
  <si>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</si>
  <si>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</si>
  <si>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</si>
  <si>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</si>
  <si>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</si>
  <si>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</si>
  <si>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</si>
  <si>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</si>
  <si>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</si>
  <si>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</si>
  <si>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</si>
  <si>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</si>
  <si>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</si>
  <si>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</si>
  <si>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</si>
  <si>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</si>
  <si>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</si>
  <si>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</si>
  <si>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</si>
  <si>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</si>
  <si>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</si>
  <si>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</si>
  <si>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</si>
  <si>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</si>
  <si>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</si>
  <si>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</si>
  <si>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</si>
  <si>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</si>
  <si>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</si>
  <si>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</si>
  <si>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</si>
  <si>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</si>
  <si>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</si>
  <si>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</si>
  <si>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</si>
  <si>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</si>
  <si>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</si>
  <si>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</si>
  <si>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</si>
  <si>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</si>
  <si>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</si>
  <si>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</si>
  <si>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</si>
  <si>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</si>
  <si>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</si>
  <si>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</si>
  <si>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</si>
  <si>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</si>
  <si>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</si>
  <si>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</si>
  <si>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</si>
  <si>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</si>
  <si>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</si>
  <si>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</si>
  <si>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</si>
  <si>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</si>
  <si>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</si>
  <si>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</si>
  <si>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</si>
  <si>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</si>
  <si>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</si>
  <si>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</si>
  <si>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</si>
  <si>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</si>
  <si>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</si>
  <si>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</si>
  <si>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</si>
  <si>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</si>
  <si>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</si>
  <si>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</si>
  <si>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</si>
  <si>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</si>
  <si>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</si>
  <si>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</si>
  <si>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</si>
  <si>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</si>
  <si>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</si>
  <si>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</si>
  <si>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</si>
  <si>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</si>
  <si>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</si>
  <si>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</si>
  <si>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</si>
  <si>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</si>
  <si>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</si>
  <si>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</si>
  <si>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</si>
  <si>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</si>
  <si>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</si>
  <si>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</si>
  <si>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</si>
  <si>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</si>
  <si>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</si>
  <si>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</si>
  <si>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</si>
  <si>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</si>
  <si>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</si>
  <si>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</si>
  <si>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</si>
  <si>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</si>
  <si>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</si>
  <si>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</si>
  <si>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</si>
  <si>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</si>
  <si>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</si>
  <si>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</si>
  <si>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</si>
  <si>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</si>
  <si>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</si>
  <si>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</si>
  <si>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</si>
  <si>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</si>
  <si>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</si>
  <si>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</si>
  <si>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</si>
  <si>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</si>
  <si>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</si>
  <si>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</si>
  <si>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</si>
  <si>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</si>
  <si>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</si>
  <si>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</si>
  <si>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</si>
  <si>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</si>
  <si>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</si>
  <si>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</si>
  <si>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</si>
  <si>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</si>
  <si>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</si>
  <si>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</si>
  <si>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</si>
  <si>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</si>
  <si>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</si>
  <si>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</si>
  <si>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</si>
  <si>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</si>
  <si>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</si>
  <si>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</si>
  <si>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</si>
  <si>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</si>
  <si>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</si>
  <si>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</si>
  <si>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</si>
  <si>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</si>
  <si>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</si>
  <si>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</si>
  <si>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</si>
  <si>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</si>
  <si>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</si>
  <si>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</si>
  <si>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</si>
  <si>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</si>
  <si>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</si>
  <si>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</si>
  <si>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</si>
  <si>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</si>
  <si>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</si>
  <si>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</si>
  <si>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</si>
  <si>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</si>
  <si>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</si>
  <si>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</si>
  <si>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</si>
  <si>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</si>
  <si>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</si>
  <si>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</si>
  <si>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</si>
  <si>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</si>
  <si>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</si>
  <si>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</si>
  <si>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</si>
  <si>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</si>
  <si>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</si>
  <si>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</si>
  <si>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</si>
  <si>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</si>
  <si>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</si>
  <si>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</si>
  <si>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</si>
  <si>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</si>
  <si>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</si>
  <si>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</si>
  <si>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</si>
  <si>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</si>
  <si>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</si>
  <si>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</si>
  <si>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</si>
  <si>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</si>
  <si>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</si>
  <si>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</si>
  <si>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</si>
  <si>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</si>
  <si>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</si>
  <si>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</si>
  <si>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</si>
  <si>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</si>
  <si>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</si>
  <si>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</si>
  <si>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</si>
  <si>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</si>
  <si>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</si>
  <si>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</si>
  <si>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</si>
  <si>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</si>
  <si>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</si>
  <si>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</si>
  <si>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</si>
  <si>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</si>
  <si>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</si>
  <si>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</si>
  <si>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</si>
  <si>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</si>
  <si>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</si>
  <si>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</si>
  <si>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</si>
  <si>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</si>
  <si>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</si>
  <si>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</si>
  <si>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</si>
  <si>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</si>
  <si>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</si>
  <si>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</si>
  <si>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</si>
  <si>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</si>
  <si>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</si>
  <si>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</si>
  <si>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</si>
  <si>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</si>
  <si>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</si>
  <si>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</si>
  <si>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</si>
  <si>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</si>
  <si>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</si>
  <si>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</si>
  <si>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</si>
  <si>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</si>
  <si>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</si>
  <si>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</si>
  <si>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</si>
  <si>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</si>
  <si>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</si>
  <si>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</si>
  <si>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</si>
  <si>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</si>
  <si>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</si>
  <si>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</si>
  <si>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</si>
  <si>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</si>
  <si>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</si>
  <si>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</si>
  <si>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</si>
  <si>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</si>
  <si>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</si>
  <si>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</si>
  <si>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</si>
  <si>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</si>
  <si>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</si>
  <si>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</si>
  <si>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</si>
  <si>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</si>
  <si>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</si>
  <si>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</si>
  <si>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</si>
  <si>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</si>
  <si>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</si>
  <si>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</si>
  <si>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</si>
  <si>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</si>
  <si>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</si>
  <si>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</si>
  <si>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</si>
  <si>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</si>
  <si>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</si>
  <si>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</si>
  <si>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</si>
  <si>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</si>
  <si>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</si>
  <si>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</si>
  <si>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</si>
  <si>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</si>
  <si>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</si>
  <si>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</si>
  <si>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</si>
  <si>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</si>
  <si>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</si>
  <si>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</si>
  <si>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</si>
  <si>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</si>
  <si>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</si>
  <si>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</si>
  <si>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</si>
  <si>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</si>
  <si>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</si>
  <si>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</si>
  <si>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</si>
  <si>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</si>
  <si>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</si>
  <si>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</si>
  <si>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</si>
  <si>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</si>
  <si>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</si>
  <si>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</si>
  <si>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</si>
  <si>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</si>
  <si>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</si>
  <si>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</si>
  <si>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</si>
  <si>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</si>
  <si>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</si>
  <si>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</si>
  <si>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</si>
  <si>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</si>
  <si>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</si>
  <si>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</si>
  <si>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</si>
  <si>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</si>
  <si>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</si>
  <si>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</si>
  <si>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</si>
  <si>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</si>
  <si>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</si>
  <si>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</si>
  <si>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</si>
  <si>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</si>
  <si>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</si>
  <si>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</si>
  <si>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</si>
  <si>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</si>
  <si>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</si>
  <si>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</si>
  <si>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</si>
  <si>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</si>
  <si>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</si>
  <si>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</si>
  <si>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</si>
  <si>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</si>
  <si>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</si>
  <si>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</si>
  <si>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</si>
  <si>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</si>
  <si>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</si>
  <si>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</si>
  <si>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</si>
  <si>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</si>
  <si>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</si>
  <si>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</si>
  <si>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</si>
  <si>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</si>
  <si>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</si>
  <si>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</si>
  <si>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</si>
  <si>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</si>
  <si>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</si>
  <si>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</si>
  <si>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</si>
  <si>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</si>
  <si>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</si>
  <si>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</si>
  <si>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</si>
  <si>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</si>
  <si>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</si>
  <si>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</si>
  <si>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</si>
  <si>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</si>
  <si>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</si>
  <si>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</si>
  <si>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</si>
  <si>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</si>
  <si>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</si>
  <si>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</si>
  <si>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</si>
  <si>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</si>
  <si>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</si>
  <si>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</si>
  <si>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</si>
  <si>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</si>
  <si>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</si>
  <si>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</si>
  <si>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</si>
  <si>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</si>
  <si>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</si>
  <si>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</si>
  <si>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</si>
  <si>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</si>
  <si>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</si>
  <si>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</si>
  <si>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</si>
  <si>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</si>
  <si>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</si>
  <si>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</si>
  <si>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</si>
  <si>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</si>
  <si>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</si>
  <si>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</si>
  <si>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</si>
  <si>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</si>
  <si>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</si>
  <si>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</si>
  <si>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</si>
  <si>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</si>
  <si>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</si>
  <si>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</si>
  <si>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</si>
  <si>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</si>
  <si>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</si>
  <si>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</si>
  <si>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</si>
  <si>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</si>
  <si>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</si>
  <si>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</si>
  <si>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</si>
  <si>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</si>
  <si>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</si>
  <si>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</si>
  <si>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</si>
  <si>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</si>
  <si>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</si>
  <si>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</si>
  <si>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</si>
  <si>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</si>
  <si>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</si>
  <si>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</si>
  <si>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</si>
  <si>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</si>
  <si>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</si>
  <si>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</si>
  <si>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</si>
  <si>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</si>
  <si>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</si>
  <si>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</si>
  <si>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</si>
  <si>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</si>
  <si>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</si>
  <si>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</si>
  <si>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</si>
  <si>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</si>
  <si>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</si>
  <si>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</si>
  <si>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</si>
  <si>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</si>
  <si>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</si>
  <si>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</si>
  <si>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</si>
  <si>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</si>
  <si>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</si>
  <si>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</si>
  <si>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</si>
  <si>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</si>
  <si>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</si>
  <si>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</si>
  <si>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</si>
  <si>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</si>
  <si>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</si>
  <si>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</si>
  <si>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</si>
  <si>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</si>
  <si>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</si>
  <si>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</si>
  <si>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</si>
  <si>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</si>
  <si>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</si>
  <si>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</si>
  <si>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</si>
  <si>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</si>
  <si>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</si>
  <si>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</si>
  <si>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</si>
  <si>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</si>
  <si>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</si>
  <si>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</si>
  <si>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</si>
  <si>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</si>
  <si>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</si>
  <si>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</si>
  <si>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</si>
  <si>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</si>
  <si>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</si>
  <si>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</si>
  <si>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</si>
  <si>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</si>
  <si>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</si>
  <si>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</si>
  <si>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</si>
  <si>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</si>
  <si>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</si>
  <si>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</si>
  <si>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</si>
  <si>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</si>
  <si>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</si>
  <si>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</si>
  <si>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</si>
  <si>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</si>
  <si>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</si>
  <si>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</si>
  <si>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</si>
  <si>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</si>
  <si>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</si>
  <si>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</si>
  <si>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</si>
  <si>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</si>
  <si>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</si>
  <si>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</si>
  <si>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</si>
  <si>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</si>
  <si>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</si>
  <si>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</si>
  <si>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</si>
  <si>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</si>
  <si>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</si>
  <si>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</si>
  <si>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</si>
  <si>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</si>
  <si>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</si>
  <si>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</si>
  <si>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</si>
  <si>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</si>
  <si>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</si>
  <si>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</si>
  <si>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</si>
  <si>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</si>
  <si>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</si>
  <si>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</si>
  <si>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</si>
  <si>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</si>
  <si>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</si>
  <si>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</si>
  <si>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</si>
  <si>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</si>
  <si>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</si>
  <si>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</si>
  <si>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</si>
  <si>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</si>
  <si>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</si>
  <si>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</si>
  <si>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</si>
  <si>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</si>
  <si>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</si>
  <si>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</si>
  <si>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</si>
  <si>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</si>
  <si>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</si>
  <si>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</si>
  <si>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</si>
  <si>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</si>
  <si>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</si>
  <si>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</si>
  <si>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</si>
  <si>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</si>
  <si>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</si>
  <si>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</si>
  <si>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</si>
  <si>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</si>
  <si>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</si>
  <si>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</si>
  <si>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</si>
  <si>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</si>
  <si>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</si>
  <si>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</si>
  <si>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</si>
  <si>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</si>
  <si>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</si>
  <si>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</si>
  <si>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</si>
  <si>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</si>
  <si>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</si>
  <si>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</si>
  <si>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</si>
  <si>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</si>
  <si>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</si>
  <si>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</si>
  <si>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</si>
  <si>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</si>
  <si>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</si>
  <si>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</si>
  <si>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</si>
  <si>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</si>
  <si>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</si>
  <si>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</si>
  <si>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</si>
  <si>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</si>
  <si>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</si>
  <si>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</si>
  <si>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</si>
  <si>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</si>
  <si>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</si>
  <si>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</si>
  <si>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</si>
  <si>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</si>
  <si>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</si>
  <si>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</si>
  <si>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</si>
  <si>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</si>
  <si>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</si>
  <si>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</si>
  <si>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</si>
  <si>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</si>
  <si>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</si>
  <si>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</si>
  <si>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</si>
  <si>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</si>
  <si>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</si>
  <si>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</si>
  <si>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</si>
  <si>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</si>
  <si>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</si>
  <si>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</si>
  <si>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</si>
  <si>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</si>
  <si>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</si>
  <si>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</si>
  <si>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</si>
  <si>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</si>
  <si>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</si>
  <si>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</si>
  <si>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</si>
  <si>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</si>
  <si>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</si>
  <si>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</si>
  <si>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</si>
  <si>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</si>
  <si>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</si>
  <si>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</si>
  <si>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</si>
  <si>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</si>
  <si>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</si>
  <si>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</si>
  <si>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</si>
  <si>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</si>
  <si>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</si>
  <si>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</si>
  <si>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</si>
  <si>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</si>
  <si>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</si>
  <si>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</si>
  <si>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</si>
  <si>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</si>
  <si>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</si>
  <si>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</si>
  <si>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</si>
  <si>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</si>
  <si>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</si>
  <si>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</si>
  <si>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</si>
  <si>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</si>
  <si>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</si>
  <si>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</si>
  <si>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</si>
  <si>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</si>
  <si>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</si>
  <si>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</si>
  <si>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</si>
  <si>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</si>
  <si>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</si>
  <si>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</si>
  <si>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</si>
  <si>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</si>
  <si>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</si>
  <si>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</si>
  <si>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</si>
  <si>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</si>
  <si>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</si>
  <si>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</si>
  <si>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</si>
  <si>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</si>
  <si>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</si>
  <si>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</si>
  <si>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</si>
  <si>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</si>
  <si>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</si>
  <si>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</si>
  <si>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</si>
  <si>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</si>
  <si>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</si>
  <si>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</si>
  <si>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</si>
  <si>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</si>
  <si>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</si>
  <si>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</si>
  <si>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</si>
  <si>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</si>
  <si>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</si>
  <si>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</si>
  <si>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</si>
  <si>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</si>
  <si>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</si>
  <si>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</si>
  <si>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</si>
  <si>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</si>
  <si>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</si>
  <si>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</si>
  <si>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</si>
  <si>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</si>
  <si>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</si>
  <si>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</si>
  <si>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</si>
  <si>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</si>
  <si>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</si>
  <si>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</si>
  <si>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</si>
  <si>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</si>
  <si>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</si>
  <si>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</si>
  <si>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</si>
  <si>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</si>
  <si>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</si>
  <si>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</si>
  <si>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</si>
  <si>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</si>
  <si>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</si>
  <si>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</si>
  <si>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</si>
  <si>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</si>
  <si>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</si>
  <si>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</si>
  <si>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</si>
  <si>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</si>
  <si>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</si>
  <si>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</si>
  <si>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</si>
  <si>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</si>
  <si>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</si>
  <si>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</si>
  <si>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</si>
  <si>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</si>
  <si>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</si>
  <si>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</si>
  <si>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</si>
  <si>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</si>
  <si>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</si>
  <si>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</si>
  <si>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</si>
  <si>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</si>
  <si>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</si>
  <si>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</si>
  <si>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</si>
  <si>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</si>
  <si>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</si>
  <si>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</si>
  <si>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</si>
  <si>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</si>
  <si>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</si>
  <si>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</si>
  <si>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</si>
  <si>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</si>
  <si>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</si>
  <si>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</si>
  <si>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</si>
  <si>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</si>
  <si>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</si>
  <si>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</si>
  <si>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</si>
  <si>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</si>
  <si>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</si>
  <si>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</si>
  <si>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</si>
  <si>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</si>
  <si>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</si>
  <si>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</si>
  <si>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</si>
  <si>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</si>
  <si>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</si>
  <si>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</si>
  <si>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</si>
  <si>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</si>
  <si>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</si>
  <si>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</si>
  <si>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</si>
  <si>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</si>
  <si>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</si>
  <si>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</si>
  <si>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</si>
  <si>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</si>
  <si>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</si>
  <si>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</si>
  <si>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</si>
  <si>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</si>
  <si>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</si>
  <si>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</si>
  <si>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</si>
  <si>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</si>
  <si>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</si>
  <si>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</si>
  <si>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</si>
  <si>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</si>
  <si>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</si>
  <si>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</si>
  <si>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</si>
  <si>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</si>
  <si>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</si>
  <si>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</si>
  <si>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</si>
  <si>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</si>
  <si>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</si>
  <si>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</si>
  <si>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</si>
  <si>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</si>
  <si>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</si>
  <si>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</si>
  <si>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</si>
  <si>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</si>
  <si>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</si>
  <si>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</si>
  <si>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</si>
  <si>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</si>
  <si>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</si>
  <si>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</si>
  <si>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</si>
  <si>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</si>
  <si>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</si>
  <si>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</si>
  <si>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</si>
  <si>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</si>
  <si>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</si>
  <si>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</si>
  <si>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</si>
  <si>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</si>
  <si>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</si>
  <si>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</si>
  <si>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</si>
  <si>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</si>
  <si>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</si>
  <si>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</si>
  <si>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</si>
  <si>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</si>
  <si>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</si>
  <si>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</si>
  <si>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</si>
  <si>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</si>
  <si>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</si>
  <si>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</si>
  <si>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</si>
  <si>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</si>
  <si>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</si>
  <si>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</si>
  <si>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</si>
  <si>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</si>
  <si>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</si>
  <si>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</si>
  <si>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</si>
  <si>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</si>
  <si>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</si>
  <si>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</si>
  <si>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</si>
  <si>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</si>
  <si>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</si>
  <si>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</si>
  <si>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</si>
  <si>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</si>
  <si>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</si>
  <si>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</si>
  <si>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</si>
  <si>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</si>
  <si>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</si>
  <si>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Fund 70 - removed FY21 fair value allocation amount</t>
  </si>
  <si>
    <t>Fair value not reported in FY22 Fund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</si>
</sst>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50" zoomScaleNormal="15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1262</v>
      </c>
      <c r="B2" s="126">
        <f>INDEX('School Tables'!$AH$3:$AH$208,MATCH('DOE25'!A2,'School Tables'!$AJ$3:$AJ$208,0))</f>
        <v>357</v>
      </c>
      <c r="C2" s="126">
        <f>INDEX('School Tables'!$AI$3:$AI$208,MATCH('DOE25'!A2,'School Tables'!$AJ$3:$AJ$208,0))</f>
        <v>357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2123974.5</v>
      </c>
      <c r="G9" s="18">
        <v>365</v>
      </c>
      <c r="H9" s="18">
        <f>288155.53</f>
        <v>288155.53000000003</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247118.32</v>
      </c>
      <c r="G12" s="18">
        <v>204731.94</v>
      </c>
      <c r="H12" s="18">
        <f>47700.27+768.22</f>
        <v>48468.49</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560079.52</v>
      </c>
      <c r="G13" s="18">
        <v>298294.90999999997</v>
      </c>
      <c r="H13" s="18">
        <f>247118.32+1498.38</f>
        <v>248616.7</v>
      </c>
      <c r="I13" s="18"/>
      <c r="J13" s="67">
        <f>SUM(I443)</f>
        <v>767522</v>
      </c>
      <c r="K13" s="24" t="s">
        <v>288</v>
      </c>
      <c r="L13" s="24" t="s">
        <v>288</v>
      </c>
      <c r="M13" s="8"/>
      <c r="N13" s="265"/>
    </row>
    <row r="14" spans="1:14" s="3" customFormat="1" ht="12.2" customHeight="1" x14ac:dyDescent="0.15">
      <c r="A14" s="1" t="s">
        <v>565</v>
      </c>
      <c r="B14" s="2" t="s">
        <v>289</v>
      </c>
      <c r="C14" s="6">
        <v>6</v>
      </c>
      <c r="D14" s="2" t="s">
        <v>428</v>
      </c>
      <c r="E14" s="6">
        <v>150</v>
      </c>
      <c r="F14" s="18">
        <v>5426.74</v>
      </c>
      <c r="G14" s="18"/>
      <c r="H14" s="18">
        <f>3110</f>
        <v>3110</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28078.13</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2964677.21</v>
      </c>
      <c r="G19" s="41">
        <f>SUM(G9:G18)</f>
        <v>503391.85</v>
      </c>
      <c r="H19" s="41">
        <f>SUM(H9:H18)</f>
        <v>588350.71999999997</v>
      </c>
      <c r="I19" s="41">
        <f>SUM(I9:I18)</f>
        <v>0</v>
      </c>
      <c r="J19" s="41">
        <f>SUM(J9:J18)</f>
        <v>767522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253200.43</v>
      </c>
      <c r="G22" s="18"/>
      <c r="H22" s="18">
        <f>247118.32</f>
        <v>247118.32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692443.11</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129532.03</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32952.53</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1075175.57</v>
      </c>
      <c r="G32" s="41">
        <f>SUM(G22:G31)</f>
        <v>32952.53</v>
      </c>
      <c r="H32" s="41">
        <f>SUM(H22:H31)</f>
        <v>247118.32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28078.13</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737103.5</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30418.5</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470439.32</v>
      </c>
      <c r="H48" s="18">
        <f>49198.65+288155.53+3878.22</f>
        <v>341232.4</v>
      </c>
      <c r="I48" s="18"/>
      <c r="J48" s="13">
        <f>SUM(I460)</f>
        <v>0</v>
      </c>
      <c r="K48" s="24" t="s">
        <v>288</v>
      </c>
      <c r="L48" s="24" t="s">
        <v>288</v>
      </c>
      <c r="M48" s="8"/>
      <c r="N48" s="265"/>
    </row>
    <row r="49" spans="1:14" s="3" customFormat="1" ht="12.2" customHeight="1" x14ac:dyDescent="0.15">
      <c r="A49" s="1" t="s">
        <v>859</v>
      </c>
      <c r="B49" s="2" t="s">
        <v>289</v>
      </c>
      <c r="C49" s="6">
        <v>34</v>
      </c>
      <c r="D49" s="2"/>
      <c r="E49" s="6">
        <v>753</v>
      </c>
      <c r="F49" s="18">
        <v>322544</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1488879.51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1889501.6400000001</v>
      </c>
      <c r="G51" s="41">
        <f>SUM(G35:G50)</f>
        <v>470439.32</v>
      </c>
      <c r="H51" s="41">
        <f>SUM(H35:H50)</f>
        <v>341232.4</v>
      </c>
      <c r="I51" s="41">
        <f>SUM(I35:I50)</f>
        <v>0</v>
      </c>
      <c r="J51" s="41">
        <f>SUM(J35:J50)</f>
        <v>767522</v>
      </c>
      <c r="K51" s="45" t="s">
        <v>288</v>
      </c>
      <c r="L51" s="45" t="s">
        <v>288</v>
      </c>
      <c r="N51" s="263"/>
    </row>
    <row r="52" spans="1:14" s="3" customFormat="1" ht="12.2" customHeight="1" thickTop="1" x14ac:dyDescent="0.15">
      <c r="A52" s="38" t="s">
        <v>455</v>
      </c>
      <c r="B52" s="39" t="s">
        <v>289</v>
      </c>
      <c r="C52" s="6">
        <v>37</v>
      </c>
      <c r="D52" s="39" t="s">
        <v>653</v>
      </c>
      <c r="E52" s="39"/>
      <c r="F52" s="41">
        <f>F51+F32</f>
        <v>2964677.21</v>
      </c>
      <c r="G52" s="41">
        <f>G51+G32</f>
        <v>503391.85</v>
      </c>
      <c r="H52" s="41">
        <f>H51+H32</f>
        <v>588350.71999999997</v>
      </c>
      <c r="I52" s="41">
        <f>I51+I32</f>
        <v>0</v>
      </c>
      <c r="J52" s="41">
        <f>J51+J32</f>
        <v>767522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27868549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27868549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17200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f>82330</f>
        <v>82330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842062.5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257965.55</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14441.38</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1131669.43</v>
      </c>
      <c r="G79" s="45" t="s">
        <v>288</v>
      </c>
      <c r="H79" s="41">
        <f>SUM(H63:H78)</f>
        <v>82330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5246.95</v>
      </c>
      <c r="G96" s="18"/>
      <c r="H96" s="18"/>
      <c r="I96" s="18"/>
      <c r="J96" s="18">
        <f>31465.16</f>
        <v>31465.16</v>
      </c>
      <c r="K96" s="24" t="s">
        <v>288</v>
      </c>
      <c r="L96" s="24" t="s">
        <v>288</v>
      </c>
      <c r="M96" s="8"/>
      <c r="N96" s="265"/>
    </row>
    <row r="97" spans="1:14" s="3" customFormat="1" ht="12.2" customHeight="1" x14ac:dyDescent="0.15">
      <c r="A97" s="1" t="s">
        <v>503</v>
      </c>
      <c r="B97" s="2" t="s">
        <v>315</v>
      </c>
      <c r="C97" s="6">
        <v>12</v>
      </c>
      <c r="D97" s="2" t="s">
        <v>430</v>
      </c>
      <c r="E97" s="6">
        <v>1600</v>
      </c>
      <c r="F97" s="24" t="s">
        <v>288</v>
      </c>
      <c r="G97" s="18">
        <f>32371.9+44342.01+31611.36</f>
        <v>108325.27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f>296341.67</f>
        <v>296341.67</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4440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v>45830.26</v>
      </c>
      <c r="H102" s="18">
        <v>0</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26755.66</v>
      </c>
      <c r="G110" s="18"/>
      <c r="H110" s="18">
        <f>4668.38</f>
        <v>4668.38</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36442.61</v>
      </c>
      <c r="G111" s="41">
        <f>SUM(G96:G110)</f>
        <v>154155.53</v>
      </c>
      <c r="H111" s="41">
        <f>SUM(H96:H110)</f>
        <v>301010.05</v>
      </c>
      <c r="I111" s="41">
        <f>SUM(I96:I110)</f>
        <v>0</v>
      </c>
      <c r="J111" s="41">
        <f>SUM(J96:J110)</f>
        <v>31465.16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29036661.039999999</v>
      </c>
      <c r="G112" s="41">
        <f>G60+G111</f>
        <v>154155.53</v>
      </c>
      <c r="H112" s="41">
        <f>H60+H79+H94+H111</f>
        <v>383340.05</v>
      </c>
      <c r="I112" s="41">
        <f>I60+I111</f>
        <v>0</v>
      </c>
      <c r="J112" s="41">
        <f>J60+J111</f>
        <v>31465.16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7799861.6500000004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3216970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2943.33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11019774.98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68497.5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360085.05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50927.01</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8125.5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5854.12+2909.59</f>
        <v>8763.7099999999991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487635.06</v>
      </c>
      <c r="G136" s="41">
        <f>SUM(G123:G135)</f>
        <v>8763.7099999999991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11507410.040000001</v>
      </c>
      <c r="G140" s="41">
        <f>G121+SUM(G136:G137)</f>
        <v>8763.7099999999991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266916.09000000003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100347.91+25051.63+6392.74</f>
        <v>131792.28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f>2562.44+87460.93</f>
        <v>90023.37</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777918.88+246959.57</f>
        <v>1024878.45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669611.57</f>
        <v>669611.56999999995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59570.68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694714.23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59570.68</v>
      </c>
      <c r="G163" s="41">
        <f>SUM(G150:G162)</f>
        <v>1024878.45</v>
      </c>
      <c r="H163" s="41">
        <f>SUM(H150:H162)</f>
        <v>1853057.54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59570.68</v>
      </c>
      <c r="G170" s="41">
        <f>G147+G163+SUM(G164:G169)</f>
        <v>1024878.45</v>
      </c>
      <c r="H170" s="41">
        <f>H147+H163+SUM(H164:H169)</f>
        <v>1853057.54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195800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195800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v>35000</v>
      </c>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35000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35000</v>
      </c>
      <c r="G193" s="41">
        <f>G184+SUM(G189:G192)</f>
        <v>0</v>
      </c>
      <c r="H193" s="41">
        <f>+H184+SUM(H189:H192)</f>
        <v>0</v>
      </c>
      <c r="I193" s="41">
        <f>I178+I184+SUM(I189:I192)</f>
        <v>0</v>
      </c>
      <c r="J193" s="41">
        <f>J184</f>
        <v>195800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40638641.759999998</v>
      </c>
      <c r="G194" s="47">
        <f>G112+G140+G170+G193</f>
        <v>1187797.69</v>
      </c>
      <c r="H194" s="47">
        <f>H112+H140+H170+H193</f>
        <v>2236397.59</v>
      </c>
      <c r="I194" s="47">
        <f>I112+I140+I170+I193</f>
        <v>0</v>
      </c>
      <c r="J194" s="47">
        <f>J112+J140+J193</f>
        <v>227265.16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3912641.91</f>
        <v>3912641.91</v>
      </c>
      <c r="G198" s="18">
        <f>2670259.97</f>
        <v>2670259.9700000002</v>
      </c>
      <c r="H198" s="18">
        <f>3738.36</f>
        <v>3738.36</v>
      </c>
      <c r="I198" s="18">
        <f>128797.18</f>
        <v>128797.18</v>
      </c>
      <c r="J198" s="18">
        <f>6825.45</f>
        <v>6825.45</v>
      </c>
      <c r="K198" s="18">
        <f>290</f>
        <v>290</v>
      </c>
      <c r="L198" s="19">
        <f>SUM(F198:K198)</f>
        <v>6722552.870000001</v>
      </c>
      <c r="M198" s="8"/>
      <c r="N198" s="265"/>
    </row>
    <row r="199" spans="1:14" s="3" customFormat="1" ht="12.2" customHeight="1" x14ac:dyDescent="0.15">
      <c r="A199" s="1" t="s">
        <v>439</v>
      </c>
      <c r="B199" s="2" t="s">
        <v>341</v>
      </c>
      <c r="C199" s="2" t="s">
        <v>291</v>
      </c>
      <c r="D199" s="2" t="s">
        <v>431</v>
      </c>
      <c r="E199" s="6">
        <v>1200</v>
      </c>
      <c r="F199" s="18">
        <f>1473691.65+144448.04</f>
        <v>1618139.69</v>
      </c>
      <c r="G199" s="18">
        <f>1030626.66</f>
        <v>1030626.66</v>
      </c>
      <c r="H199" s="18">
        <f>294173.34+83140.92</f>
        <v>377314.26</v>
      </c>
      <c r="I199" s="18">
        <f>9175.91+328.19</f>
        <v>9504.1</v>
      </c>
      <c r="J199" s="18"/>
      <c r="K199" s="18"/>
      <c r="L199" s="19">
        <f>SUM(F199:K199)</f>
        <v>3035584.7100000004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1000+390</f>
        <v>1390</v>
      </c>
      <c r="G201" s="18"/>
      <c r="H201" s="18">
        <f>12500</f>
        <v>12500</v>
      </c>
      <c r="I201" s="18">
        <f>751.41</f>
        <v>751.41</v>
      </c>
      <c r="J201" s="18"/>
      <c r="K201" s="18">
        <f>1361.79</f>
        <v>1361.79</v>
      </c>
      <c r="L201" s="19">
        <f>SUM(F201:K201)</f>
        <v>16003.2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494996.48+610142.56</f>
        <v>1105139.04</v>
      </c>
      <c r="G203" s="18">
        <f>327926.66</f>
        <v>327926.65999999997</v>
      </c>
      <c r="H203" s="18">
        <f>77480.55+55329.3</f>
        <v>132809.85</v>
      </c>
      <c r="I203" s="18">
        <f>6806.4+7838.9</f>
        <v>14645.3</v>
      </c>
      <c r="J203" s="18">
        <f>965.34+6006.95</f>
        <v>6972.29</v>
      </c>
      <c r="K203" s="18"/>
      <c r="L203" s="19">
        <f t="shared" ref="L203:L209" si="0">SUM(F203:K203)</f>
        <v>1587493.1400000001</v>
      </c>
      <c r="M203" s="8"/>
      <c r="N203" s="265"/>
    </row>
    <row r="204" spans="1:14" s="3" customFormat="1" ht="12.2" customHeight="1" x14ac:dyDescent="0.15">
      <c r="A204" s="1" t="s">
        <v>443</v>
      </c>
      <c r="B204" s="2" t="s">
        <v>341</v>
      </c>
      <c r="C204" s="2" t="s">
        <v>295</v>
      </c>
      <c r="D204" s="2" t="s">
        <v>431</v>
      </c>
      <c r="E204" s="6">
        <v>2200</v>
      </c>
      <c r="F204" s="18">
        <f>142563.5</f>
        <v>142563.5</v>
      </c>
      <c r="G204" s="18">
        <f>93693.33</f>
        <v>93693.33</v>
      </c>
      <c r="H204" s="18"/>
      <c r="I204" s="18">
        <f>7851.68+52650.68</f>
        <v>60502.36</v>
      </c>
      <c r="J204" s="18">
        <f>2870.98</f>
        <v>2870.98</v>
      </c>
      <c r="K204" s="18"/>
      <c r="L204" s="19">
        <f t="shared" si="0"/>
        <v>299630.17</v>
      </c>
      <c r="M204" s="8"/>
      <c r="N204" s="265"/>
    </row>
    <row r="205" spans="1:14" s="3" customFormat="1" ht="12.2" customHeight="1" x14ac:dyDescent="0.15">
      <c r="A205" s="1" t="s">
        <v>444</v>
      </c>
      <c r="B205" s="2" t="s">
        <v>341</v>
      </c>
      <c r="C205" s="2" t="s">
        <v>296</v>
      </c>
      <c r="D205" s="2" t="s">
        <v>431</v>
      </c>
      <c r="E205" s="6">
        <v>2300</v>
      </c>
      <c r="F205" s="18">
        <f>110177.88+335113.2</f>
        <v>445291.08</v>
      </c>
      <c r="G205" s="18">
        <f>93000</f>
        <v>93000</v>
      </c>
      <c r="H205" s="18">
        <f>95032.94</f>
        <v>95032.94</v>
      </c>
      <c r="I205" s="18">
        <f>6657.53</f>
        <v>6657.53</v>
      </c>
      <c r="J205" s="18">
        <f>3255.03</f>
        <v>3255.03</v>
      </c>
      <c r="K205" s="18">
        <f>6130.21</f>
        <v>6130.21</v>
      </c>
      <c r="L205" s="19">
        <f t="shared" si="0"/>
        <v>649366.79</v>
      </c>
      <c r="M205" s="8"/>
      <c r="N205" s="265"/>
    </row>
    <row r="206" spans="1:14" s="3" customFormat="1" ht="12.2" customHeight="1" x14ac:dyDescent="0.15">
      <c r="A206" s="1" t="s">
        <v>445</v>
      </c>
      <c r="B206" s="2" t="s">
        <v>341</v>
      </c>
      <c r="C206" s="2" t="s">
        <v>297</v>
      </c>
      <c r="D206" s="2" t="s">
        <v>431</v>
      </c>
      <c r="E206" s="6">
        <v>2400</v>
      </c>
      <c r="F206" s="18">
        <f>479818.35</f>
        <v>479818.35</v>
      </c>
      <c r="G206" s="18">
        <f>330000</f>
        <v>330000</v>
      </c>
      <c r="H206" s="18">
        <f>1327</f>
        <v>1327</v>
      </c>
      <c r="I206" s="18">
        <f>7954.18</f>
        <v>7954.18</v>
      </c>
      <c r="J206" s="18">
        <f>165</f>
        <v>165</v>
      </c>
      <c r="K206" s="18">
        <f>2057</f>
        <v>2057</v>
      </c>
      <c r="L206" s="19">
        <f t="shared" si="0"/>
        <v>821321.53</v>
      </c>
      <c r="M206" s="8"/>
      <c r="N206" s="265"/>
    </row>
    <row r="207" spans="1:14" s="3" customFormat="1" ht="12.2" customHeight="1" x14ac:dyDescent="0.15">
      <c r="A207" s="1" t="s">
        <v>446</v>
      </c>
      <c r="B207" s="2" t="s">
        <v>341</v>
      </c>
      <c r="C207" s="2" t="s">
        <v>298</v>
      </c>
      <c r="D207" s="2" t="s">
        <v>431</v>
      </c>
      <c r="E207" s="6">
        <v>2500</v>
      </c>
      <c r="F207" s="18">
        <f>162494.66</f>
        <v>162494.66</v>
      </c>
      <c r="G207" s="18"/>
      <c r="H207" s="18"/>
      <c r="I207" s="18">
        <f>23799.74</f>
        <v>23799.74</v>
      </c>
      <c r="J207" s="18"/>
      <c r="K207" s="18">
        <f>189.15</f>
        <v>189.15</v>
      </c>
      <c r="L207" s="19">
        <f t="shared" si="0"/>
        <v>186483.55</v>
      </c>
      <c r="M207" s="8"/>
      <c r="N207" s="265"/>
    </row>
    <row r="208" spans="1:14" s="3" customFormat="1" ht="12.2" customHeight="1" x14ac:dyDescent="0.15">
      <c r="A208" s="1" t="s">
        <v>447</v>
      </c>
      <c r="B208" s="2" t="s">
        <v>341</v>
      </c>
      <c r="C208" s="2" t="s">
        <v>299</v>
      </c>
      <c r="D208" s="2" t="s">
        <v>431</v>
      </c>
      <c r="E208" s="6">
        <v>2600</v>
      </c>
      <c r="F208" s="18">
        <f>220688.91+135937.56</f>
        <v>356626.47</v>
      </c>
      <c r="G208" s="18">
        <f>139160</f>
        <v>139160</v>
      </c>
      <c r="H208" s="18">
        <f>547184.05+198942.64</f>
        <v>746126.69000000006</v>
      </c>
      <c r="I208" s="18">
        <f>288651.98+82158.31</f>
        <v>370810.29</v>
      </c>
      <c r="J208" s="18">
        <f>198408+38576.66</f>
        <v>236984.66</v>
      </c>
      <c r="K208" s="18"/>
      <c r="L208" s="19">
        <f t="shared" si="0"/>
        <v>1849708.11</v>
      </c>
      <c r="M208" s="8"/>
      <c r="N208" s="265"/>
    </row>
    <row r="209" spans="1:14" s="3" customFormat="1" ht="12.2" customHeight="1" x14ac:dyDescent="0.15">
      <c r="A209" s="1" t="s">
        <v>448</v>
      </c>
      <c r="B209" s="2" t="s">
        <v>341</v>
      </c>
      <c r="C209" s="2" t="s">
        <v>300</v>
      </c>
      <c r="D209" s="2" t="s">
        <v>431</v>
      </c>
      <c r="E209" s="6">
        <v>2700</v>
      </c>
      <c r="F209" s="18"/>
      <c r="G209" s="18"/>
      <c r="H209" s="18">
        <f>242814.17+493533.19</f>
        <v>736347.36</v>
      </c>
      <c r="I209" s="18"/>
      <c r="J209" s="18"/>
      <c r="K209" s="18"/>
      <c r="L209" s="19">
        <f t="shared" si="0"/>
        <v>736347.36</v>
      </c>
      <c r="M209" s="8"/>
      <c r="N209" s="265"/>
    </row>
    <row r="210" spans="1:14" s="3" customFormat="1" ht="12.2" customHeight="1" x14ac:dyDescent="0.15">
      <c r="A210" s="1" t="s">
        <v>449</v>
      </c>
      <c r="B210" s="2" t="s">
        <v>341</v>
      </c>
      <c r="C210" s="2" t="s">
        <v>343</v>
      </c>
      <c r="D210" s="2" t="s">
        <v>431</v>
      </c>
      <c r="E210" s="6">
        <v>2800</v>
      </c>
      <c r="F210" s="18">
        <f>125064.7+158740.69</f>
        <v>283805.39</v>
      </c>
      <c r="G210" s="18"/>
      <c r="H210" s="18">
        <f>69184.67</f>
        <v>69184.67</v>
      </c>
      <c r="I210" s="18">
        <f>12119.33</f>
        <v>12119.33</v>
      </c>
      <c r="J210" s="18">
        <f>75509.65</f>
        <v>75509.649999999994</v>
      </c>
      <c r="K210" s="18"/>
      <c r="L210" s="19">
        <f>SUM(F210:K210)</f>
        <v>440619.04000000004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8507910.0899999999</v>
      </c>
      <c r="G212" s="41">
        <f t="shared" si="1"/>
        <v>4684666.620000001</v>
      </c>
      <c r="H212" s="41">
        <f t="shared" si="1"/>
        <v>2174381.13</v>
      </c>
      <c r="I212" s="41">
        <f t="shared" si="1"/>
        <v>635541.41999999993</v>
      </c>
      <c r="J212" s="41">
        <f t="shared" si="1"/>
        <v>332583.06</v>
      </c>
      <c r="K212" s="41">
        <f t="shared" si="1"/>
        <v>10028.15</v>
      </c>
      <c r="L212" s="41">
        <f t="shared" si="1"/>
        <v>16345110.470000003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2655893.52</f>
        <v>2655893.52</v>
      </c>
      <c r="G216" s="18">
        <f>1793201.96</f>
        <v>1793201.96</v>
      </c>
      <c r="H216" s="18">
        <f>2658.02</f>
        <v>2658.02</v>
      </c>
      <c r="I216" s="18">
        <f>51769.54</f>
        <v>51769.54</v>
      </c>
      <c r="J216" s="18">
        <f>7520.25</f>
        <v>7520.25</v>
      </c>
      <c r="K216" s="18">
        <f>596</f>
        <v>596</v>
      </c>
      <c r="L216" s="19">
        <f>SUM(F216:K216)</f>
        <v>4511639.29</v>
      </c>
      <c r="M216" s="8"/>
      <c r="N216" s="265"/>
    </row>
    <row r="217" spans="1:14" s="3" customFormat="1" ht="12.2" customHeight="1" x14ac:dyDescent="0.15">
      <c r="A217" s="1" t="s">
        <v>439</v>
      </c>
      <c r="B217" s="2" t="s">
        <v>346</v>
      </c>
      <c r="C217" s="2" t="s">
        <v>291</v>
      </c>
      <c r="D217" s="2" t="s">
        <v>431</v>
      </c>
      <c r="E217" s="6">
        <v>1200</v>
      </c>
      <c r="F217" s="18">
        <f>627901.02+128503.35</f>
        <v>756404.37</v>
      </c>
      <c r="G217" s="18">
        <f>382157.79</f>
        <v>382157.79</v>
      </c>
      <c r="H217" s="18">
        <f>157464.94+53576.23</f>
        <v>211041.17</v>
      </c>
      <c r="I217" s="18">
        <f>1670.45+459.46</f>
        <v>2129.91</v>
      </c>
      <c r="J217" s="18"/>
      <c r="K217" s="18"/>
      <c r="L217" s="19">
        <f>SUM(F217:K217)</f>
        <v>1351733.2399999998</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43267.61+280</f>
        <v>43547.61</v>
      </c>
      <c r="G219" s="18">
        <f>29396.75</f>
        <v>29396.75</v>
      </c>
      <c r="H219" s="18">
        <f>17323.43</f>
        <v>17323.43</v>
      </c>
      <c r="I219" s="18">
        <f>5324.13</f>
        <v>5324.13</v>
      </c>
      <c r="J219" s="18">
        <f>2993</f>
        <v>2993</v>
      </c>
      <c r="K219" s="18">
        <f>4205.99</f>
        <v>4205.99</v>
      </c>
      <c r="L219" s="19">
        <f>SUM(F219:K219)</f>
        <v>102790.91000000002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301157.83+278067.51</f>
        <v>579225.34000000008</v>
      </c>
      <c r="G221" s="18">
        <f>176380.52</f>
        <v>176380.52</v>
      </c>
      <c r="H221" s="18">
        <f>75+81681.7</f>
        <v>81756.7</v>
      </c>
      <c r="I221" s="18">
        <f>4537.03+1518.56</f>
        <v>6055.59</v>
      </c>
      <c r="J221" s="18">
        <f>3805.93</f>
        <v>3805.93</v>
      </c>
      <c r="K221" s="18"/>
      <c r="L221" s="19">
        <f t="shared" ref="L221:L227" si="2">SUM(F221:K221)</f>
        <v>847224.08000000007</v>
      </c>
      <c r="M221" s="8"/>
      <c r="N221" s="265"/>
    </row>
    <row r="222" spans="1:14" s="3" customFormat="1" ht="12.2" customHeight="1" x14ac:dyDescent="0.15">
      <c r="A222" s="1" t="s">
        <v>443</v>
      </c>
      <c r="B222" s="2" t="s">
        <v>346</v>
      </c>
      <c r="C222" s="2" t="s">
        <v>295</v>
      </c>
      <c r="D222" s="2" t="s">
        <v>431</v>
      </c>
      <c r="E222" s="6">
        <v>2200</v>
      </c>
      <c r="F222" s="18">
        <f>82343.74</f>
        <v>82343.740000000005</v>
      </c>
      <c r="G222" s="18">
        <f>59500</f>
        <v>59500</v>
      </c>
      <c r="H222" s="18">
        <f>390</f>
        <v>390</v>
      </c>
      <c r="I222" s="18">
        <f>5199.73+37800.49</f>
        <v>43000.22</v>
      </c>
      <c r="J222" s="18"/>
      <c r="K222" s="18"/>
      <c r="L222" s="19">
        <f t="shared" si="2"/>
        <v>185233.96</v>
      </c>
      <c r="M222" s="8"/>
      <c r="N222" s="265"/>
    </row>
    <row r="223" spans="1:14" s="3" customFormat="1" ht="12.2" customHeight="1" x14ac:dyDescent="0.15">
      <c r="A223" s="1" t="s">
        <v>444</v>
      </c>
      <c r="B223" s="2" t="s">
        <v>346</v>
      </c>
      <c r="C223" s="2" t="s">
        <v>296</v>
      </c>
      <c r="D223" s="2" t="s">
        <v>431</v>
      </c>
      <c r="E223" s="6">
        <v>2300</v>
      </c>
      <c r="F223" s="18">
        <f>88740+225684.71</f>
        <v>314424.70999999996</v>
      </c>
      <c r="G223" s="18">
        <f>58793.51</f>
        <v>58793.51</v>
      </c>
      <c r="H223" s="18">
        <f>67990.78</f>
        <v>67990.78</v>
      </c>
      <c r="I223" s="18">
        <f>4645.25</f>
        <v>4645.25</v>
      </c>
      <c r="J223" s="18">
        <f>2336.94</f>
        <v>2336.94</v>
      </c>
      <c r="K223" s="18">
        <f>4342.11</f>
        <v>4342.1099999999997</v>
      </c>
      <c r="L223" s="19">
        <f t="shared" si="2"/>
        <v>452533.3</v>
      </c>
      <c r="M223" s="8"/>
      <c r="N223" s="265"/>
    </row>
    <row r="224" spans="1:14" s="3" customFormat="1" ht="12.2" customHeight="1" x14ac:dyDescent="0.15">
      <c r="A224" s="1" t="s">
        <v>445</v>
      </c>
      <c r="B224" s="2" t="s">
        <v>346</v>
      </c>
      <c r="C224" s="2" t="s">
        <v>297</v>
      </c>
      <c r="D224" s="2" t="s">
        <v>431</v>
      </c>
      <c r="E224" s="6">
        <v>2400</v>
      </c>
      <c r="F224" s="18">
        <f>359267.29</f>
        <v>359267.29</v>
      </c>
      <c r="G224" s="18">
        <f>352761.04</f>
        <v>352761.04</v>
      </c>
      <c r="H224" s="18">
        <f>875</f>
        <v>875</v>
      </c>
      <c r="I224" s="18">
        <f>4603.66</f>
        <v>4603.66</v>
      </c>
      <c r="J224" s="18">
        <f>40425</f>
        <v>40425</v>
      </c>
      <c r="K224" s="18">
        <f>2516.99</f>
        <v>2516.9899999999998</v>
      </c>
      <c r="L224" s="19">
        <f t="shared" si="2"/>
        <v>760448.98</v>
      </c>
      <c r="M224" s="8"/>
      <c r="N224" s="265"/>
    </row>
    <row r="225" spans="1:14" s="3" customFormat="1" ht="12.2" customHeight="1" x14ac:dyDescent="0.15">
      <c r="A225" s="1" t="s">
        <v>446</v>
      </c>
      <c r="B225" s="2" t="s">
        <v>346</v>
      </c>
      <c r="C225" s="2" t="s">
        <v>298</v>
      </c>
      <c r="D225" s="2" t="s">
        <v>431</v>
      </c>
      <c r="E225" s="6">
        <v>2500</v>
      </c>
      <c r="F225" s="18">
        <f>116662.83</f>
        <v>116662.83</v>
      </c>
      <c r="G225" s="18"/>
      <c r="H225" s="18"/>
      <c r="I225" s="18">
        <f>17086.99</f>
        <v>17086.990000000002</v>
      </c>
      <c r="J225" s="18"/>
      <c r="K225" s="18">
        <f>135.8</f>
        <v>135.80000000000001</v>
      </c>
      <c r="L225" s="19">
        <f t="shared" si="2"/>
        <v>133885.62</v>
      </c>
      <c r="M225" s="8"/>
      <c r="N225" s="265"/>
    </row>
    <row r="226" spans="1:14" s="3" customFormat="1" ht="12.2" customHeight="1" x14ac:dyDescent="0.15">
      <c r="A226" s="1" t="s">
        <v>447</v>
      </c>
      <c r="B226" s="2" t="s">
        <v>346</v>
      </c>
      <c r="C226" s="2" t="s">
        <v>299</v>
      </c>
      <c r="D226" s="2" t="s">
        <v>431</v>
      </c>
      <c r="E226" s="6">
        <v>2600</v>
      </c>
      <c r="F226" s="18">
        <f>128568.66+77678.6</f>
        <v>206247.26</v>
      </c>
      <c r="G226" s="18">
        <f>87483.77</f>
        <v>87483.77</v>
      </c>
      <c r="H226" s="18">
        <f>292858.69+118649.6</f>
        <v>411508.29000000004</v>
      </c>
      <c r="I226" s="18">
        <f>115006.79+46947.6</f>
        <v>161954.38999999998</v>
      </c>
      <c r="J226" s="18">
        <f>22043.8</f>
        <v>22043.8</v>
      </c>
      <c r="K226" s="18"/>
      <c r="L226" s="19">
        <f t="shared" si="2"/>
        <v>889237.51000000013</v>
      </c>
      <c r="M226" s="8"/>
      <c r="N226" s="265"/>
    </row>
    <row r="227" spans="1:14" s="3" customFormat="1" ht="12.2" customHeight="1" x14ac:dyDescent="0.15">
      <c r="A227" s="1" t="s">
        <v>448</v>
      </c>
      <c r="B227" s="2" t="s">
        <v>346</v>
      </c>
      <c r="C227" s="2" t="s">
        <v>300</v>
      </c>
      <c r="D227" s="2" t="s">
        <v>431</v>
      </c>
      <c r="E227" s="6">
        <v>2700</v>
      </c>
      <c r="F227" s="18"/>
      <c r="G227" s="18"/>
      <c r="H227" s="18">
        <f>110187.92+290832.06</f>
        <v>401019.98</v>
      </c>
      <c r="I227" s="18"/>
      <c r="J227" s="18"/>
      <c r="K227" s="18"/>
      <c r="L227" s="19">
        <f t="shared" si="2"/>
        <v>401019.98</v>
      </c>
      <c r="M227" s="8"/>
      <c r="N227" s="265"/>
    </row>
    <row r="228" spans="1:14" s="3" customFormat="1" ht="12.2" customHeight="1" x14ac:dyDescent="0.15">
      <c r="A228" s="1" t="s">
        <v>449</v>
      </c>
      <c r="B228" s="2" t="s">
        <v>346</v>
      </c>
      <c r="C228" s="2" t="s">
        <v>343</v>
      </c>
      <c r="D228" s="2" t="s">
        <v>431</v>
      </c>
      <c r="E228" s="6">
        <v>2800</v>
      </c>
      <c r="F228" s="18">
        <f>158740.69+89790.04</f>
        <v>248530.72999999998</v>
      </c>
      <c r="G228" s="18"/>
      <c r="H228" s="18">
        <f>49671.05</f>
        <v>49671.05</v>
      </c>
      <c r="I228" s="18">
        <f>8701.06</f>
        <v>8701.06</v>
      </c>
      <c r="J228" s="18">
        <f>54212.06</f>
        <v>54212.06</v>
      </c>
      <c r="K228" s="18"/>
      <c r="L228" s="19">
        <f>SUM(F228:K228)</f>
        <v>361114.89999999997</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5362547.4000000004</v>
      </c>
      <c r="G230" s="41">
        <f>SUM(G216:G229)</f>
        <v>2939675.34</v>
      </c>
      <c r="H230" s="41">
        <f>SUM(H216:H229)</f>
        <v>1244234.4200000002</v>
      </c>
      <c r="I230" s="41">
        <f>SUM(I216:I229)</f>
        <v>305270.74</v>
      </c>
      <c r="J230" s="41">
        <f>SUM(J216:J229)</f>
        <v>133336.97999999998</v>
      </c>
      <c r="K230" s="41">
        <f t="shared" si="3"/>
        <v>11796.889999999998</v>
      </c>
      <c r="L230" s="41">
        <f t="shared" si="3"/>
        <v>9996861.7700000014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2961135.2-0.03</f>
        <v>2961135.1700000004</v>
      </c>
      <c r="G234" s="18">
        <f>1943148.92</f>
        <v>1943148.92</v>
      </c>
      <c r="H234" s="18">
        <f>5848.04</f>
        <v>5848.04</v>
      </c>
      <c r="I234" s="18">
        <f>99695.96</f>
        <v>99695.96</v>
      </c>
      <c r="J234" s="18">
        <f>10270.55</f>
        <v>10270.549999999999</v>
      </c>
      <c r="K234" s="18">
        <f>4148.37</f>
        <v>4148.37</v>
      </c>
      <c r="L234" s="19">
        <f>SUM(F234:K234)</f>
        <v>5024247.01</v>
      </c>
      <c r="M234" s="8"/>
      <c r="N234" s="265"/>
    </row>
    <row r="235" spans="1:14" s="3" customFormat="1" ht="12.2" customHeight="1" x14ac:dyDescent="0.15">
      <c r="A235" s="1" t="s">
        <v>439</v>
      </c>
      <c r="B235" s="2" t="s">
        <v>350</v>
      </c>
      <c r="C235" s="2" t="s">
        <v>291</v>
      </c>
      <c r="D235" s="2" t="s">
        <v>431</v>
      </c>
      <c r="E235" s="6">
        <v>1200</v>
      </c>
      <c r="F235" s="18">
        <f>720423.31+250178.41</f>
        <v>970601.72000000009</v>
      </c>
      <c r="G235" s="18">
        <f>538000</f>
        <v>538000</v>
      </c>
      <c r="H235" s="18">
        <f>740732.88+48048.01</f>
        <v>788780.89</v>
      </c>
      <c r="I235" s="18">
        <f>557.7+1400.26</f>
        <v>1957.96</v>
      </c>
      <c r="J235" s="18"/>
      <c r="K235" s="18"/>
      <c r="L235" s="19">
        <f>SUM(F235:K235)</f>
        <v>2299340.5700000003</v>
      </c>
      <c r="M235" s="8"/>
      <c r="N235" s="265"/>
    </row>
    <row r="236" spans="1:14" s="3" customFormat="1" ht="12.2" customHeight="1" x14ac:dyDescent="0.15">
      <c r="A236" s="1" t="s">
        <v>440</v>
      </c>
      <c r="B236" s="2" t="s">
        <v>350</v>
      </c>
      <c r="C236" s="2" t="s">
        <v>292</v>
      </c>
      <c r="D236" s="2" t="s">
        <v>431</v>
      </c>
      <c r="E236" s="6">
        <v>1300</v>
      </c>
      <c r="F236" s="18">
        <f>794914.61</f>
        <v>794914.61</v>
      </c>
      <c r="G236" s="18">
        <f>537466.72</f>
        <v>537466.72</v>
      </c>
      <c r="H236" s="18">
        <f>40786.14</f>
        <v>40786.14</v>
      </c>
      <c r="I236" s="18">
        <f>30124.65</f>
        <v>30124.65</v>
      </c>
      <c r="J236" s="18">
        <f>10036.7</f>
        <v>10036.700000000001</v>
      </c>
      <c r="K236" s="18">
        <f>5163.64</f>
        <v>5163.6400000000003</v>
      </c>
      <c r="L236" s="19">
        <f>SUM(F236:K236)</f>
        <v>1418492.4599999997</v>
      </c>
      <c r="M236" s="8"/>
      <c r="N236" s="265"/>
    </row>
    <row r="237" spans="1:14" s="3" customFormat="1" ht="12.2" customHeight="1" x14ac:dyDescent="0.15">
      <c r="A237" s="1" t="s">
        <v>441</v>
      </c>
      <c r="B237" s="2" t="s">
        <v>350</v>
      </c>
      <c r="C237" s="2" t="s">
        <v>293</v>
      </c>
      <c r="D237" s="2" t="s">
        <v>431</v>
      </c>
      <c r="E237" s="6">
        <v>1400</v>
      </c>
      <c r="F237" s="18">
        <f>277906.44+330</f>
        <v>278236.44</v>
      </c>
      <c r="G237" s="18">
        <f>248061.56</f>
        <v>248061.56</v>
      </c>
      <c r="H237" s="18">
        <f>42908.6</f>
        <v>42908.6</v>
      </c>
      <c r="I237" s="18">
        <f>24189.2</f>
        <v>24189.200000000001</v>
      </c>
      <c r="J237" s="18">
        <f>4000</f>
        <v>4000</v>
      </c>
      <c r="K237" s="18">
        <f>15663</f>
        <v>15663</v>
      </c>
      <c r="L237" s="19">
        <f>SUM(F237:K237)</f>
        <v>613058.79999999993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549722.29+137510.8</f>
        <v>687233.09000000008</v>
      </c>
      <c r="G239" s="18">
        <f>454779.53</f>
        <v>454779.53</v>
      </c>
      <c r="H239" s="18">
        <f>10959.36+145167.03</f>
        <v>156126.39000000001</v>
      </c>
      <c r="I239" s="18">
        <f>11456.86+1366.75</f>
        <v>12823.61</v>
      </c>
      <c r="J239" s="18">
        <f>7169.47+3019.79</f>
        <v>10189.26</v>
      </c>
      <c r="K239" s="18">
        <f>379</f>
        <v>379</v>
      </c>
      <c r="L239" s="19">
        <f t="shared" ref="L239:L245" si="4">SUM(F239:K239)</f>
        <v>1321530.8800000004</v>
      </c>
      <c r="M239" s="8"/>
      <c r="N239" s="265"/>
    </row>
    <row r="240" spans="1:14" s="3" customFormat="1" ht="12.2" customHeight="1" x14ac:dyDescent="0.15">
      <c r="A240" s="1" t="s">
        <v>443</v>
      </c>
      <c r="B240" s="2" t="s">
        <v>350</v>
      </c>
      <c r="C240" s="2" t="s">
        <v>295</v>
      </c>
      <c r="D240" s="2" t="s">
        <v>431</v>
      </c>
      <c r="E240" s="6">
        <v>2200</v>
      </c>
      <c r="F240" s="18">
        <f>113533.62</f>
        <v>113533.62</v>
      </c>
      <c r="G240" s="18">
        <f>82687.19</f>
        <v>82687.19</v>
      </c>
      <c r="H240" s="18">
        <f>2570.5+32901.63</f>
        <v>35472.129999999997</v>
      </c>
      <c r="I240" s="18">
        <f>26237.31+44550.57</f>
        <v>70787.88</v>
      </c>
      <c r="J240" s="18">
        <f>4836.01</f>
        <v>4836.01</v>
      </c>
      <c r="K240" s="18"/>
      <c r="L240" s="19">
        <f t="shared" si="4"/>
        <v>307316.83</v>
      </c>
      <c r="M240" s="8"/>
      <c r="N240" s="265"/>
    </row>
    <row r="241" spans="1:14" s="3" customFormat="1" ht="12.2" customHeight="1" x14ac:dyDescent="0.15">
      <c r="A241" s="1" t="s">
        <v>444</v>
      </c>
      <c r="B241" s="2" t="s">
        <v>350</v>
      </c>
      <c r="C241" s="2" t="s">
        <v>296</v>
      </c>
      <c r="D241" s="2" t="s">
        <v>431</v>
      </c>
      <c r="E241" s="6">
        <v>2300</v>
      </c>
      <c r="F241" s="18">
        <f>309534.25</f>
        <v>309534.25</v>
      </c>
      <c r="G241" s="18"/>
      <c r="H241" s="18">
        <f>46641.91</f>
        <v>46641.91</v>
      </c>
      <c r="I241" s="18">
        <f>5142.15</f>
        <v>5142.1499999999996</v>
      </c>
      <c r="J241" s="18">
        <f>2754.26</f>
        <v>2754.26</v>
      </c>
      <c r="K241" s="18">
        <f>4971.43</f>
        <v>4971.43</v>
      </c>
      <c r="L241" s="19">
        <f t="shared" si="4"/>
        <v>369044.00000000006</v>
      </c>
      <c r="M241" s="8"/>
      <c r="N241" s="265"/>
    </row>
    <row r="242" spans="1:14" s="3" customFormat="1" ht="12.2" customHeight="1" x14ac:dyDescent="0.15">
      <c r="A242" s="1" t="s">
        <v>445</v>
      </c>
      <c r="B242" s="2" t="s">
        <v>350</v>
      </c>
      <c r="C242" s="2" t="s">
        <v>297</v>
      </c>
      <c r="D242" s="2" t="s">
        <v>431</v>
      </c>
      <c r="E242" s="6">
        <v>2400</v>
      </c>
      <c r="F242" s="18">
        <f>396881.91</f>
        <v>396881.91</v>
      </c>
      <c r="G242" s="18">
        <f>206717.97</f>
        <v>206717.97</v>
      </c>
      <c r="H242" s="18">
        <f>4423.81</f>
        <v>4423.8100000000004</v>
      </c>
      <c r="I242" s="18">
        <f>6093.68</f>
        <v>6093.68</v>
      </c>
      <c r="J242" s="18"/>
      <c r="K242" s="18">
        <f>23283.44</f>
        <v>23283.439999999999</v>
      </c>
      <c r="L242" s="19">
        <f t="shared" si="4"/>
        <v>637400.81000000006</v>
      </c>
      <c r="M242" s="8"/>
      <c r="N242" s="265"/>
    </row>
    <row r="243" spans="1:14" s="3" customFormat="1" ht="12.2" customHeight="1" x14ac:dyDescent="0.15">
      <c r="A243" s="1" t="s">
        <v>446</v>
      </c>
      <c r="B243" s="2" t="s">
        <v>350</v>
      </c>
      <c r="C243" s="2" t="s">
        <v>298</v>
      </c>
      <c r="D243" s="2" t="s">
        <v>431</v>
      </c>
      <c r="E243" s="6">
        <v>2500</v>
      </c>
      <c r="F243" s="18">
        <f>137495.48</f>
        <v>137495.48000000001</v>
      </c>
      <c r="G243" s="18"/>
      <c r="H243" s="18"/>
      <c r="I243" s="18">
        <f>20138.24</f>
        <v>20138.240000000002</v>
      </c>
      <c r="J243" s="18"/>
      <c r="K243" s="18">
        <f>160.05</f>
        <v>160.05000000000001</v>
      </c>
      <c r="L243" s="19">
        <f t="shared" si="4"/>
        <v>157793.76999999999</v>
      </c>
      <c r="M243" s="8"/>
      <c r="N243" s="265"/>
    </row>
    <row r="244" spans="1:14" s="3" customFormat="1" ht="12.2" customHeight="1" x14ac:dyDescent="0.15">
      <c r="A244" s="1" t="s">
        <v>447</v>
      </c>
      <c r="B244" s="2" t="s">
        <v>350</v>
      </c>
      <c r="C244" s="2" t="s">
        <v>299</v>
      </c>
      <c r="D244" s="2" t="s">
        <v>431</v>
      </c>
      <c r="E244" s="6">
        <v>2600</v>
      </c>
      <c r="F244" s="18">
        <f>220242.67+110044.69</f>
        <v>330287.35999999999</v>
      </c>
      <c r="G244" s="18">
        <f>123497.51</f>
        <v>123497.51</v>
      </c>
      <c r="H244" s="18">
        <f>155852.75+162290.83</f>
        <v>318143.57999999996</v>
      </c>
      <c r="I244" s="18">
        <f>254883.45+66509.11</f>
        <v>321392.56</v>
      </c>
      <c r="J244" s="18">
        <f>31228.72</f>
        <v>31228.720000000001</v>
      </c>
      <c r="K244" s="18"/>
      <c r="L244" s="19">
        <f t="shared" si="4"/>
        <v>1124549.73</v>
      </c>
      <c r="M244" s="8"/>
      <c r="N244" s="265"/>
    </row>
    <row r="245" spans="1:14" s="3" customFormat="1" ht="12.2" customHeight="1" x14ac:dyDescent="0.15">
      <c r="A245" s="1" t="s">
        <v>448</v>
      </c>
      <c r="B245" s="2" t="s">
        <v>350</v>
      </c>
      <c r="C245" s="2" t="s">
        <v>300</v>
      </c>
      <c r="D245" s="2" t="s">
        <v>431</v>
      </c>
      <c r="E245" s="6">
        <v>2700</v>
      </c>
      <c r="F245" s="18"/>
      <c r="G245" s="18"/>
      <c r="H245" s="18">
        <f>251289.96+96944.02</f>
        <v>348233.98</v>
      </c>
      <c r="I245" s="18"/>
      <c r="J245" s="18"/>
      <c r="K245" s="18"/>
      <c r="L245" s="19">
        <f t="shared" si="4"/>
        <v>348233.98</v>
      </c>
      <c r="M245" s="8"/>
      <c r="N245" s="265"/>
    </row>
    <row r="246" spans="1:14" s="3" customFormat="1" ht="12.2" customHeight="1" x14ac:dyDescent="0.15">
      <c r="A246" s="1" t="s">
        <v>449</v>
      </c>
      <c r="B246" s="2" t="s">
        <v>350</v>
      </c>
      <c r="C246" s="2" t="s">
        <v>343</v>
      </c>
      <c r="D246" s="2" t="s">
        <v>431</v>
      </c>
      <c r="E246" s="6">
        <v>2800</v>
      </c>
      <c r="F246" s="18">
        <f>105823.98+163551.02</f>
        <v>269375</v>
      </c>
      <c r="G246" s="18"/>
      <c r="H246" s="18">
        <f>58540.87</f>
        <v>58540.87</v>
      </c>
      <c r="I246" s="18">
        <f>10254.82</f>
        <v>10254.82</v>
      </c>
      <c r="J246" s="18">
        <f>63892.78</f>
        <v>63892.78</v>
      </c>
      <c r="K246" s="18"/>
      <c r="L246" s="19">
        <f>SUM(F246:K246)</f>
        <v>402063.47</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7249228.6500000022</v>
      </c>
      <c r="G248" s="41">
        <f t="shared" si="5"/>
        <v>4134359.3999999994</v>
      </c>
      <c r="H248" s="41">
        <f t="shared" si="5"/>
        <v>1845906.3399999999</v>
      </c>
      <c r="I248" s="41">
        <f t="shared" si="5"/>
        <v>602600.71</v>
      </c>
      <c r="J248" s="41">
        <f t="shared" si="5"/>
        <v>137208.28</v>
      </c>
      <c r="K248" s="41">
        <f t="shared" si="5"/>
        <v>53768.930000000008</v>
      </c>
      <c r="L248" s="41">
        <f t="shared" si="5"/>
        <v>14023072.310000002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21119686.140000001</v>
      </c>
      <c r="G258" s="41">
        <f t="shared" si="8"/>
        <v>11758701.359999999</v>
      </c>
      <c r="H258" s="41">
        <f t="shared" si="8"/>
        <v>5264521.8899999997</v>
      </c>
      <c r="I258" s="41">
        <f t="shared" si="8"/>
        <v>1543412.8699999999</v>
      </c>
      <c r="J258" s="41">
        <f t="shared" si="8"/>
        <v>603128.31999999995</v>
      </c>
      <c r="K258" s="41">
        <f t="shared" si="8"/>
        <v>75593.97</v>
      </c>
      <c r="L258" s="41">
        <f t="shared" si="8"/>
        <v>40365044.550000004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615000</v>
      </c>
      <c r="L261" s="19">
        <f>SUM(F261:K261)</f>
        <v>615000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161763.76</v>
      </c>
      <c r="L262" s="19">
        <f>SUM(F262:K262)</f>
        <v>161763.76</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195800</v>
      </c>
      <c r="L267" s="19">
        <f t="shared" si="9"/>
        <v>195800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972563.76</v>
      </c>
      <c r="L271" s="41">
        <f t="shared" si="9"/>
        <v>972563.76</v>
      </c>
      <c r="M271" s="8"/>
      <c r="N271" s="265"/>
    </row>
    <row r="272" spans="1:14" s="34" customFormat="1" ht="12.2" customHeight="1" thickTop="1" x14ac:dyDescent="0.2">
      <c r="A272" s="43" t="s">
        <v>464</v>
      </c>
      <c r="B272" s="40">
        <v>10</v>
      </c>
      <c r="C272" s="40">
        <v>18</v>
      </c>
      <c r="D272" s="39" t="s">
        <v>431</v>
      </c>
      <c r="E272" s="40"/>
      <c r="F272" s="42">
        <f t="shared" ref="F272:L272" si="11">F258+F271</f>
        <v>21119686.140000001</v>
      </c>
      <c r="G272" s="42">
        <f t="shared" si="11"/>
        <v>11758701.359999999</v>
      </c>
      <c r="H272" s="42">
        <f t="shared" si="11"/>
        <v>5264521.8899999997</v>
      </c>
      <c r="I272" s="42">
        <f t="shared" si="11"/>
        <v>1543412.8699999999</v>
      </c>
      <c r="J272" s="42">
        <f t="shared" si="11"/>
        <v>603128.31999999995</v>
      </c>
      <c r="K272" s="42">
        <f t="shared" si="11"/>
        <v>1048157.73</v>
      </c>
      <c r="L272" s="42">
        <f t="shared" si="11"/>
        <v>41337608.310000002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91074.12+79023.42+0.01</f>
        <v>170097.55</v>
      </c>
      <c r="G277" s="18">
        <f>10635.17+22662.24</f>
        <v>33297.410000000003</v>
      </c>
      <c r="H277" s="18">
        <f>262.47</f>
        <v>262.47000000000003</v>
      </c>
      <c r="I277" s="18">
        <f>976.85+250+33551.92</f>
        <v>34778.769999999997</v>
      </c>
      <c r="J277" s="18">
        <f>572.41</f>
        <v>572.41</v>
      </c>
      <c r="K277" s="18"/>
      <c r="L277" s="19">
        <f>SUM(F277:K277)</f>
        <v>239008.61</v>
      </c>
      <c r="M277" s="8"/>
      <c r="N277" s="265"/>
    </row>
    <row r="278" spans="1:14" s="3" customFormat="1" ht="12.2" customHeight="1" x14ac:dyDescent="0.15">
      <c r="A278" s="1" t="s">
        <v>439</v>
      </c>
      <c r="B278" s="2" t="s">
        <v>357</v>
      </c>
      <c r="C278" s="2" t="s">
        <v>291</v>
      </c>
      <c r="D278" s="2" t="s">
        <v>431</v>
      </c>
      <c r="E278" s="6">
        <v>1200</v>
      </c>
      <c r="F278" s="18">
        <f>173279.79</f>
        <v>173279.79</v>
      </c>
      <c r="G278" s="18">
        <f>64168.9</f>
        <v>64168.9</v>
      </c>
      <c r="H278" s="18">
        <f>15164.47</f>
        <v>15164.47</v>
      </c>
      <c r="I278" s="18">
        <f>672.95</f>
        <v>672.95</v>
      </c>
      <c r="J278" s="18">
        <f>2898.1</f>
        <v>2898.1</v>
      </c>
      <c r="K278" s="18"/>
      <c r="L278" s="19">
        <f>SUM(F278:K278)</f>
        <v>256184.21000000002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f>116.44</f>
        <v>116.44</v>
      </c>
      <c r="L279" s="19">
        <f>SUM(F279:K279)</f>
        <v>116.44</v>
      </c>
      <c r="M279" s="8"/>
      <c r="N279" s="265"/>
    </row>
    <row r="280" spans="1:14" s="3" customFormat="1" ht="12.2" customHeight="1" x14ac:dyDescent="0.15">
      <c r="A280" s="1" t="s">
        <v>441</v>
      </c>
      <c r="B280" s="2" t="s">
        <v>357</v>
      </c>
      <c r="C280" s="2" t="s">
        <v>293</v>
      </c>
      <c r="D280" s="2" t="s">
        <v>431</v>
      </c>
      <c r="E280" s="6">
        <v>1400</v>
      </c>
      <c r="F280" s="18"/>
      <c r="G280" s="18"/>
      <c r="H280" s="18"/>
      <c r="I280" s="18">
        <f>11288.13+37.22</f>
        <v>11325.349999999999</v>
      </c>
      <c r="J280" s="18"/>
      <c r="K280" s="18">
        <f>502.13</f>
        <v>502.13</v>
      </c>
      <c r="L280" s="19">
        <f>SUM(F280:K280)</f>
        <v>11827.479999999998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1391.9+209.92+45.07</f>
        <v>1646.89</v>
      </c>
      <c r="G282" s="18">
        <f>106.48+25.53+3.45</f>
        <v>135.45999999999998</v>
      </c>
      <c r="H282" s="18">
        <f>10030.45+13869.16+13550.75+2249.45</f>
        <v>39699.81</v>
      </c>
      <c r="I282" s="18">
        <f>770.49+7900.27+103.74</f>
        <v>8774.5</v>
      </c>
      <c r="J282" s="18">
        <f>32.5</f>
        <v>32.5</v>
      </c>
      <c r="K282" s="18"/>
      <c r="L282" s="19">
        <f t="shared" ref="L282:L288" si="12">SUM(F282:K282)</f>
        <v>50289.159999999996</v>
      </c>
      <c r="M282" s="8"/>
      <c r="N282" s="265"/>
    </row>
    <row r="283" spans="1:14" s="3" customFormat="1" ht="12.2" customHeight="1" x14ac:dyDescent="0.15">
      <c r="A283" s="1" t="s">
        <v>443</v>
      </c>
      <c r="B283" s="2" t="s">
        <v>357</v>
      </c>
      <c r="C283" s="2" t="s">
        <v>295</v>
      </c>
      <c r="D283" s="2" t="s">
        <v>431</v>
      </c>
      <c r="E283" s="6">
        <v>2200</v>
      </c>
      <c r="F283" s="18">
        <f>35105.4+13573.95</f>
        <v>48679.350000000006</v>
      </c>
      <c r="G283" s="18">
        <f>3666.54</f>
        <v>3666.54</v>
      </c>
      <c r="H283" s="18">
        <f>14022.75+15245.1+1751.49+22287.44</f>
        <v>53306.78</v>
      </c>
      <c r="I283" s="18">
        <f>4619.37</f>
        <v>4619.37</v>
      </c>
      <c r="J283" s="18">
        <f>6745.08</f>
        <v>6745.08</v>
      </c>
      <c r="K283" s="18"/>
      <c r="L283" s="19">
        <f t="shared" si="12"/>
        <v>117017.12000000001</v>
      </c>
      <c r="M283" s="8"/>
      <c r="N283" s="265"/>
    </row>
    <row r="284" spans="1:14" s="3" customFormat="1" ht="12.2" customHeight="1" x14ac:dyDescent="0.15">
      <c r="A284" s="1" t="s">
        <v>444</v>
      </c>
      <c r="B284" s="2" t="s">
        <v>357</v>
      </c>
      <c r="C284" s="2" t="s">
        <v>296</v>
      </c>
      <c r="D284" s="2" t="s">
        <v>431</v>
      </c>
      <c r="E284" s="6">
        <v>2300</v>
      </c>
      <c r="F284" s="18">
        <f>73074.45</f>
        <v>73074.45</v>
      </c>
      <c r="G284" s="18">
        <f>21492.67</f>
        <v>21492.67</v>
      </c>
      <c r="H284" s="18"/>
      <c r="I284" s="18"/>
      <c r="J284" s="18"/>
      <c r="K284" s="18"/>
      <c r="L284" s="19">
        <f t="shared" si="12"/>
        <v>94567.12</v>
      </c>
      <c r="M284" s="8"/>
      <c r="N284" s="265"/>
    </row>
    <row r="285" spans="1:14" s="3" customFormat="1" ht="12.2" customHeight="1" x14ac:dyDescent="0.15">
      <c r="A285" s="1" t="s">
        <v>445</v>
      </c>
      <c r="B285" s="2" t="s">
        <v>357</v>
      </c>
      <c r="C285" s="2" t="s">
        <v>297</v>
      </c>
      <c r="D285" s="2" t="s">
        <v>431</v>
      </c>
      <c r="E285" s="6">
        <v>2400</v>
      </c>
      <c r="F285" s="18"/>
      <c r="G285" s="18"/>
      <c r="H285" s="18">
        <f>1638</f>
        <v>1638</v>
      </c>
      <c r="I285" s="18"/>
      <c r="J285" s="18"/>
      <c r="K285" s="18"/>
      <c r="L285" s="19">
        <f t="shared" si="12"/>
        <v>1638</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f>65286</f>
        <v>65286</v>
      </c>
      <c r="I287" s="18"/>
      <c r="J287" s="18">
        <f>6123.04</f>
        <v>6123.04</v>
      </c>
      <c r="K287" s="18"/>
      <c r="L287" s="19">
        <f t="shared" si="12"/>
        <v>71409.039999999994</v>
      </c>
      <c r="M287" s="8"/>
      <c r="N287" s="265"/>
    </row>
    <row r="288" spans="1:14" s="3" customFormat="1" ht="12.2" customHeight="1" x14ac:dyDescent="0.15">
      <c r="A288" s="1" t="s">
        <v>448</v>
      </c>
      <c r="B288" s="2" t="s">
        <v>357</v>
      </c>
      <c r="C288" s="2" t="s">
        <v>300</v>
      </c>
      <c r="D288" s="2" t="s">
        <v>431</v>
      </c>
      <c r="E288" s="6">
        <v>2700</v>
      </c>
      <c r="F288" s="18"/>
      <c r="G288" s="18"/>
      <c r="H288" s="18">
        <f>25197.38</f>
        <v>25197.38</v>
      </c>
      <c r="I288" s="18"/>
      <c r="J288" s="18"/>
      <c r="K288" s="18"/>
      <c r="L288" s="19">
        <f t="shared" si="12"/>
        <v>25197.38</v>
      </c>
      <c r="M288" s="8"/>
      <c r="N288" s="265"/>
    </row>
    <row r="289" spans="1:14" s="3" customFormat="1" ht="12.2" customHeight="1" x14ac:dyDescent="0.15">
      <c r="A289" s="1" t="s">
        <v>449</v>
      </c>
      <c r="B289" s="2" t="s">
        <v>357</v>
      </c>
      <c r="C289" s="2" t="s">
        <v>343</v>
      </c>
      <c r="D289" s="2" t="s">
        <v>431</v>
      </c>
      <c r="E289" s="6">
        <v>2800</v>
      </c>
      <c r="F289" s="18"/>
      <c r="G289" s="18"/>
      <c r="H289" s="18"/>
      <c r="I289" s="18">
        <f>8861.13</f>
        <v>8861.1299999999992</v>
      </c>
      <c r="J289" s="18"/>
      <c r="K289" s="18"/>
      <c r="L289" s="19">
        <f>SUM(F289:K289)</f>
        <v>8861.1299999999992</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466778.02999999997</v>
      </c>
      <c r="G291" s="42">
        <f t="shared" si="13"/>
        <v>122760.98</v>
      </c>
      <c r="H291" s="42">
        <f t="shared" si="13"/>
        <v>200554.91</v>
      </c>
      <c r="I291" s="42">
        <f t="shared" si="13"/>
        <v>69032.069999999992</v>
      </c>
      <c r="J291" s="42">
        <f t="shared" si="13"/>
        <v>16371.130000000001</v>
      </c>
      <c r="K291" s="42">
        <f t="shared" si="13"/>
        <v>618.56999999999994</v>
      </c>
      <c r="L291" s="41">
        <f t="shared" si="13"/>
        <v>876115.69000000006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56734.76</f>
        <v>56734.76</v>
      </c>
      <c r="G296" s="18">
        <f>16270.33</f>
        <v>16270.33</v>
      </c>
      <c r="H296" s="18">
        <f>188.44</f>
        <v>188.44</v>
      </c>
      <c r="I296" s="18">
        <f>24088.56</f>
        <v>24088.560000000001</v>
      </c>
      <c r="J296" s="18">
        <f>410.96</f>
        <v>410.96</v>
      </c>
      <c r="K296" s="18"/>
      <c r="L296" s="19">
        <f>SUM(F296:K296)</f>
        <v>97693.05</v>
      </c>
      <c r="M296" s="8"/>
      <c r="N296" s="265"/>
    </row>
    <row r="297" spans="1:14" s="3" customFormat="1" ht="12.2" customHeight="1" x14ac:dyDescent="0.15">
      <c r="A297" s="1" t="s">
        <v>439</v>
      </c>
      <c r="B297" s="2" t="s">
        <v>358</v>
      </c>
      <c r="C297" s="2" t="s">
        <v>291</v>
      </c>
      <c r="D297" s="2" t="s">
        <v>431</v>
      </c>
      <c r="E297" s="6">
        <v>1200</v>
      </c>
      <c r="F297" s="18">
        <f>124406</f>
        <v>124406</v>
      </c>
      <c r="G297" s="18">
        <f>46069.98</f>
        <v>46069.98</v>
      </c>
      <c r="H297" s="18">
        <f>10887.31</f>
        <v>10887.31</v>
      </c>
      <c r="I297" s="18">
        <f>483.14</f>
        <v>483.14</v>
      </c>
      <c r="J297" s="18">
        <v>2080.69</v>
      </c>
      <c r="K297" s="18"/>
      <c r="L297" s="19">
        <f>SUM(F297:K297)</f>
        <v>183927.12000000002</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f>83.6</f>
        <v>83.6</v>
      </c>
      <c r="L298" s="19">
        <f>SUM(F298:K298)</f>
        <v>83.6</v>
      </c>
      <c r="M298" s="8"/>
      <c r="N298" s="265"/>
    </row>
    <row r="299" spans="1:14" s="3" customFormat="1" ht="12.2" customHeight="1" x14ac:dyDescent="0.15">
      <c r="A299" s="1" t="s">
        <v>441</v>
      </c>
      <c r="B299" s="2" t="s">
        <v>358</v>
      </c>
      <c r="C299" s="2" t="s">
        <v>293</v>
      </c>
      <c r="D299" s="2" t="s">
        <v>431</v>
      </c>
      <c r="E299" s="6">
        <v>1400</v>
      </c>
      <c r="F299" s="18">
        <f>280</f>
        <v>280</v>
      </c>
      <c r="G299" s="18"/>
      <c r="H299" s="18"/>
      <c r="I299" s="18">
        <f>26.72</f>
        <v>26.72</v>
      </c>
      <c r="J299" s="18"/>
      <c r="K299" s="18"/>
      <c r="L299" s="19">
        <f>SUM(F299:K299)</f>
        <v>306.72000000000003</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150.71+32.36</f>
        <v>183.07</v>
      </c>
      <c r="G301" s="18">
        <f>18.33+2.48</f>
        <v>20.81</v>
      </c>
      <c r="H301" s="18">
        <f>45962.66+9728.74+1614.99</f>
        <v>57306.39</v>
      </c>
      <c r="I301" s="18">
        <f>5671.99+74.48</f>
        <v>5746.4699999999993</v>
      </c>
      <c r="J301" s="18">
        <f>23.33</f>
        <v>23.33</v>
      </c>
      <c r="K301" s="18"/>
      <c r="L301" s="19">
        <f t="shared" ref="L301:L307" si="14">SUM(F301:K301)</f>
        <v>63280.07</v>
      </c>
      <c r="M301" s="8"/>
      <c r="N301" s="265"/>
    </row>
    <row r="302" spans="1:14" s="3" customFormat="1" ht="12.2" customHeight="1" x14ac:dyDescent="0.15">
      <c r="A302" s="1" t="s">
        <v>443</v>
      </c>
      <c r="B302" s="2" t="s">
        <v>358</v>
      </c>
      <c r="C302" s="2" t="s">
        <v>295</v>
      </c>
      <c r="D302" s="2" t="s">
        <v>431</v>
      </c>
      <c r="E302" s="6">
        <v>2200</v>
      </c>
      <c r="F302" s="18">
        <f>9745.4</f>
        <v>9745.4</v>
      </c>
      <c r="G302" s="18">
        <f>2632.39</f>
        <v>2632.39</v>
      </c>
      <c r="H302" s="18">
        <f>10945.2+1257.48+16001.24</f>
        <v>28203.919999999998</v>
      </c>
      <c r="I302" s="18">
        <f>3316.47</f>
        <v>3316.47</v>
      </c>
      <c r="J302" s="18"/>
      <c r="K302" s="18"/>
      <c r="L302" s="19">
        <f t="shared" si="14"/>
        <v>43898.18</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f>1176</f>
        <v>1176</v>
      </c>
      <c r="I304" s="18"/>
      <c r="J304" s="18"/>
      <c r="K304" s="18"/>
      <c r="L304" s="19">
        <f t="shared" si="14"/>
        <v>1176</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f>46872</f>
        <v>46872</v>
      </c>
      <c r="I306" s="18"/>
      <c r="J306" s="18">
        <f>4396.03</f>
        <v>4396.03</v>
      </c>
      <c r="K306" s="18"/>
      <c r="L306" s="19">
        <f t="shared" si="14"/>
        <v>51268.03</v>
      </c>
      <c r="M306" s="8"/>
      <c r="N306" s="265"/>
    </row>
    <row r="307" spans="1:14" s="3" customFormat="1" ht="12.2" customHeight="1" x14ac:dyDescent="0.15">
      <c r="A307" s="1" t="s">
        <v>448</v>
      </c>
      <c r="B307" s="2" t="s">
        <v>358</v>
      </c>
      <c r="C307" s="2" t="s">
        <v>300</v>
      </c>
      <c r="D307" s="2" t="s">
        <v>431</v>
      </c>
      <c r="E307" s="6">
        <v>2700</v>
      </c>
      <c r="F307" s="18"/>
      <c r="G307" s="18"/>
      <c r="H307" s="18">
        <f>18090.42</f>
        <v>18090.419999999998</v>
      </c>
      <c r="I307" s="18"/>
      <c r="J307" s="18"/>
      <c r="K307" s="18"/>
      <c r="L307" s="19">
        <f t="shared" si="14"/>
        <v>18090.419999999998</v>
      </c>
      <c r="M307" s="8"/>
      <c r="N307" s="265"/>
    </row>
    <row r="308" spans="1:14" s="3" customFormat="1" ht="12.2" customHeight="1" x14ac:dyDescent="0.15">
      <c r="A308" s="1" t="s">
        <v>449</v>
      </c>
      <c r="B308" s="2" t="s">
        <v>358</v>
      </c>
      <c r="C308" s="2" t="s">
        <v>343</v>
      </c>
      <c r="D308" s="2" t="s">
        <v>431</v>
      </c>
      <c r="E308" s="6">
        <v>2800</v>
      </c>
      <c r="F308" s="18"/>
      <c r="G308" s="18"/>
      <c r="H308" s="18"/>
      <c r="I308" s="18">
        <f>6361.84</f>
        <v>6361.84</v>
      </c>
      <c r="J308" s="18"/>
      <c r="K308" s="18"/>
      <c r="L308" s="19">
        <f>SUM(F308:K308)</f>
        <v>6361.84</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191349.23</v>
      </c>
      <c r="G310" s="42">
        <f t="shared" si="15"/>
        <v>64993.51</v>
      </c>
      <c r="H310" s="42">
        <f t="shared" si="15"/>
        <v>162724.47999999998</v>
      </c>
      <c r="I310" s="42">
        <f t="shared" si="15"/>
        <v>40023.199999999997</v>
      </c>
      <c r="J310" s="42">
        <f t="shared" si="15"/>
        <v>6911.01</v>
      </c>
      <c r="K310" s="42">
        <f t="shared" si="15"/>
        <v>83.6</v>
      </c>
      <c r="L310" s="41">
        <f t="shared" si="15"/>
        <v>466085.03</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59522.43+66865.97</f>
        <v>126388.4</v>
      </c>
      <c r="G315" s="18">
        <f>15761.59+19175.75</f>
        <v>34937.339999999997</v>
      </c>
      <c r="H315" s="18">
        <f>222.09</f>
        <v>222.09</v>
      </c>
      <c r="I315" s="18">
        <f>514+413.86+28390.09</f>
        <v>29317.95</v>
      </c>
      <c r="J315" s="18">
        <f>484.34</f>
        <v>484.34</v>
      </c>
      <c r="K315" s="18"/>
      <c r="L315" s="19">
        <f>SUM(F315:K315)</f>
        <v>191350.12</v>
      </c>
      <c r="M315" s="8"/>
      <c r="N315" s="265"/>
    </row>
    <row r="316" spans="1:14" s="3" customFormat="1" ht="12.2" customHeight="1" x14ac:dyDescent="0.15">
      <c r="A316" s="1" t="s">
        <v>439</v>
      </c>
      <c r="B316" s="2" t="s">
        <v>359</v>
      </c>
      <c r="C316" s="2" t="s">
        <v>291</v>
      </c>
      <c r="D316" s="2" t="s">
        <v>431</v>
      </c>
      <c r="E316" s="6">
        <v>1200</v>
      </c>
      <c r="F316" s="18">
        <f>146621.36</f>
        <v>146621.35999999999</v>
      </c>
      <c r="G316" s="18">
        <f>54296.76</f>
        <v>54296.76</v>
      </c>
      <c r="H316" s="18">
        <f>12831.47</f>
        <v>12831.47</v>
      </c>
      <c r="I316" s="18">
        <f>569.42</f>
        <v>569.41999999999996</v>
      </c>
      <c r="J316" s="18">
        <f>2452.24</f>
        <v>2452.2399999999998</v>
      </c>
      <c r="K316" s="18"/>
      <c r="L316" s="19">
        <f>SUM(F316:K316)</f>
        <v>216771.25</v>
      </c>
      <c r="M316" s="8"/>
      <c r="N316" s="265"/>
    </row>
    <row r="317" spans="1:14" s="3" customFormat="1" ht="12.2" customHeight="1" x14ac:dyDescent="0.15">
      <c r="A317" s="1" t="s">
        <v>440</v>
      </c>
      <c r="B317" s="2" t="s">
        <v>359</v>
      </c>
      <c r="C317" s="2" t="s">
        <v>292</v>
      </c>
      <c r="D317" s="2" t="s">
        <v>431</v>
      </c>
      <c r="E317" s="6">
        <v>1300</v>
      </c>
      <c r="F317" s="18">
        <f>1170</f>
        <v>1170</v>
      </c>
      <c r="G317" s="18">
        <f>85.91</f>
        <v>85.91</v>
      </c>
      <c r="H317" s="18">
        <f>2761.56+1875</f>
        <v>4636.5599999999995</v>
      </c>
      <c r="I317" s="18">
        <f>2312.44</f>
        <v>2312.44</v>
      </c>
      <c r="J317" s="18"/>
      <c r="K317" s="18">
        <f>98.52</f>
        <v>98.52</v>
      </c>
      <c r="L317" s="19">
        <f>SUM(F317:K317)</f>
        <v>8303.43</v>
      </c>
      <c r="M317" s="8"/>
      <c r="N317" s="265"/>
    </row>
    <row r="318" spans="1:14" s="3" customFormat="1" ht="12.2" customHeight="1" x14ac:dyDescent="0.15">
      <c r="A318" s="1" t="s">
        <v>441</v>
      </c>
      <c r="B318" s="2" t="s">
        <v>359</v>
      </c>
      <c r="C318" s="2" t="s">
        <v>293</v>
      </c>
      <c r="D318" s="2" t="s">
        <v>431</v>
      </c>
      <c r="E318" s="6">
        <v>1400</v>
      </c>
      <c r="F318" s="18"/>
      <c r="G318" s="18">
        <v>245.94</v>
      </c>
      <c r="H318" s="18"/>
      <c r="I318" s="18">
        <f>6600+31.5</f>
        <v>6631.5</v>
      </c>
      <c r="J318" s="18">
        <f>14144</f>
        <v>14144</v>
      </c>
      <c r="K318" s="18"/>
      <c r="L318" s="19">
        <f>SUM(F318:K318)</f>
        <v>21021.439999999999</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f>177.62+38.13</f>
        <v>215.75</v>
      </c>
      <c r="G320" s="18">
        <f>21.6+2.92</f>
        <v>24.520000000000003</v>
      </c>
      <c r="H320" s="18">
        <f>2500+210600.98+11466.02+1903.38</f>
        <v>226470.38</v>
      </c>
      <c r="I320" s="18">
        <f>6684.84+87.78</f>
        <v>6772.62</v>
      </c>
      <c r="J320" s="18">
        <f>27.5</f>
        <v>27.5</v>
      </c>
      <c r="K320" s="18">
        <f>220</f>
        <v>220</v>
      </c>
      <c r="L320" s="19">
        <f t="shared" ref="L320:L326" si="16">SUM(F320:K320)</f>
        <v>233730.77</v>
      </c>
      <c r="M320" s="8"/>
      <c r="N320" s="265"/>
    </row>
    <row r="321" spans="1:14" s="3" customFormat="1" ht="12.2" customHeight="1" x14ac:dyDescent="0.15">
      <c r="A321" s="1" t="s">
        <v>443</v>
      </c>
      <c r="B321" s="2" t="s">
        <v>359</v>
      </c>
      <c r="C321" s="2" t="s">
        <v>295</v>
      </c>
      <c r="D321" s="2" t="s">
        <v>431</v>
      </c>
      <c r="E321" s="6">
        <v>2200</v>
      </c>
      <c r="F321" s="18">
        <f>3300+11485.65</f>
        <v>14785.65</v>
      </c>
      <c r="G321" s="18">
        <f>246.66+693.64+3102.46</f>
        <v>4042.76</v>
      </c>
      <c r="H321" s="18">
        <f>500+1955+12899.7+1482.03+18858.6</f>
        <v>35695.33</v>
      </c>
      <c r="I321" s="18">
        <f>1420+668.7+566.12+3908.69</f>
        <v>6563.51</v>
      </c>
      <c r="J321" s="18"/>
      <c r="K321" s="18">
        <f>3217.36</f>
        <v>3217.36</v>
      </c>
      <c r="L321" s="19">
        <f t="shared" si="16"/>
        <v>64304.610000000008</v>
      </c>
      <c r="M321" s="8"/>
      <c r="N321" s="265"/>
    </row>
    <row r="322" spans="1:14" s="3" customFormat="1" ht="12.2" customHeight="1" x14ac:dyDescent="0.15">
      <c r="A322" s="1" t="s">
        <v>444</v>
      </c>
      <c r="B322" s="2" t="s">
        <v>359</v>
      </c>
      <c r="C322" s="2" t="s">
        <v>296</v>
      </c>
      <c r="D322" s="2" t="s">
        <v>431</v>
      </c>
      <c r="E322" s="6">
        <v>2300</v>
      </c>
      <c r="F322" s="18"/>
      <c r="G322" s="18"/>
      <c r="H322" s="18">
        <f>392.97</f>
        <v>392.97</v>
      </c>
      <c r="I322" s="18">
        <f>13419.1</f>
        <v>13419.1</v>
      </c>
      <c r="J322" s="18">
        <f>29261</f>
        <v>29261</v>
      </c>
      <c r="K322" s="18"/>
      <c r="L322" s="19">
        <f t="shared" si="16"/>
        <v>43073.07</v>
      </c>
      <c r="M322" s="8"/>
      <c r="N322" s="265"/>
    </row>
    <row r="323" spans="1:14" s="3" customFormat="1" ht="12.2" customHeight="1" x14ac:dyDescent="0.15">
      <c r="A323" s="1" t="s">
        <v>445</v>
      </c>
      <c r="B323" s="2" t="s">
        <v>359</v>
      </c>
      <c r="C323" s="2" t="s">
        <v>297</v>
      </c>
      <c r="D323" s="2" t="s">
        <v>431</v>
      </c>
      <c r="E323" s="6">
        <v>2400</v>
      </c>
      <c r="F323" s="18"/>
      <c r="G323" s="18"/>
      <c r="H323" s="18">
        <f>1386</f>
        <v>1386</v>
      </c>
      <c r="I323" s="18"/>
      <c r="J323" s="18"/>
      <c r="K323" s="18"/>
      <c r="L323" s="19">
        <f t="shared" si="16"/>
        <v>1386</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f>55242</f>
        <v>55242</v>
      </c>
      <c r="I325" s="18"/>
      <c r="J325" s="18">
        <f>5181.03</f>
        <v>5181.03</v>
      </c>
      <c r="K325" s="18"/>
      <c r="L325" s="19">
        <f t="shared" si="16"/>
        <v>60423.03</v>
      </c>
      <c r="M325" s="8"/>
      <c r="N325" s="265"/>
    </row>
    <row r="326" spans="1:14" s="3" customFormat="1" ht="12.2" customHeight="1" x14ac:dyDescent="0.15">
      <c r="A326" s="1" t="s">
        <v>448</v>
      </c>
      <c r="B326" s="2" t="s">
        <v>359</v>
      </c>
      <c r="C326" s="2" t="s">
        <v>300</v>
      </c>
      <c r="D326" s="2" t="s">
        <v>431</v>
      </c>
      <c r="E326" s="6">
        <v>2700</v>
      </c>
      <c r="F326" s="18"/>
      <c r="G326" s="18"/>
      <c r="H326" s="18">
        <f>5130.76+21320.86</f>
        <v>26451.620000000003</v>
      </c>
      <c r="I326" s="18">
        <f>1795.87</f>
        <v>1795.87</v>
      </c>
      <c r="J326" s="18"/>
      <c r="K326" s="18"/>
      <c r="L326" s="19">
        <f t="shared" si="16"/>
        <v>28247.49</v>
      </c>
      <c r="M326" s="8"/>
      <c r="N326" s="265"/>
    </row>
    <row r="327" spans="1:14" s="3" customFormat="1" ht="12.2" customHeight="1" x14ac:dyDescent="0.15">
      <c r="A327" s="1" t="s">
        <v>449</v>
      </c>
      <c r="B327" s="2" t="s">
        <v>359</v>
      </c>
      <c r="C327" s="2" t="s">
        <v>343</v>
      </c>
      <c r="D327" s="2" t="s">
        <v>431</v>
      </c>
      <c r="E327" s="6">
        <v>2800</v>
      </c>
      <c r="F327" s="18"/>
      <c r="G327" s="18"/>
      <c r="H327" s="18"/>
      <c r="I327" s="18">
        <f>7497.88</f>
        <v>7497.88</v>
      </c>
      <c r="J327" s="18"/>
      <c r="K327" s="18"/>
      <c r="L327" s="19">
        <f>SUM(F327:K327)</f>
        <v>7497.88</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289181.16000000003</v>
      </c>
      <c r="G329" s="42">
        <f t="shared" si="17"/>
        <v>93633.23000000001</v>
      </c>
      <c r="H329" s="42">
        <f t="shared" si="17"/>
        <v>363328.42</v>
      </c>
      <c r="I329" s="42">
        <f t="shared" si="17"/>
        <v>74880.290000000008</v>
      </c>
      <c r="J329" s="42">
        <f t="shared" si="17"/>
        <v>51550.11</v>
      </c>
      <c r="K329" s="42">
        <f t="shared" si="17"/>
        <v>3535.88</v>
      </c>
      <c r="L329" s="41">
        <f t="shared" si="17"/>
        <v>876109.09</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947308.42</v>
      </c>
      <c r="G339" s="41">
        <f t="shared" si="20"/>
        <v>281387.71999999997</v>
      </c>
      <c r="H339" s="41">
        <f t="shared" si="20"/>
        <v>726607.81</v>
      </c>
      <c r="I339" s="41">
        <f t="shared" si="20"/>
        <v>183935.56</v>
      </c>
      <c r="J339" s="41">
        <f t="shared" si="20"/>
        <v>74832.25</v>
      </c>
      <c r="K339" s="41">
        <f t="shared" si="20"/>
        <v>4238.05</v>
      </c>
      <c r="L339" s="41">
        <f t="shared" si="20"/>
        <v>2218309.81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947308.42</v>
      </c>
      <c r="G353" s="41">
        <f>G339</f>
        <v>281387.71999999997</v>
      </c>
      <c r="H353" s="41">
        <f>H339</f>
        <v>726607.81</v>
      </c>
      <c r="I353" s="41">
        <f>I339</f>
        <v>183935.56</v>
      </c>
      <c r="J353" s="41">
        <f>J339</f>
        <v>74832.25</v>
      </c>
      <c r="K353" s="47">
        <f>K339+K352</f>
        <v>4238.05</v>
      </c>
      <c r="L353" s="41">
        <f>L339+L352</f>
        <v>2218309.81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103130.96</v>
      </c>
      <c r="G359" s="18">
        <v>27768.28</v>
      </c>
      <c r="H359" s="18">
        <f>198.75</f>
        <v>198.75</v>
      </c>
      <c r="I359" s="18">
        <f>13236.72+300+112485.41+8200+337+187.16</f>
        <v>134746.29</v>
      </c>
      <c r="J359" s="18">
        <v>5625</v>
      </c>
      <c r="K359" s="18">
        <v>970.4</v>
      </c>
      <c r="L359" s="13">
        <f>SUM(F359:K359)</f>
        <v>272439.68000000005</v>
      </c>
      <c r="M359" s="8"/>
      <c r="N359" s="265"/>
    </row>
    <row r="360" spans="1:22" s="3" customFormat="1" ht="12.2" customHeight="1" x14ac:dyDescent="0.15">
      <c r="A360" s="1" t="s">
        <v>542</v>
      </c>
      <c r="B360" s="2" t="s">
        <v>366</v>
      </c>
      <c r="C360" s="6">
        <v>2</v>
      </c>
      <c r="D360" s="2" t="s">
        <v>431</v>
      </c>
      <c r="E360" s="6"/>
      <c r="F360" s="18">
        <v>68310.559999999998</v>
      </c>
      <c r="G360" s="18">
        <v>13884.14</v>
      </c>
      <c r="H360" s="18">
        <v>78.75</v>
      </c>
      <c r="I360" s="18">
        <f>4603.42+300+60216.39+8000</f>
        <v>73119.81</v>
      </c>
      <c r="J360" s="18">
        <v>5625</v>
      </c>
      <c r="K360" s="18">
        <v>270.41000000000003</v>
      </c>
      <c r="L360" s="19">
        <f>SUM(F360:K360)</f>
        <v>161288.67000000001</v>
      </c>
      <c r="M360" s="8"/>
      <c r="N360" s="265"/>
    </row>
    <row r="361" spans="1:22" s="3" customFormat="1" ht="12.2" customHeight="1" x14ac:dyDescent="0.15">
      <c r="A361" s="3" t="s">
        <v>543</v>
      </c>
      <c r="B361" s="2" t="s">
        <v>366</v>
      </c>
      <c r="C361" s="6">
        <v>3</v>
      </c>
      <c r="D361" s="2" t="s">
        <v>431</v>
      </c>
      <c r="E361" s="6"/>
      <c r="F361" s="18">
        <v>117794.97</v>
      </c>
      <c r="G361" s="18">
        <v>27768.28</v>
      </c>
      <c r="H361" s="18">
        <v>307</v>
      </c>
      <c r="I361" s="18">
        <f>22404.26+612.46+92533.42+8130.65+6603.12</f>
        <v>130283.90999999999</v>
      </c>
      <c r="J361" s="18">
        <v>5626.67</v>
      </c>
      <c r="K361" s="18">
        <v>1849.19</v>
      </c>
      <c r="L361" s="19">
        <f>SUM(F361:K361)</f>
        <v>283630.01999999996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289236.49</v>
      </c>
      <c r="G363" s="47">
        <f t="shared" si="22"/>
        <v>69420.7</v>
      </c>
      <c r="H363" s="47">
        <f t="shared" si="22"/>
        <v>584.5</v>
      </c>
      <c r="I363" s="47">
        <f t="shared" si="22"/>
        <v>338150.01</v>
      </c>
      <c r="J363" s="47">
        <f t="shared" si="22"/>
        <v>16876.669999999998</v>
      </c>
      <c r="K363" s="47">
        <f t="shared" si="22"/>
        <v>3090</v>
      </c>
      <c r="L363" s="47">
        <f t="shared" si="22"/>
        <v>717358.37000000011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112485.41+8200</f>
        <v>120685.41</v>
      </c>
      <c r="G368" s="18">
        <f>60216.39+8000</f>
        <v>68216.39</v>
      </c>
      <c r="H368" s="18">
        <f>92533.42+8330.65</f>
        <v>100864.06999999999</v>
      </c>
      <c r="I368" s="56">
        <f>SUM(F368:H368)</f>
        <v>289765.87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13236.72+300+337+187.16</f>
        <v>14060.88</v>
      </c>
      <c r="G369" s="63">
        <f>4603.42+300</f>
        <v>4903.42</v>
      </c>
      <c r="H369" s="63">
        <f>22404.26+412.46+6603.12</f>
        <v>29419.839999999997</v>
      </c>
      <c r="I369" s="56">
        <f>SUM(F369:H369)</f>
        <v>48384.14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134746.29</v>
      </c>
      <c r="G370" s="47">
        <f>SUM(G368:G369)</f>
        <v>73119.81</v>
      </c>
      <c r="H370" s="47">
        <f>SUM(H368:H369)</f>
        <v>130283.90999999999</v>
      </c>
      <c r="I370" s="47">
        <f>SUM(I368:I369)</f>
        <v>338150.01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195800</v>
      </c>
      <c r="H397" s="18">
        <v>17473.57</v>
      </c>
      <c r="I397" s="18"/>
      <c r="J397" s="24" t="s">
        <v>288</v>
      </c>
      <c r="K397" s="24" t="s">
        <v>288</v>
      </c>
      <c r="L397" s="56">
        <f t="shared" si="26"/>
        <v>213273.57</v>
      </c>
      <c r="M397" s="8"/>
      <c r="N397" s="265"/>
    </row>
    <row r="398" spans="1:14" s="3" customFormat="1" ht="12.2" customHeight="1" x14ac:dyDescent="0.15">
      <c r="A398" s="79" t="s">
        <v>515</v>
      </c>
      <c r="B398" s="2" t="s">
        <v>381</v>
      </c>
      <c r="C398" s="6">
        <v>10</v>
      </c>
      <c r="D398" s="2" t="s">
        <v>432</v>
      </c>
      <c r="E398" s="6"/>
      <c r="F398" s="18"/>
      <c r="G398" s="18"/>
      <c r="H398" s="18">
        <v>8736.7999999999993</v>
      </c>
      <c r="I398" s="18"/>
      <c r="J398" s="24" t="s">
        <v>288</v>
      </c>
      <c r="K398" s="24" t="s">
        <v>288</v>
      </c>
      <c r="L398" s="56">
        <f t="shared" si="26"/>
        <v>8736.7999999999993</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5254.79</v>
      </c>
      <c r="I401" s="18"/>
      <c r="J401" s="24" t="s">
        <v>288</v>
      </c>
      <c r="K401" s="24" t="s">
        <v>288</v>
      </c>
      <c r="L401" s="56">
        <f t="shared" si="26"/>
        <v>5254.79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195800</v>
      </c>
      <c r="H402" s="47">
        <f>SUM(H396:H401)</f>
        <v>31465.16</v>
      </c>
      <c r="I402" s="47">
        <f>SUM(I396:I401)</f>
        <v>0</v>
      </c>
      <c r="J402" s="45" t="s">
        <v>288</v>
      </c>
      <c r="K402" s="45" t="s">
        <v>288</v>
      </c>
      <c r="L402" s="47">
        <f>SUM(L396:L401)</f>
        <v>227265.16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195800</v>
      </c>
      <c r="H409" s="47">
        <f>H394+H402+H408</f>
        <v>31465.16</v>
      </c>
      <c r="I409" s="47">
        <f>I394+I402+I408</f>
        <v>0</v>
      </c>
      <c r="J409" s="24" t="s">
        <v>288</v>
      </c>
      <c r="K409" s="24" t="s">
        <v>288</v>
      </c>
      <c r="L409" s="47">
        <f>L394+L402+L408</f>
        <v>227265.16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f>737103.5+30418.5</f>
        <v>767522</v>
      </c>
      <c r="H443" s="18"/>
      <c r="I443" s="56">
        <f t="shared" si="33"/>
        <v>767522</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767522</v>
      </c>
      <c r="H447" s="13">
        <f>SUM(H440:H446)</f>
        <v>0</v>
      </c>
      <c r="I447" s="13">
        <f>SUM(I440:I446)</f>
        <v>767522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f>737103.5</f>
        <v>737103.5</v>
      </c>
      <c r="H458" s="18"/>
      <c r="I458" s="56">
        <f t="shared" si="34"/>
        <v>737103.5</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30418.5</v>
      </c>
      <c r="H459" s="18"/>
      <c r="I459" s="56">
        <f t="shared" si="34"/>
        <v>30418.5</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767522</v>
      </c>
      <c r="H461" s="83">
        <f>SUM(H455:H460)</f>
        <v>0</v>
      </c>
      <c r="I461" s="83">
        <f>SUM(I455:I460)</f>
        <v>767522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767522</v>
      </c>
      <c r="H462" s="42">
        <f>H453+H461</f>
        <v>0</v>
      </c>
      <c r="I462" s="42">
        <f>I453+I461</f>
        <v>767522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2588468.19</v>
      </c>
      <c r="G466" s="18">
        <v>0</v>
      </c>
      <c r="H466" s="18">
        <f>54770.23+262246.66+6127.73</f>
        <v>323144.61999999994</v>
      </c>
      <c r="I466" s="18"/>
      <c r="J466" s="18">
        <f>767970.24</f>
        <v>767970.24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40638641.759999998</v>
      </c>
      <c r="G469" s="18">
        <v>1187797.69</v>
      </c>
      <c r="H469" s="18">
        <f>7230.82+296341.67+82330+1850495.1</f>
        <v>2236397.59</v>
      </c>
      <c r="I469" s="18"/>
      <c r="J469" s="18">
        <f>31465.16+195800</f>
        <v>227265.16</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40638641.759999998</v>
      </c>
      <c r="G471" s="53">
        <f>SUM(G469:G470)</f>
        <v>1187797.69</v>
      </c>
      <c r="H471" s="53">
        <f>SUM(H469:H470)</f>
        <v>2236397.59</v>
      </c>
      <c r="I471" s="53">
        <f>SUM(I469:I470)</f>
        <v>0</v>
      </c>
      <c r="J471" s="53">
        <f>SUM(J469:J470)</f>
        <v>227265.16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41337608.310000002</v>
      </c>
      <c r="G473" s="18">
        <v>717358.37</v>
      </c>
      <c r="H473" s="18">
        <f>12802.4+270432.8+84579.51+1850495.1</f>
        <v>2218309.81</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227713.4</v>
      </c>
      <c r="K474" s="24" t="s">
        <v>288</v>
      </c>
      <c r="L474" s="24" t="s">
        <v>288</v>
      </c>
      <c r="N474" s="264"/>
    </row>
    <row r="475" spans="1:14" s="52" customFormat="1" ht="12.2" customHeight="1" x14ac:dyDescent="0.2">
      <c r="A475" s="92" t="s">
        <v>426</v>
      </c>
      <c r="B475" s="75">
        <v>19</v>
      </c>
      <c r="C475" s="80">
        <v>7</v>
      </c>
      <c r="D475" s="2" t="s">
        <v>432</v>
      </c>
      <c r="E475" s="80"/>
      <c r="F475" s="53">
        <f>SUM(F473:F474)</f>
        <v>41337608.310000002</v>
      </c>
      <c r="G475" s="53">
        <f>SUM(G473:G474)</f>
        <v>717358.37</v>
      </c>
      <c r="H475" s="53">
        <f>SUM(H473:H474)</f>
        <v>2218309.81</v>
      </c>
      <c r="I475" s="53">
        <f>SUM(I473:I474)</f>
        <v>0</v>
      </c>
      <c r="J475" s="53">
        <f>SUM(J473:J474)</f>
        <v>227713.4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1889501.6399999931</v>
      </c>
      <c r="G477" s="53">
        <f>(G466+G471)- G475</f>
        <v>470439.31999999995</v>
      </c>
      <c r="H477" s="53">
        <f>(H466+H471)- H475</f>
        <v>341232.39999999991</v>
      </c>
      <c r="I477" s="53">
        <f>(I466+I471)- I475</f>
        <v>0</v>
      </c>
      <c r="J477" s="53">
        <f>(J466+J471)- J475</f>
        <v>767522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t="s">
        <v>1803</v>
      </c>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4393500</v>
      </c>
      <c r="G494" s="18">
        <v>1404300</v>
      </c>
      <c r="H494" s="18">
        <v>2553500</v>
      </c>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1535000</v>
      </c>
      <c r="G496" s="18">
        <v>420000</v>
      </c>
      <c r="H496" s="18">
        <v>1785000</v>
      </c>
      <c r="I496" s="18"/>
      <c r="J496" s="18"/>
      <c r="K496" s="53">
        <f>SUM(F496:J496)</f>
        <v>3740000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220000</v>
      </c>
      <c r="G498" s="18">
        <v>140000</v>
      </c>
      <c r="H498" s="18">
        <v>255000</v>
      </c>
      <c r="I498" s="18"/>
      <c r="J498" s="18"/>
      <c r="K498" s="53">
        <f t="shared" si="35"/>
        <v>615000</v>
      </c>
      <c r="L498" s="24" t="s">
        <v>288</v>
      </c>
      <c r="N498" s="264"/>
    </row>
    <row r="499" spans="1:14" s="52" customFormat="1" ht="12.2" customHeight="1" x14ac:dyDescent="0.2">
      <c r="A499" s="199" t="s">
        <v>622</v>
      </c>
      <c r="B499" s="200">
        <v>20</v>
      </c>
      <c r="C499" s="201">
        <v>9</v>
      </c>
      <c r="D499" s="202" t="s">
        <v>432</v>
      </c>
      <c r="E499" s="201"/>
      <c r="F499" s="203">
        <v>1315000</v>
      </c>
      <c r="G499" s="203">
        <v>280000</v>
      </c>
      <c r="H499" s="203">
        <v>1530000</v>
      </c>
      <c r="I499" s="203"/>
      <c r="J499" s="203"/>
      <c r="K499" s="204">
        <f t="shared" si="35"/>
        <v>3125000</v>
      </c>
      <c r="L499" s="205" t="s">
        <v>288</v>
      </c>
      <c r="N499" s="264"/>
    </row>
    <row r="500" spans="1:14" s="52" customFormat="1" ht="12.2" customHeight="1" thickBot="1" x14ac:dyDescent="0.25">
      <c r="A500" s="22" t="s">
        <v>623</v>
      </c>
      <c r="B500" s="75">
        <v>20</v>
      </c>
      <c r="C500" s="115">
        <v>10</v>
      </c>
      <c r="D500" s="2" t="s">
        <v>432</v>
      </c>
      <c r="E500" s="115"/>
      <c r="F500" s="18">
        <v>137700.56</v>
      </c>
      <c r="G500" s="18">
        <v>14980</v>
      </c>
      <c r="H500" s="18">
        <v>344632.5</v>
      </c>
      <c r="I500" s="18"/>
      <c r="J500" s="18"/>
      <c r="K500" s="53">
        <f t="shared" si="35"/>
        <v>497313.06</v>
      </c>
      <c r="L500" s="24" t="s">
        <v>288</v>
      </c>
      <c r="N500" s="264"/>
    </row>
    <row r="501" spans="1:14" s="52" customFormat="1" ht="12.2" customHeight="1" thickTop="1" x14ac:dyDescent="0.2">
      <c r="A501" s="139" t="s">
        <v>624</v>
      </c>
      <c r="B501" s="44">
        <v>20</v>
      </c>
      <c r="C501" s="194">
        <v>11</v>
      </c>
      <c r="D501" s="39" t="s">
        <v>432</v>
      </c>
      <c r="E501" s="194"/>
      <c r="F501" s="42">
        <f>SUM(F499:F500)</f>
        <v>1452700.56</v>
      </c>
      <c r="G501" s="42">
        <f>SUM(G499:G500)</f>
        <v>294980</v>
      </c>
      <c r="H501" s="42">
        <f>SUM(H499:H500)</f>
        <v>1874632.5</v>
      </c>
      <c r="I501" s="42">
        <f>SUM(I499:I500)</f>
        <v>0</v>
      </c>
      <c r="J501" s="42">
        <f>SUM(J499:J500)</f>
        <v>0</v>
      </c>
      <c r="K501" s="42">
        <f t="shared" si="35"/>
        <v>3622313.06</v>
      </c>
      <c r="L501" s="45" t="s">
        <v>288</v>
      </c>
      <c r="N501" s="264"/>
    </row>
    <row r="502" spans="1:14" s="52" customFormat="1" ht="12.2" customHeight="1" x14ac:dyDescent="0.2">
      <c r="A502" s="199" t="s">
        <v>651</v>
      </c>
      <c r="B502" s="200">
        <v>20</v>
      </c>
      <c r="C502" s="201">
        <v>12</v>
      </c>
      <c r="D502" s="202" t="s">
        <v>432</v>
      </c>
      <c r="E502" s="201"/>
      <c r="F502" s="203">
        <v>220000</v>
      </c>
      <c r="G502" s="203">
        <v>140000</v>
      </c>
      <c r="H502" s="203">
        <v>255000</v>
      </c>
      <c r="I502" s="203"/>
      <c r="J502" s="203"/>
      <c r="K502" s="204">
        <f t="shared" si="35"/>
        <v>615000</v>
      </c>
      <c r="L502" s="205" t="s">
        <v>288</v>
      </c>
      <c r="N502" s="264"/>
    </row>
    <row r="503" spans="1:14" s="52" customFormat="1" ht="12.2" customHeight="1" thickBot="1" x14ac:dyDescent="0.25">
      <c r="A503" s="22" t="s">
        <v>625</v>
      </c>
      <c r="B503" s="75">
        <v>20</v>
      </c>
      <c r="C503" s="115">
        <v>13</v>
      </c>
      <c r="D503" s="2" t="s">
        <v>432</v>
      </c>
      <c r="E503" s="115"/>
      <c r="F503" s="18">
        <v>44156.26</v>
      </c>
      <c r="G503" s="18">
        <v>11235</v>
      </c>
      <c r="H503" s="18">
        <v>71527.5</v>
      </c>
      <c r="I503" s="18"/>
      <c r="J503" s="18"/>
      <c r="K503" s="53">
        <f t="shared" si="35"/>
        <v>126918.76000000001</v>
      </c>
      <c r="L503" s="24" t="s">
        <v>288</v>
      </c>
      <c r="N503" s="264"/>
    </row>
    <row r="504" spans="1:14" s="52" customFormat="1" ht="12.2" customHeight="1" thickTop="1" x14ac:dyDescent="0.2">
      <c r="A504" s="139" t="s">
        <v>626</v>
      </c>
      <c r="B504" s="44">
        <v>20</v>
      </c>
      <c r="C504" s="194">
        <v>14</v>
      </c>
      <c r="D504" s="39" t="s">
        <v>432</v>
      </c>
      <c r="E504" s="194"/>
      <c r="F504" s="42">
        <f>SUM(F502:F503)</f>
        <v>264156.26</v>
      </c>
      <c r="G504" s="42">
        <f>SUM(G502:G503)</f>
        <v>151235</v>
      </c>
      <c r="H504" s="42">
        <f>SUM(H502:H503)</f>
        <v>326527.5</v>
      </c>
      <c r="I504" s="42">
        <f>SUM(I502:I503)</f>
        <v>0</v>
      </c>
      <c r="J504" s="42">
        <f>SUM(J502:J503)</f>
        <v>0</v>
      </c>
      <c r="K504" s="42">
        <f t="shared" si="35"/>
        <v>741918.76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1473691.65+353406.63</f>
        <v>1827098.2799999998</v>
      </c>
      <c r="G522" s="18">
        <f>960224.96+69380.47</f>
        <v>1029605.4299999999</v>
      </c>
      <c r="H522" s="18">
        <f>294173.34+100641.78</f>
        <v>394815.12</v>
      </c>
      <c r="I522" s="18">
        <f>9175.91+1104.66</f>
        <v>10280.57</v>
      </c>
      <c r="J522" s="18">
        <f>3343.96</f>
        <v>3343.96</v>
      </c>
      <c r="K522" s="18"/>
      <c r="L522" s="88">
        <f>SUM(F522:K522)</f>
        <v>3265143.36</v>
      </c>
      <c r="N522" s="264"/>
    </row>
    <row r="523" spans="1:14" s="52" customFormat="1" ht="12.2" customHeight="1" x14ac:dyDescent="0.2">
      <c r="A523" s="22" t="s">
        <v>634</v>
      </c>
      <c r="B523" s="105">
        <v>21</v>
      </c>
      <c r="C523" s="115">
        <v>2</v>
      </c>
      <c r="D523" s="2" t="s">
        <v>432</v>
      </c>
      <c r="E523" s="115"/>
      <c r="F523" s="18">
        <f>627901.02+239511.09</f>
        <v>867412.11</v>
      </c>
      <c r="G523" s="18">
        <f>560335.04+44711.86</f>
        <v>605046.9</v>
      </c>
      <c r="H523" s="18">
        <f>157464.94+64858.04</f>
        <v>222322.98</v>
      </c>
      <c r="I523" s="18">
        <f>1670.45+959.85</f>
        <v>2630.3</v>
      </c>
      <c r="J523" s="18">
        <f>2155</f>
        <v>2155</v>
      </c>
      <c r="K523" s="18"/>
      <c r="L523" s="88">
        <f>SUM(F523:K523)</f>
        <v>1699567.29</v>
      </c>
      <c r="N523" s="264"/>
    </row>
    <row r="524" spans="1:14" s="52" customFormat="1" ht="12.2" customHeight="1" thickBot="1" x14ac:dyDescent="0.25">
      <c r="A524" s="22" t="s">
        <v>635</v>
      </c>
      <c r="B524" s="105">
        <v>21</v>
      </c>
      <c r="C524" s="115">
        <v>3</v>
      </c>
      <c r="D524" s="2" t="s">
        <v>432</v>
      </c>
      <c r="E524" s="115"/>
      <c r="F524" s="18">
        <f>720423.31+348170.17</f>
        <v>1068593.48</v>
      </c>
      <c r="G524" s="18">
        <f>448072.37+40086.49</f>
        <v>488158.86</v>
      </c>
      <c r="H524" s="18">
        <f>740732.88+58148.59</f>
        <v>798881.47</v>
      </c>
      <c r="I524" s="18">
        <f>557.7+1848.89</f>
        <v>2406.59</v>
      </c>
      <c r="J524" s="18">
        <f>1932.07</f>
        <v>1932.07</v>
      </c>
      <c r="K524" s="18"/>
      <c r="L524" s="88">
        <f>SUM(F524:K524)</f>
        <v>2359972.4699999993</v>
      </c>
      <c r="N524" s="264"/>
    </row>
    <row r="525" spans="1:14" s="52" customFormat="1" ht="12.2" customHeight="1" thickTop="1" x14ac:dyDescent="0.2">
      <c r="A525" s="139" t="s">
        <v>63</v>
      </c>
      <c r="B525" s="107">
        <v>21</v>
      </c>
      <c r="C525" s="194">
        <v>4</v>
      </c>
      <c r="D525" s="195" t="s">
        <v>432</v>
      </c>
      <c r="E525" s="194"/>
      <c r="F525" s="108">
        <f>SUM(F522:F524)</f>
        <v>3763103.8699999996</v>
      </c>
      <c r="G525" s="108">
        <f t="shared" ref="G525:L525" si="36">SUM(G522:G524)</f>
        <v>2122811.19</v>
      </c>
      <c r="H525" s="108">
        <f t="shared" si="36"/>
        <v>1416019.5699999998</v>
      </c>
      <c r="I525" s="108">
        <f t="shared" si="36"/>
        <v>15317.46</v>
      </c>
      <c r="J525" s="108">
        <f t="shared" si="36"/>
        <v>7431.03</v>
      </c>
      <c r="K525" s="108">
        <f t="shared" si="36"/>
        <v>0</v>
      </c>
      <c r="L525" s="89">
        <f t="shared" si="36"/>
        <v>7324683.1199999992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494996.48+630678.47</f>
        <v>1125674.95</v>
      </c>
      <c r="G527" s="18">
        <f>108838.54</f>
        <v>108838.54</v>
      </c>
      <c r="H527" s="18">
        <f>77480.55+122885.69</f>
        <v>200366.24</v>
      </c>
      <c r="I527" s="18">
        <f>6806.4+5608.52</f>
        <v>12414.92</v>
      </c>
      <c r="J527" s="18">
        <f>965.34+6006.95</f>
        <v>6972.29</v>
      </c>
      <c r="K527" s="18"/>
      <c r="L527" s="88">
        <f>SUM(F527:K527)</f>
        <v>1454266.94</v>
      </c>
      <c r="M527" s="8"/>
      <c r="N527" s="265"/>
    </row>
    <row r="528" spans="1:14" s="3" customFormat="1" ht="12.2" customHeight="1" x14ac:dyDescent="0.15">
      <c r="A528" s="22" t="s">
        <v>634</v>
      </c>
      <c r="B528" s="105">
        <v>21</v>
      </c>
      <c r="C528" s="115">
        <v>6</v>
      </c>
      <c r="D528" s="2" t="s">
        <v>432</v>
      </c>
      <c r="E528" s="115"/>
      <c r="F528" s="18">
        <f>301157.83+262421.25</f>
        <v>563579.08000000007</v>
      </c>
      <c r="G528" s="18">
        <f>111284.35</f>
        <v>111284.35</v>
      </c>
      <c r="H528" s="18">
        <f>75+87651.1</f>
        <v>87726.1</v>
      </c>
      <c r="I528" s="18">
        <f>4537.03+2817.04</f>
        <v>7354.07</v>
      </c>
      <c r="J528" s="18">
        <f>3805.93</f>
        <v>3805.93</v>
      </c>
      <c r="K528" s="18"/>
      <c r="L528" s="88">
        <f>SUM(F528:K528)</f>
        <v>773749.53</v>
      </c>
      <c r="M528" s="8"/>
      <c r="N528" s="265"/>
    </row>
    <row r="529" spans="1:14" s="3" customFormat="1" ht="12.2" customHeight="1" thickBot="1" x14ac:dyDescent="0.2">
      <c r="A529" s="22" t="s">
        <v>635</v>
      </c>
      <c r="B529" s="118">
        <v>21</v>
      </c>
      <c r="C529" s="118">
        <v>7</v>
      </c>
      <c r="D529" s="2" t="s">
        <v>432</v>
      </c>
      <c r="E529" s="118"/>
      <c r="F529" s="18">
        <f>549722.29+119210.07</f>
        <v>668932.3600000001</v>
      </c>
      <c r="G529" s="18">
        <f>212051.72</f>
        <v>212051.72</v>
      </c>
      <c r="H529" s="18">
        <f>10959.36+71641.24</f>
        <v>82600.600000000006</v>
      </c>
      <c r="I529" s="18">
        <f>11456.86+2298.65</f>
        <v>13755.51</v>
      </c>
      <c r="J529" s="18">
        <f>7169.47+3019.79</f>
        <v>10189.26</v>
      </c>
      <c r="K529" s="18">
        <f>379</f>
        <v>379</v>
      </c>
      <c r="L529" s="88">
        <f>SUM(F529:K529)</f>
        <v>987908.45000000007</v>
      </c>
      <c r="M529" s="8"/>
      <c r="N529" s="265"/>
    </row>
    <row r="530" spans="1:14" s="3" customFormat="1" ht="12.2" customHeight="1" thickTop="1" x14ac:dyDescent="0.15">
      <c r="A530" s="139" t="s">
        <v>65</v>
      </c>
      <c r="B530" s="107">
        <v>21</v>
      </c>
      <c r="C530" s="107">
        <v>8</v>
      </c>
      <c r="D530" s="158" t="s">
        <v>432</v>
      </c>
      <c r="E530" s="107"/>
      <c r="F530" s="89">
        <f>SUM(F527:F529)</f>
        <v>2358186.39</v>
      </c>
      <c r="G530" s="89">
        <f t="shared" ref="G530:L530" si="37">SUM(G527:G529)</f>
        <v>432174.61</v>
      </c>
      <c r="H530" s="89">
        <f t="shared" si="37"/>
        <v>370692.93999999994</v>
      </c>
      <c r="I530" s="89">
        <f t="shared" si="37"/>
        <v>33524.5</v>
      </c>
      <c r="J530" s="89">
        <f t="shared" si="37"/>
        <v>20967.48</v>
      </c>
      <c r="K530" s="89">
        <f t="shared" si="37"/>
        <v>379</v>
      </c>
      <c r="L530" s="89">
        <f t="shared" si="37"/>
        <v>3215924.92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202836.94</f>
        <v>202836.94</v>
      </c>
      <c r="G532" s="18">
        <f>15408.6</f>
        <v>15408.6</v>
      </c>
      <c r="H532" s="18">
        <f>2918.33</f>
        <v>2918.33</v>
      </c>
      <c r="I532" s="18">
        <f>1830.04</f>
        <v>1830.04</v>
      </c>
      <c r="J532" s="18"/>
      <c r="K532" s="18">
        <f>803.62</f>
        <v>803.62</v>
      </c>
      <c r="L532" s="88">
        <f>SUM(F532:K532)</f>
        <v>223797.53</v>
      </c>
      <c r="M532" s="8"/>
      <c r="N532" s="265"/>
    </row>
    <row r="533" spans="1:14" s="3" customFormat="1" ht="12.2" customHeight="1" x14ac:dyDescent="0.15">
      <c r="A533" s="22" t="s">
        <v>634</v>
      </c>
      <c r="B533" s="105">
        <v>21</v>
      </c>
      <c r="C533" s="105">
        <v>10</v>
      </c>
      <c r="D533" s="2" t="s">
        <v>432</v>
      </c>
      <c r="E533" s="105"/>
      <c r="F533" s="18">
        <f>130717.14</f>
        <v>130717.14</v>
      </c>
      <c r="G533" s="18">
        <f>15897.76</f>
        <v>15897.76</v>
      </c>
      <c r="H533" s="18">
        <f>1880.7</f>
        <v>1880.7</v>
      </c>
      <c r="I533" s="18">
        <f>1179.36</f>
        <v>1179.3599999999999</v>
      </c>
      <c r="J533" s="18"/>
      <c r="K533" s="18">
        <f>517.89</f>
        <v>517.89</v>
      </c>
      <c r="L533" s="88">
        <f>SUM(F533:K533)</f>
        <v>150192.85</v>
      </c>
      <c r="M533" s="8"/>
      <c r="N533" s="265"/>
    </row>
    <row r="534" spans="1:14" s="3" customFormat="1" ht="12.2" customHeight="1" thickBot="1" x14ac:dyDescent="0.2">
      <c r="A534" s="22" t="s">
        <v>635</v>
      </c>
      <c r="B534" s="105">
        <v>21</v>
      </c>
      <c r="C534" s="105">
        <v>11</v>
      </c>
      <c r="D534" s="2" t="s">
        <v>432</v>
      </c>
      <c r="E534" s="105"/>
      <c r="F534" s="18">
        <f>117194.69</f>
        <v>117194.69</v>
      </c>
      <c r="G534" s="18">
        <f>13696.54</f>
        <v>13696.54</v>
      </c>
      <c r="H534" s="18">
        <f>1686.15</f>
        <v>1686.15</v>
      </c>
      <c r="I534" s="18">
        <f>1057.36</f>
        <v>1057.3599999999999</v>
      </c>
      <c r="J534" s="18"/>
      <c r="K534" s="18">
        <f>464.31</f>
        <v>464.31</v>
      </c>
      <c r="L534" s="88">
        <f>SUM(F534:K534)</f>
        <v>134099.04999999999</v>
      </c>
      <c r="M534" s="8"/>
      <c r="N534" s="265"/>
    </row>
    <row r="535" spans="1:14" s="3" customFormat="1" ht="12.2" customHeight="1" thickTop="1" x14ac:dyDescent="0.15">
      <c r="A535" s="139" t="s">
        <v>67</v>
      </c>
      <c r="B535" s="107">
        <v>21</v>
      </c>
      <c r="C535" s="107">
        <v>12</v>
      </c>
      <c r="D535" s="158" t="s">
        <v>432</v>
      </c>
      <c r="E535" s="107"/>
      <c r="F535" s="89">
        <f>SUM(F532:F534)</f>
        <v>450748.77</v>
      </c>
      <c r="G535" s="89">
        <f t="shared" ref="G535:L535" si="38">SUM(G532:G534)</f>
        <v>45002.9</v>
      </c>
      <c r="H535" s="89">
        <f t="shared" si="38"/>
        <v>6485.18</v>
      </c>
      <c r="I535" s="89">
        <f t="shared" si="38"/>
        <v>4066.7599999999993</v>
      </c>
      <c r="J535" s="89">
        <f t="shared" si="38"/>
        <v>0</v>
      </c>
      <c r="K535" s="89">
        <f t="shared" si="38"/>
        <v>1785.82</v>
      </c>
      <c r="L535" s="89">
        <f t="shared" si="38"/>
        <v>508089.43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f>3524.4</f>
        <v>3524.4</v>
      </c>
      <c r="I537" s="18"/>
      <c r="J537" s="18"/>
      <c r="K537" s="18"/>
      <c r="L537" s="88">
        <f>SUM(F537:K537)</f>
        <v>3524.4</v>
      </c>
      <c r="M537" s="8"/>
      <c r="N537" s="265"/>
    </row>
    <row r="538" spans="1:14" s="3" customFormat="1" ht="12.2" customHeight="1" x14ac:dyDescent="0.15">
      <c r="A538" s="22" t="s">
        <v>634</v>
      </c>
      <c r="B538" s="105">
        <v>21</v>
      </c>
      <c r="C538" s="105">
        <v>14</v>
      </c>
      <c r="D538" s="2" t="s">
        <v>432</v>
      </c>
      <c r="E538" s="105"/>
      <c r="F538" s="18"/>
      <c r="G538" s="18"/>
      <c r="H538" s="18">
        <f>2271.28</f>
        <v>2271.2800000000002</v>
      </c>
      <c r="I538" s="18"/>
      <c r="J538" s="18"/>
      <c r="K538" s="18"/>
      <c r="L538" s="88">
        <f>SUM(F538:K538)</f>
        <v>2271.2800000000002</v>
      </c>
      <c r="M538" s="8"/>
      <c r="N538" s="265"/>
    </row>
    <row r="539" spans="1:14" s="3" customFormat="1" ht="12.2" customHeight="1" thickBot="1" x14ac:dyDescent="0.2">
      <c r="A539" s="22" t="s">
        <v>635</v>
      </c>
      <c r="B539" s="105">
        <v>21</v>
      </c>
      <c r="C539" s="105">
        <v>15</v>
      </c>
      <c r="D539" s="2" t="s">
        <v>432</v>
      </c>
      <c r="E539" s="105"/>
      <c r="F539" s="18"/>
      <c r="G539" s="18"/>
      <c r="H539" s="18">
        <f>2036.32</f>
        <v>2036.32</v>
      </c>
      <c r="I539" s="18"/>
      <c r="J539" s="18"/>
      <c r="K539" s="18"/>
      <c r="L539" s="88">
        <f>SUM(F539:K539)</f>
        <v>2036.32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7832</v>
      </c>
      <c r="I540" s="89">
        <f t="shared" si="39"/>
        <v>0</v>
      </c>
      <c r="J540" s="89">
        <f t="shared" si="39"/>
        <v>0</v>
      </c>
      <c r="K540" s="89">
        <f t="shared" si="39"/>
        <v>0</v>
      </c>
      <c r="L540" s="89">
        <f t="shared" si="39"/>
        <v>7832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242814.17</f>
        <v>242814.17</v>
      </c>
      <c r="I542" s="18"/>
      <c r="J542" s="18"/>
      <c r="K542" s="18"/>
      <c r="L542" s="88">
        <f>SUM(F542:K542)</f>
        <v>242814.17</v>
      </c>
      <c r="M542" s="8"/>
      <c r="N542" s="265"/>
    </row>
    <row r="543" spans="1:14" s="3" customFormat="1" ht="12.2" customHeight="1" x14ac:dyDescent="0.15">
      <c r="A543" s="22" t="s">
        <v>634</v>
      </c>
      <c r="B543" s="105">
        <v>21</v>
      </c>
      <c r="C543" s="105">
        <v>18</v>
      </c>
      <c r="D543" s="2" t="s">
        <v>432</v>
      </c>
      <c r="E543" s="105"/>
      <c r="F543" s="18"/>
      <c r="G543" s="18"/>
      <c r="H543" s="18">
        <f>87135.17</f>
        <v>87135.17</v>
      </c>
      <c r="I543" s="18"/>
      <c r="J543" s="18"/>
      <c r="K543" s="18"/>
      <c r="L543" s="88">
        <f>SUM(F543:K543)</f>
        <v>87135.17</v>
      </c>
      <c r="M543" s="8"/>
      <c r="N543" s="265"/>
    </row>
    <row r="544" spans="1:14" s="3" customFormat="1" ht="12.2" customHeight="1" thickBot="1" x14ac:dyDescent="0.2">
      <c r="A544" s="22" t="s">
        <v>635</v>
      </c>
      <c r="B544" s="105">
        <v>21</v>
      </c>
      <c r="C544" s="105">
        <v>19</v>
      </c>
      <c r="D544" s="2" t="s">
        <v>432</v>
      </c>
      <c r="E544" s="105"/>
      <c r="F544" s="18"/>
      <c r="G544" s="18"/>
      <c r="H544" s="18">
        <f>182622.47</f>
        <v>182622.47</v>
      </c>
      <c r="I544" s="18"/>
      <c r="J544" s="18"/>
      <c r="K544" s="18"/>
      <c r="L544" s="88">
        <f>SUM(F544:K544)</f>
        <v>182622.47</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512571.81000000006</v>
      </c>
      <c r="I545" s="192">
        <f t="shared" si="40"/>
        <v>0</v>
      </c>
      <c r="J545" s="192">
        <f t="shared" si="40"/>
        <v>0</v>
      </c>
      <c r="K545" s="192">
        <f t="shared" si="40"/>
        <v>0</v>
      </c>
      <c r="L545" s="192">
        <f t="shared" si="40"/>
        <v>512571.81000000006</v>
      </c>
      <c r="M545" s="8"/>
      <c r="N545" s="265"/>
    </row>
    <row r="546" spans="1:14" s="3" customFormat="1" ht="12.2" customHeight="1" thickTop="1" x14ac:dyDescent="0.15">
      <c r="A546" s="98" t="s">
        <v>72</v>
      </c>
      <c r="B546" s="107">
        <v>21</v>
      </c>
      <c r="C546" s="107">
        <v>21</v>
      </c>
      <c r="D546" s="158" t="s">
        <v>432</v>
      </c>
      <c r="E546" s="107"/>
      <c r="F546" s="89">
        <f>F525+F530+F535+F540+F545</f>
        <v>6572039.0299999993</v>
      </c>
      <c r="G546" s="89">
        <f t="shared" ref="G546:L546" si="41">G525+G530+G535+G540+G545</f>
        <v>2599988.6999999997</v>
      </c>
      <c r="H546" s="89">
        <f t="shared" si="41"/>
        <v>2313601.5</v>
      </c>
      <c r="I546" s="89">
        <f t="shared" si="41"/>
        <v>52908.72</v>
      </c>
      <c r="J546" s="89">
        <f t="shared" si="41"/>
        <v>28398.51</v>
      </c>
      <c r="K546" s="89">
        <f t="shared" si="41"/>
        <v>2164.8199999999997</v>
      </c>
      <c r="L546" s="89">
        <f t="shared" si="41"/>
        <v>11569101.279999999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3265143.36</v>
      </c>
      <c r="G550" s="87">
        <f>L527</f>
        <v>1454266.94</v>
      </c>
      <c r="H550" s="87">
        <f>L532</f>
        <v>223797.53</v>
      </c>
      <c r="I550" s="87">
        <f>L537</f>
        <v>3524.4</v>
      </c>
      <c r="J550" s="87">
        <f>L542</f>
        <v>242814.17</v>
      </c>
      <c r="K550" s="87">
        <f>SUM(F550:J550)</f>
        <v>5189546.4000000004</v>
      </c>
      <c r="L550" s="24" t="s">
        <v>288</v>
      </c>
      <c r="M550" s="8"/>
      <c r="N550" s="265"/>
    </row>
    <row r="551" spans="1:14" s="3" customFormat="1" ht="12.2" customHeight="1" x14ac:dyDescent="0.15">
      <c r="A551" s="22" t="s">
        <v>634</v>
      </c>
      <c r="B551" s="75">
        <v>21</v>
      </c>
      <c r="C551" s="75">
        <v>23</v>
      </c>
      <c r="D551" s="2" t="s">
        <v>432</v>
      </c>
      <c r="E551" s="75"/>
      <c r="F551" s="87">
        <f>L523</f>
        <v>1699567.29</v>
      </c>
      <c r="G551" s="87">
        <f>L528</f>
        <v>773749.53</v>
      </c>
      <c r="H551" s="87">
        <f>L533</f>
        <v>150192.85</v>
      </c>
      <c r="I551" s="87">
        <f>L538</f>
        <v>2271.2800000000002</v>
      </c>
      <c r="J551" s="87">
        <f>L543</f>
        <v>87135.17</v>
      </c>
      <c r="K551" s="87">
        <f>SUM(F551:J551)</f>
        <v>2712916.12</v>
      </c>
      <c r="L551" s="24" t="s">
        <v>288</v>
      </c>
      <c r="M551" s="8"/>
      <c r="N551" s="265"/>
    </row>
    <row r="552" spans="1:14" s="3" customFormat="1" ht="12.2" customHeight="1" thickBot="1" x14ac:dyDescent="0.2">
      <c r="A552" s="22" t="s">
        <v>635</v>
      </c>
      <c r="B552" s="75">
        <v>21</v>
      </c>
      <c r="C552" s="75">
        <v>24</v>
      </c>
      <c r="D552" s="2" t="s">
        <v>432</v>
      </c>
      <c r="E552" s="75"/>
      <c r="F552" s="87">
        <f>L524</f>
        <v>2359972.4699999993</v>
      </c>
      <c r="G552" s="87">
        <f>L529</f>
        <v>987908.45000000007</v>
      </c>
      <c r="H552" s="87">
        <f>L534</f>
        <v>134099.04999999999</v>
      </c>
      <c r="I552" s="87">
        <f>L539</f>
        <v>2036.32</v>
      </c>
      <c r="J552" s="87">
        <f>L544</f>
        <v>182622.47</v>
      </c>
      <c r="K552" s="87">
        <f>SUM(F552:J552)</f>
        <v>3666638.7599999993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7324683.1199999992</v>
      </c>
      <c r="G553" s="89">
        <f t="shared" si="42"/>
        <v>3215924.92</v>
      </c>
      <c r="H553" s="89">
        <f t="shared" si="42"/>
        <v>508089.43</v>
      </c>
      <c r="I553" s="89">
        <f t="shared" si="42"/>
        <v>7832</v>
      </c>
      <c r="J553" s="89">
        <f t="shared" si="42"/>
        <v>512571.81000000006</v>
      </c>
      <c r="K553" s="89">
        <f t="shared" si="42"/>
        <v>11569101.279999999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f>199253.97</f>
        <v>199253.97</v>
      </c>
      <c r="G558" s="18">
        <f>32127.84</f>
        <v>32127.84</v>
      </c>
      <c r="H558" s="18">
        <f>18937.65</f>
        <v>18937.650000000001</v>
      </c>
      <c r="I558" s="18">
        <f>7158.63</f>
        <v>7158.63</v>
      </c>
      <c r="J558" s="18"/>
      <c r="K558" s="18"/>
      <c r="L558" s="88">
        <f>SUM(F558:K558)</f>
        <v>257478.09</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199253.97</v>
      </c>
      <c r="G561" s="108">
        <f t="shared" si="43"/>
        <v>32127.84</v>
      </c>
      <c r="H561" s="108">
        <f t="shared" si="43"/>
        <v>18937.650000000001</v>
      </c>
      <c r="I561" s="108">
        <f t="shared" si="43"/>
        <v>7158.63</v>
      </c>
      <c r="J561" s="108">
        <f t="shared" si="43"/>
        <v>0</v>
      </c>
      <c r="K561" s="108">
        <f t="shared" si="43"/>
        <v>0</v>
      </c>
      <c r="L561" s="89">
        <f t="shared" si="43"/>
        <v>257478.09</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f>36486.59+1487.1</f>
        <v>37973.689999999995</v>
      </c>
      <c r="G563" s="18">
        <f>21209.25+249.02+566.91</f>
        <v>22025.18</v>
      </c>
      <c r="H563" s="18">
        <f>222.79+78</f>
        <v>300.78999999999996</v>
      </c>
      <c r="I563" s="18">
        <f>36.73+339.08</f>
        <v>375.81</v>
      </c>
      <c r="J563" s="18">
        <f>339.97</f>
        <v>339.97</v>
      </c>
      <c r="K563" s="18"/>
      <c r="L563" s="88">
        <f>SUM(F563:K563)</f>
        <v>61015.439999999995</v>
      </c>
      <c r="M563" s="8"/>
      <c r="N563" s="265"/>
    </row>
    <row r="564" spans="1:14" s="3" customFormat="1" ht="12.2" customHeight="1" x14ac:dyDescent="0.15">
      <c r="A564" s="22" t="s">
        <v>634</v>
      </c>
      <c r="B564" s="105">
        <v>22</v>
      </c>
      <c r="C564" s="115">
        <v>6</v>
      </c>
      <c r="D564" s="2" t="s">
        <v>432</v>
      </c>
      <c r="E564" s="115"/>
      <c r="F564" s="18">
        <f>26195.5+1067.66</f>
        <v>27263.16</v>
      </c>
      <c r="G564" s="18">
        <f>15227.15+178.79</f>
        <v>15405.94</v>
      </c>
      <c r="H564" s="18">
        <f>159.95+56</f>
        <v>215.95</v>
      </c>
      <c r="I564" s="18">
        <f>26.37+243.44</f>
        <v>269.81</v>
      </c>
      <c r="J564" s="18">
        <f>244.08</f>
        <v>244.08</v>
      </c>
      <c r="K564" s="18"/>
      <c r="L564" s="88">
        <f>SUM(F564:K564)</f>
        <v>43398.939999999995</v>
      </c>
      <c r="M564" s="8"/>
      <c r="N564" s="265"/>
    </row>
    <row r="565" spans="1:14" s="3" customFormat="1" ht="12.2" customHeight="1" thickBot="1" x14ac:dyDescent="0.2">
      <c r="A565" s="22" t="s">
        <v>635</v>
      </c>
      <c r="B565" s="105">
        <v>22</v>
      </c>
      <c r="C565" s="118">
        <v>7</v>
      </c>
      <c r="D565" s="2" t="s">
        <v>432</v>
      </c>
      <c r="E565" s="118"/>
      <c r="F565" s="18">
        <f>30873.27+1258.31</f>
        <v>32131.58</v>
      </c>
      <c r="G565" s="18">
        <f>17946.29+210.71</f>
        <v>18157</v>
      </c>
      <c r="H565" s="18">
        <f>188.52+66</f>
        <v>254.52</v>
      </c>
      <c r="I565" s="18">
        <f>31.08+286.92</f>
        <v>318</v>
      </c>
      <c r="J565" s="18">
        <f>287.66</f>
        <v>287.66000000000003</v>
      </c>
      <c r="K565" s="18"/>
      <c r="L565" s="88">
        <f>SUM(F565:K565)</f>
        <v>51148.76</v>
      </c>
      <c r="M565" s="8"/>
      <c r="N565" s="265"/>
    </row>
    <row r="566" spans="1:14" s="3" customFormat="1" ht="12.2" customHeight="1" thickTop="1" x14ac:dyDescent="0.15">
      <c r="A566" s="139" t="s">
        <v>65</v>
      </c>
      <c r="B566" s="107">
        <v>22</v>
      </c>
      <c r="C566" s="107">
        <v>8</v>
      </c>
      <c r="D566" s="195" t="s">
        <v>432</v>
      </c>
      <c r="E566" s="107"/>
      <c r="F566" s="89">
        <f t="shared" ref="F566:L566" si="44">SUM(F563:F565)</f>
        <v>97368.43</v>
      </c>
      <c r="G566" s="89">
        <f t="shared" si="44"/>
        <v>55588.12</v>
      </c>
      <c r="H566" s="89">
        <f t="shared" si="44"/>
        <v>771.26</v>
      </c>
      <c r="I566" s="89">
        <f t="shared" si="44"/>
        <v>963.62</v>
      </c>
      <c r="J566" s="89">
        <f t="shared" si="44"/>
        <v>871.71</v>
      </c>
      <c r="K566" s="89">
        <f t="shared" si="44"/>
        <v>0</v>
      </c>
      <c r="L566" s="89">
        <f t="shared" si="44"/>
        <v>155563.13999999998</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f>85514</f>
        <v>85514</v>
      </c>
      <c r="G568" s="18">
        <f>51894.14</f>
        <v>51894.14</v>
      </c>
      <c r="H568" s="18"/>
      <c r="I568" s="18">
        <f>471.72</f>
        <v>471.72</v>
      </c>
      <c r="J568" s="18"/>
      <c r="K568" s="18">
        <f>290</f>
        <v>290</v>
      </c>
      <c r="L568" s="88">
        <f>SUM(F568:K568)</f>
        <v>138169.86000000002</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85514</v>
      </c>
      <c r="G571" s="192">
        <f t="shared" ref="G571:L571" si="45">SUM(G568:G570)</f>
        <v>51894.14</v>
      </c>
      <c r="H571" s="192">
        <f t="shared" si="45"/>
        <v>0</v>
      </c>
      <c r="I571" s="192">
        <f t="shared" si="45"/>
        <v>471.72</v>
      </c>
      <c r="J571" s="192">
        <f t="shared" si="45"/>
        <v>0</v>
      </c>
      <c r="K571" s="192">
        <f t="shared" si="45"/>
        <v>290</v>
      </c>
      <c r="L571" s="192">
        <f t="shared" si="45"/>
        <v>138169.86000000002</v>
      </c>
      <c r="M571" s="8"/>
      <c r="N571" s="265"/>
    </row>
    <row r="572" spans="1:14" s="3" customFormat="1" ht="12.2" customHeight="1" thickTop="1" x14ac:dyDescent="0.15">
      <c r="A572" s="98" t="s">
        <v>88</v>
      </c>
      <c r="B572" s="107">
        <v>22</v>
      </c>
      <c r="C572" s="107">
        <v>13</v>
      </c>
      <c r="D572" s="158" t="s">
        <v>432</v>
      </c>
      <c r="E572" s="107"/>
      <c r="F572" s="89">
        <f>F561+F566+F571</f>
        <v>382136.4</v>
      </c>
      <c r="G572" s="89">
        <f t="shared" ref="G572:L572" si="46">G561+G566+G571</f>
        <v>139610.1</v>
      </c>
      <c r="H572" s="89">
        <f t="shared" si="46"/>
        <v>19708.91</v>
      </c>
      <c r="I572" s="89">
        <f t="shared" si="46"/>
        <v>8593.9699999999993</v>
      </c>
      <c r="J572" s="89">
        <f t="shared" si="46"/>
        <v>871.71</v>
      </c>
      <c r="K572" s="89">
        <f t="shared" si="46"/>
        <v>290</v>
      </c>
      <c r="L572" s="89">
        <f t="shared" si="46"/>
        <v>551211.09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294149.36+9039.47</f>
        <v>303188.82999999996</v>
      </c>
      <c r="G583" s="18">
        <f>157464.94+6489.88</f>
        <v>163954.82</v>
      </c>
      <c r="H583" s="18">
        <f>740732.88+7648.79</f>
        <v>748381.67</v>
      </c>
      <c r="I583" s="87">
        <f t="shared" si="47"/>
        <v>1215525.32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f>29916.59</f>
        <v>29916.59</v>
      </c>
      <c r="I585" s="87">
        <f t="shared" si="47"/>
        <v>29916.59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493533.19</f>
        <v>493533.19</v>
      </c>
      <c r="I592" s="18">
        <f>290832.06</f>
        <v>290832.06</v>
      </c>
      <c r="J592" s="18">
        <f>96944.02-33</f>
        <v>96911.02</v>
      </c>
      <c r="K592" s="104">
        <f t="shared" ref="K592:K598" si="48">SUM(H592:J592)</f>
        <v>881276.27</v>
      </c>
      <c r="L592" s="24" t="s">
        <v>288</v>
      </c>
      <c r="M592" s="8"/>
      <c r="N592" s="265"/>
    </row>
    <row r="593" spans="1:14" s="3" customFormat="1" ht="12.2" customHeight="1" x14ac:dyDescent="0.15">
      <c r="A593" s="3" t="s">
        <v>638</v>
      </c>
      <c r="B593" s="75">
        <v>23</v>
      </c>
      <c r="C593" s="75">
        <v>2</v>
      </c>
      <c r="D593" s="2" t="s">
        <v>432</v>
      </c>
      <c r="E593" s="75"/>
      <c r="F593" s="102">
        <v>2722</v>
      </c>
      <c r="G593" s="103" t="s">
        <v>97</v>
      </c>
      <c r="H593" s="18">
        <f>242814.17</f>
        <v>242814.17</v>
      </c>
      <c r="I593" s="18">
        <f>87135.17</f>
        <v>87135.17</v>
      </c>
      <c r="J593" s="18">
        <f>182622.47</f>
        <v>182622.47</v>
      </c>
      <c r="K593" s="104">
        <f t="shared" si="48"/>
        <v>512571.81000000006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f>23052.75</f>
        <v>23052.75</v>
      </c>
      <c r="J595" s="18">
        <f>68700.49</f>
        <v>68700.490000000005</v>
      </c>
      <c r="K595" s="104">
        <f t="shared" si="48"/>
        <v>91753.24</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736347.36</v>
      </c>
      <c r="I599" s="108">
        <f>SUM(I592:I598)</f>
        <v>401019.98</v>
      </c>
      <c r="J599" s="108">
        <f>SUM(J592:J598)</f>
        <v>348233.98</v>
      </c>
      <c r="K599" s="108">
        <f>SUM(K592:K598)</f>
        <v>1485601.32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209234.77+128789.88+6745.08+10331.51</f>
        <v>355101.24000000005</v>
      </c>
      <c r="I605" s="18">
        <f>50938.25+73594.21+5903.72</f>
        <v>130436.18000000001</v>
      </c>
      <c r="J605" s="18">
        <f>36312.73+104258.48+43405+8363.6+83.34</f>
        <v>192423.15</v>
      </c>
      <c r="K605" s="104">
        <f>SUM(H605:J605)</f>
        <v>677960.57000000007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355101.24000000005</v>
      </c>
      <c r="I606" s="108">
        <f>SUM(I603:I605)</f>
        <v>130436.18000000001</v>
      </c>
      <c r="J606" s="108">
        <f>SUM(J603:J605)</f>
        <v>192423.15</v>
      </c>
      <c r="K606" s="108">
        <f>SUM(K603:K605)</f>
        <v>677960.57000000007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21230.77+14628.6</f>
        <v>35859.370000000003</v>
      </c>
      <c r="G612" s="18"/>
      <c r="H612" s="18"/>
      <c r="I612" s="18">
        <f>845.35+4565.94</f>
        <v>5411.29</v>
      </c>
      <c r="J612" s="18"/>
      <c r="K612" s="18"/>
      <c r="L612" s="88">
        <f>SUM(F612:K612)</f>
        <v>41270.660000000003</v>
      </c>
      <c r="M612" s="8"/>
      <c r="N612" s="265"/>
    </row>
    <row r="613" spans="1:14" s="3" customFormat="1" ht="12.2" customHeight="1" x14ac:dyDescent="0.15">
      <c r="A613" s="22" t="s">
        <v>634</v>
      </c>
      <c r="B613" s="75">
        <v>23</v>
      </c>
      <c r="C613" s="75">
        <v>14</v>
      </c>
      <c r="D613" s="2" t="s">
        <v>432</v>
      </c>
      <c r="E613" s="75"/>
      <c r="F613" s="18">
        <f>13682.05+9427.32+280</f>
        <v>23389.37</v>
      </c>
      <c r="G613" s="18"/>
      <c r="H613" s="18"/>
      <c r="I613" s="18"/>
      <c r="J613" s="18"/>
      <c r="K613" s="18"/>
      <c r="L613" s="88">
        <f>SUM(F613:K613)</f>
        <v>23389.37</v>
      </c>
      <c r="M613" s="8"/>
      <c r="N613" s="265"/>
    </row>
    <row r="614" spans="1:14" s="3" customFormat="1" ht="12.2" customHeight="1" thickBot="1" x14ac:dyDescent="0.2">
      <c r="A614" s="22" t="s">
        <v>645</v>
      </c>
      <c r="B614" s="75">
        <v>23</v>
      </c>
      <c r="C614" s="75">
        <v>15</v>
      </c>
      <c r="D614" s="2" t="s">
        <v>432</v>
      </c>
      <c r="E614" s="75"/>
      <c r="F614" s="18">
        <f>12266.66+8452.08+14474.84</f>
        <v>35193.58</v>
      </c>
      <c r="G614" s="18"/>
      <c r="H614" s="18"/>
      <c r="I614" s="18">
        <f>297.9</f>
        <v>297.89999999999998</v>
      </c>
      <c r="J614" s="18"/>
      <c r="K614" s="18"/>
      <c r="L614" s="88">
        <f>SUM(F614:K614)</f>
        <v>35491.480000000003</v>
      </c>
      <c r="M614" s="8"/>
      <c r="N614" s="265"/>
    </row>
    <row r="615" spans="1:14" s="3" customFormat="1" ht="12.2" customHeight="1" thickTop="1" x14ac:dyDescent="0.15">
      <c r="A615" s="98" t="s">
        <v>340</v>
      </c>
      <c r="B615" s="107">
        <v>23</v>
      </c>
      <c r="C615" s="107">
        <v>16</v>
      </c>
      <c r="D615" s="39" t="s">
        <v>432</v>
      </c>
      <c r="E615" s="107"/>
      <c r="F615" s="108">
        <f t="shared" ref="F615:L615" si="49">SUM(F612:F614)</f>
        <v>94442.32</v>
      </c>
      <c r="G615" s="108">
        <f t="shared" si="49"/>
        <v>0</v>
      </c>
      <c r="H615" s="108">
        <f t="shared" si="49"/>
        <v>0</v>
      </c>
      <c r="I615" s="108">
        <f t="shared" si="49"/>
        <v>5709.19</v>
      </c>
      <c r="J615" s="108">
        <f t="shared" si="49"/>
        <v>0</v>
      </c>
      <c r="K615" s="108">
        <f t="shared" si="49"/>
        <v>0</v>
      </c>
      <c r="L615" s="89">
        <f t="shared" si="49"/>
        <v>100151.51000000001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2964677.21</v>
      </c>
      <c r="H618" s="109">
        <f>SUM(F52)</f>
        <v>2964677.21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503391.85</v>
      </c>
      <c r="H619" s="109">
        <f>SUM(G52)</f>
        <v>503391.85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588350.71999999997</v>
      </c>
      <c r="H620" s="109">
        <f>SUM(H52)</f>
        <v>588350.71999999997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767522</v>
      </c>
      <c r="H622" s="109">
        <f>SUM(J52)</f>
        <v>767522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1889501.6400000001</v>
      </c>
      <c r="H623" s="109">
        <f>F477</f>
        <v>1889501.6399999931</v>
      </c>
      <c r="I623" s="121" t="s">
        <v>101</v>
      </c>
      <c r="J623" s="109">
        <f t="shared" ref="J623:J656" si="50">G623-H623</f>
        <v>6.9849193096160889E-9</v>
      </c>
      <c r="K623" s="109"/>
      <c r="L623" s="109"/>
      <c r="M623" s="8"/>
    </row>
    <row r="624" spans="1:14" s="3" customFormat="1" ht="12.2" customHeight="1" x14ac:dyDescent="0.15">
      <c r="A624" s="97"/>
      <c r="B624" s="105"/>
      <c r="C624" s="119"/>
      <c r="D624" s="119"/>
      <c r="E624" s="119"/>
      <c r="F624" s="119" t="s">
        <v>866</v>
      </c>
      <c r="G624" s="109">
        <f>G51</f>
        <v>470439.32</v>
      </c>
      <c r="H624" s="109">
        <f>G477</f>
        <v>470439.31999999995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341232.4</v>
      </c>
      <c r="H625" s="109">
        <f>H477</f>
        <v>341232.39999999991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767522</v>
      </c>
      <c r="H627" s="109">
        <f>J477</f>
        <v>767522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40638641.759999998</v>
      </c>
      <c r="H628" s="104">
        <f>SUM(F469)</f>
        <v>40638641.759999998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1187797.69</v>
      </c>
      <c r="H629" s="104">
        <f>SUM(G469)</f>
        <v>1187797.69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2236397.59</v>
      </c>
      <c r="H630" s="104">
        <f>SUM(H469)</f>
        <v>2236397.59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227265.16</v>
      </c>
      <c r="H632" s="104">
        <f>SUM(J469)</f>
        <v>227265.16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41337608.310000002</v>
      </c>
      <c r="H633" s="104">
        <f>SUM(F473)</f>
        <v>41337608.310000002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2218309.81</v>
      </c>
      <c r="H634" s="104">
        <f>SUM(H473)</f>
        <v>2218309.81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338150.01</v>
      </c>
      <c r="H635" s="104">
        <f>I370</f>
        <v>338150.01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717358.37000000011</v>
      </c>
      <c r="H636" s="104">
        <f>SUM(G473)</f>
        <v>717358.37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227265.16</v>
      </c>
      <c r="H638" s="164">
        <f>SUM(J469)</f>
        <v>227265.16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767522</v>
      </c>
      <c r="H641" s="104">
        <f>SUM(G462)</f>
        <v>767522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767522</v>
      </c>
      <c r="H643" s="104">
        <f>SUM(I462)</f>
        <v>767522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31465.16</v>
      </c>
      <c r="H645" s="104">
        <f>H409</f>
        <v>31465.16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195800</v>
      </c>
      <c r="H646" s="104">
        <f>G409</f>
        <v>195800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227265.16</v>
      </c>
      <c r="H647" s="104">
        <f>L409</f>
        <v>227265.16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1485601.32</v>
      </c>
      <c r="H648" s="104">
        <f>L209+L227+L245</f>
        <v>1485601.3199999998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677960.57000000007</v>
      </c>
      <c r="H649" s="104">
        <f>(J258+J339)-(J256+J337)</f>
        <v>677960.57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736347.36</v>
      </c>
      <c r="H650" s="104">
        <f>H599</f>
        <v>736347.36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401019.98</v>
      </c>
      <c r="H651" s="104">
        <f>I599</f>
        <v>401019.98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348233.98</v>
      </c>
      <c r="H652" s="104">
        <f>J599</f>
        <v>348233.98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195800</v>
      </c>
      <c r="H656" s="104">
        <f>K267+K348</f>
        <v>195800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17493665.840000004</v>
      </c>
      <c r="G661" s="19">
        <f>(L230+L310+L360)</f>
        <v>10624235.470000001</v>
      </c>
      <c r="H661" s="19">
        <f>(L248+L329+L361)</f>
        <v>15182811.420000002</v>
      </c>
      <c r="I661" s="19">
        <f>SUM(F661:H661)</f>
        <v>43300712.730000004</v>
      </c>
      <c r="J661" s="13"/>
      <c r="K661" s="13"/>
      <c r="L661" s="13"/>
      <c r="M661" s="9"/>
    </row>
    <row r="662" spans="1:13" s="3" customFormat="1" ht="12.2" customHeight="1" x14ac:dyDescent="0.2">
      <c r="A662" s="1" t="s">
        <v>127</v>
      </c>
      <c r="F662" s="19">
        <f>(L359/IF(SUM(L359:L361)=0,1,SUM(L359:L361))*(SUM(G97:G110)))</f>
        <v>58545.47046468615</v>
      </c>
      <c r="G662" s="19">
        <f>(L360/IF(SUM(L359:L361)=0,1,SUM(L359:L361))*(SUM(G97:G110)))</f>
        <v>34659.859627545848</v>
      </c>
      <c r="H662" s="19">
        <f>(L361/IF(SUM(L359:L361)=0,1,SUM(L359:L361))*(SUM(G97:G110)))</f>
        <v>60950.199907767979</v>
      </c>
      <c r="I662" s="19">
        <f>SUM(F662:H662)</f>
        <v>154155.52999999997</v>
      </c>
      <c r="J662"/>
      <c r="K662" s="13"/>
      <c r="L662" s="13"/>
      <c r="M662" s="8"/>
    </row>
    <row r="663" spans="1:13" s="3" customFormat="1" ht="12.2" customHeight="1" x14ac:dyDescent="0.2">
      <c r="A663" s="1" t="s">
        <v>128</v>
      </c>
      <c r="F663" s="19">
        <f>(L209+L288)-(J209+J288)</f>
        <v>761544.74</v>
      </c>
      <c r="G663" s="19">
        <f>(L227+L307)-(J227+J307)</f>
        <v>419110.39999999997</v>
      </c>
      <c r="H663" s="19">
        <f>(L245+L326)-(J245+J326)</f>
        <v>376481.47</v>
      </c>
      <c r="I663" s="19">
        <f>SUM(F663:H663)</f>
        <v>1557136.6099999999</v>
      </c>
      <c r="J663"/>
      <c r="K663" s="13"/>
      <c r="L663" s="13"/>
      <c r="M663" s="9"/>
    </row>
    <row r="664" spans="1:13" s="3" customFormat="1" ht="12.2" customHeight="1" x14ac:dyDescent="0.15">
      <c r="A664" s="197" t="s">
        <v>129</v>
      </c>
      <c r="B664" s="169"/>
      <c r="C664" s="169"/>
      <c r="D664" s="169"/>
      <c r="E664" s="169"/>
      <c r="F664" s="198">
        <f>SUM(F576:F588)+SUM(H603:H605)+SUM(L612)</f>
        <v>699560.7300000001</v>
      </c>
      <c r="G664" s="198">
        <f>SUM(G576:G588)+SUM(I603:I605)+L613</f>
        <v>317780.37</v>
      </c>
      <c r="H664" s="198">
        <f>SUM(H576:H588)+SUM(J603:J605)+L614</f>
        <v>1006212.89</v>
      </c>
      <c r="I664" s="19">
        <f>SUM(F664:H664)</f>
        <v>2023553.9900000002</v>
      </c>
      <c r="J664" s="13"/>
      <c r="K664" s="13"/>
      <c r="L664" s="13"/>
      <c r="M664" s="9"/>
    </row>
    <row r="665" spans="1:13" s="3" customFormat="1" ht="12.2" customHeight="1" x14ac:dyDescent="0.15">
      <c r="A665" s="1" t="s">
        <v>130</v>
      </c>
      <c r="F665" s="19">
        <f>F661-SUM(F662:F664)</f>
        <v>15974014.899535317</v>
      </c>
      <c r="G665" s="19">
        <f>G661-SUM(G662:G664)</f>
        <v>9852684.8403724544</v>
      </c>
      <c r="H665" s="19">
        <f>H661-SUM(H662:H664)</f>
        <v>13739166.860092234</v>
      </c>
      <c r="I665" s="19">
        <f>I661-SUM(I662:I664)</f>
        <v>39565866.600000001</v>
      </c>
      <c r="J665" s="13"/>
      <c r="K665" s="13"/>
      <c r="L665" s="13"/>
      <c r="M665" s="8"/>
    </row>
    <row r="666" spans="1:13" s="3" customFormat="1" ht="12.2" customHeight="1" x14ac:dyDescent="0.2">
      <c r="A666" s="1" t="s">
        <v>131</v>
      </c>
      <c r="F666" s="245">
        <v>886.5</v>
      </c>
      <c r="G666" s="246">
        <v>488.13</v>
      </c>
      <c r="H666" s="246">
        <v>751.65</v>
      </c>
      <c r="I666" s="19">
        <f>SUM(F666:H666)</f>
        <v>2126.2800000000002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18019.189999999999</v>
      </c>
      <c r="G668" s="19">
        <f>ROUND(G665/G666,2)</f>
        <v>20184.55</v>
      </c>
      <c r="H668" s="19">
        <f>ROUND(H665/H666,2)</f>
        <v>18278.68</v>
      </c>
      <c r="I668" s="19">
        <f>ROUND(I665/I666,2)</f>
        <v>18608.02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-1.39</v>
      </c>
      <c r="I671" s="19">
        <f>SUM(F671:H671)</f>
        <v>-1.39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18019.189999999999</v>
      </c>
      <c r="G673" s="19">
        <f>ROUND((G665+G670)/(G666+G671),2)</f>
        <v>20184.55</v>
      </c>
      <c r="H673" s="19">
        <f>ROUND((H665+H670)/(H666+H671),2)</f>
        <v>18312.54</v>
      </c>
      <c r="I673" s="19">
        <f>ROUND((I665+I670)/(I666+I671),2)</f>
        <v>18620.2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131792.28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100347.91</v>
      </c>
      <c r="F9" s="349" t="s">
        <v>1644</v>
      </c>
    </row>
    <row r="10" spans="2:8" x14ac:dyDescent="0.25">
      <c r="B10" s="348"/>
      <c r="C10" s="348"/>
      <c r="D10" s="348"/>
      <c r="E10" s="348"/>
      <c r="F10" s="348"/>
    </row>
    <row r="11" spans="2:8" x14ac:dyDescent="0.25">
      <c r="B11" s="348"/>
      <c r="C11" s="352" t="s">
        <v>1648</v>
      </c>
      <c r="D11" s="349" t="s">
        <v>1651</v>
      </c>
      <c r="E11" s="336">
        <v>6392.74</v>
      </c>
      <c r="F11" s="349" t="s">
        <v>1645</v>
      </c>
    </row>
    <row r="12" spans="2:8" x14ac:dyDescent="0.25">
      <c r="B12" s="348"/>
      <c r="C12" s="348"/>
      <c r="D12" s="349"/>
      <c r="E12" s="348"/>
      <c r="F12" s="348"/>
    </row>
    <row r="13" spans="2:8" x14ac:dyDescent="0.25">
      <c r="B13" s="348"/>
      <c r="C13" s="349" t="s">
        <v>1638</v>
      </c>
      <c r="D13" s="349" t="s">
        <v>1652</v>
      </c>
      <c r="E13" s="336">
        <v>25051.63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Milford</v>
      </c>
      <c r="C5" s="375"/>
      <c r="D5" s="375"/>
      <c r="E5" s="375"/>
      <c r="F5" s="375"/>
    </row>
    <row r="8" spans="1:9" ht="18" x14ac:dyDescent="0.25">
      <c r="A8" s="312" t="s">
        <v>1568</v>
      </c>
      <c r="F8" s="319" t="s">
        <v>1586</v>
      </c>
    </row>
    <row r="9" spans="1:9" ht="15" x14ac:dyDescent="0.2">
      <c r="A9" s="310" t="s">
        <v>1569</v>
      </c>
      <c r="B9" s="313">
        <f>'DOE25'!G97</f>
        <v>108325.27</v>
      </c>
      <c r="F9" s="310" t="s">
        <v>1582</v>
      </c>
    </row>
    <row r="10" spans="1:9" ht="15" x14ac:dyDescent="0.2">
      <c r="A10" s="310" t="s">
        <v>1570</v>
      </c>
      <c r="B10" s="313">
        <f>'DOE25'!G112-'DOE25'!G97</f>
        <v>45830.259999999995</v>
      </c>
      <c r="F10" s="310" t="s">
        <v>1583</v>
      </c>
    </row>
    <row r="11" spans="1:9" ht="15" x14ac:dyDescent="0.2">
      <c r="A11" s="310" t="s">
        <v>1571</v>
      </c>
      <c r="B11" s="313">
        <f>'DOE25'!G140</f>
        <v>8763.7099999999991</v>
      </c>
      <c r="F11" s="310" t="s">
        <v>1584</v>
      </c>
    </row>
    <row r="12" spans="1:9" ht="15" x14ac:dyDescent="0.2">
      <c r="A12" s="310" t="s">
        <v>1572</v>
      </c>
      <c r="B12" s="313">
        <f>'DOE25'!G170</f>
        <v>1024878.45</v>
      </c>
      <c r="F12" s="310" t="s">
        <v>1585</v>
      </c>
    </row>
    <row r="13" spans="1:9" ht="15" x14ac:dyDescent="0.2">
      <c r="A13" s="310" t="s">
        <v>1573</v>
      </c>
      <c r="B13" s="313">
        <f>'DOE25'!G193-'DOE25'!G180</f>
        <v>0</v>
      </c>
      <c r="F13" s="310" t="s">
        <v>1595</v>
      </c>
    </row>
    <row r="14" spans="1:9" ht="18" x14ac:dyDescent="0.25">
      <c r="A14" s="312" t="s">
        <v>732</v>
      </c>
      <c r="B14" s="314">
        <f>SUM(B9:B13)</f>
        <v>1187797.69</v>
      </c>
    </row>
    <row r="16" spans="1:9" ht="18" x14ac:dyDescent="0.25">
      <c r="A16" s="312" t="s">
        <v>786</v>
      </c>
      <c r="F16" s="319" t="s">
        <v>1587</v>
      </c>
    </row>
    <row r="17" spans="1:6" ht="15" x14ac:dyDescent="0.2">
      <c r="A17" s="310" t="s">
        <v>1574</v>
      </c>
      <c r="B17" s="313">
        <f>'DOE25'!L363-'DOE25'!L362</f>
        <v>717358.37000000011</v>
      </c>
      <c r="F17" s="310" t="s">
        <v>1588</v>
      </c>
    </row>
    <row r="18" spans="1:6" ht="15" x14ac:dyDescent="0.2">
      <c r="A18" s="310" t="s">
        <v>1575</v>
      </c>
      <c r="B18" s="323"/>
      <c r="F18" s="319" t="s">
        <v>1612</v>
      </c>
    </row>
    <row r="19" spans="1:6" ht="18" x14ac:dyDescent="0.25">
      <c r="A19" s="312" t="s">
        <v>725</v>
      </c>
      <c r="B19" s="314">
        <f>SUM(B17:B18)</f>
        <v>717358.37000000011</v>
      </c>
    </row>
    <row r="21" spans="1:6" ht="18.75" thickBot="1" x14ac:dyDescent="0.3">
      <c r="A21" s="312" t="s">
        <v>1576</v>
      </c>
    </row>
    <row r="22" spans="1:6" ht="18.75" thickTop="1" x14ac:dyDescent="0.25">
      <c r="A22" s="312" t="s">
        <v>1577</v>
      </c>
      <c r="B22" s="318">
        <f>B14-B19</f>
        <v>470439.31999999983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470439.31999999995</v>
      </c>
      <c r="F33" s="310" t="s">
        <v>1593</v>
      </c>
    </row>
    <row r="36" spans="1:6" ht="15" x14ac:dyDescent="0.2">
      <c r="A36" s="310" t="s">
        <v>1579</v>
      </c>
      <c r="B36" s="324">
        <v>64293.17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150" zoomScaleNormal="150"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Milford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9882891.3100000005</v>
      </c>
      <c r="C9" s="228">
        <f>'DOE25'!G198+'DOE25'!G216+'DOE25'!G234+'DOE25'!G277+'DOE25'!G296+'DOE25'!G315</f>
        <v>6491115.9299999997</v>
      </c>
    </row>
    <row r="10" spans="1:3" x14ac:dyDescent="0.2">
      <c r="A10" t="s">
        <v>775</v>
      </c>
      <c r="B10" s="239">
        <v>9324997.5600000005</v>
      </c>
      <c r="C10" s="239">
        <v>6122538.5599999996</v>
      </c>
    </row>
    <row r="11" spans="1:3" x14ac:dyDescent="0.2">
      <c r="A11" t="s">
        <v>776</v>
      </c>
      <c r="B11" s="239">
        <v>237110.1</v>
      </c>
      <c r="C11" s="239">
        <v>129822.32</v>
      </c>
    </row>
    <row r="12" spans="1:3" x14ac:dyDescent="0.2">
      <c r="A12" t="s">
        <v>777</v>
      </c>
      <c r="B12" s="239">
        <v>320783.65000000002</v>
      </c>
      <c r="C12" s="239">
        <v>238755.05</v>
      </c>
    </row>
    <row r="13" spans="1:3" x14ac:dyDescent="0.2">
      <c r="A13" t="str">
        <f>IF(B9=B13,IF(C9=C13,"Check Total OK","Check Total Error"),"Check Total Error")</f>
        <v>Check Total OK</v>
      </c>
      <c r="B13" s="230">
        <f>SUM(B10:B12)</f>
        <v>9882891.3100000005</v>
      </c>
      <c r="C13" s="230">
        <f>SUM(C10:C12)</f>
        <v>6491115.9299999997</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3789452.93</v>
      </c>
      <c r="C18" s="228">
        <f>'DOE25'!G199+'DOE25'!G217+'DOE25'!G235+'DOE25'!G278+'DOE25'!G297+'DOE25'!G316</f>
        <v>2115320.09</v>
      </c>
    </row>
    <row r="19" spans="1:3" x14ac:dyDescent="0.2">
      <c r="A19" t="s">
        <v>775</v>
      </c>
      <c r="B19" s="239">
        <v>2192327.25</v>
      </c>
      <c r="C19" s="239">
        <v>1223784.53</v>
      </c>
    </row>
    <row r="20" spans="1:3" x14ac:dyDescent="0.2">
      <c r="A20" t="s">
        <v>776</v>
      </c>
      <c r="B20" s="239">
        <v>1544604.28</v>
      </c>
      <c r="C20" s="239">
        <v>862217.46</v>
      </c>
    </row>
    <row r="21" spans="1:3" x14ac:dyDescent="0.2">
      <c r="A21" t="s">
        <v>777</v>
      </c>
      <c r="B21" s="239">
        <v>52521.4</v>
      </c>
      <c r="C21" s="239">
        <v>29318.1</v>
      </c>
    </row>
    <row r="22" spans="1:3" x14ac:dyDescent="0.2">
      <c r="A22" t="str">
        <f>IF(B18=B22,IF(C18=C22,"Check Total OK","Check Total Error"),"Check Total Error")</f>
        <v>Check Total OK</v>
      </c>
      <c r="B22" s="230">
        <f>SUM(B19:B21)</f>
        <v>3789452.93</v>
      </c>
      <c r="C22" s="230">
        <f>SUM(C19:C21)</f>
        <v>2115320.09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796084.61</v>
      </c>
      <c r="C27" s="233">
        <f>'DOE25'!G200+'DOE25'!G218+'DOE25'!G236+'DOE25'!G279+'DOE25'!G298+'DOE25'!G317</f>
        <v>537552.63</v>
      </c>
    </row>
    <row r="28" spans="1:3" x14ac:dyDescent="0.2">
      <c r="A28" t="s">
        <v>775</v>
      </c>
      <c r="B28" s="239">
        <v>796084.61</v>
      </c>
      <c r="C28" s="239">
        <v>537552.63</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796084.61</v>
      </c>
      <c r="C31" s="230">
        <f>SUM(C28:C30)</f>
        <v>537552.63</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323454.05</v>
      </c>
      <c r="C36" s="234">
        <f>'DOE25'!G201+'DOE25'!G219+'DOE25'!G237+'DOE25'!G280+'DOE25'!G299+'DOE25'!G318</f>
        <v>277704.25</v>
      </c>
    </row>
    <row r="37" spans="1:3" x14ac:dyDescent="0.2">
      <c r="A37" t="s">
        <v>775</v>
      </c>
      <c r="B37" s="239">
        <v>323454.05</v>
      </c>
      <c r="C37" s="239">
        <v>277704.25</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323454.05</v>
      </c>
      <c r="C40" s="230">
        <f>SUM(C37:C39)</f>
        <v>277704.25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40" zoomScaleNormal="140" workbookViewId="0">
      <pane ySplit="4" topLeftCell="A5" activePane="bottomLeft" state="frozen"/>
      <selection activeCell="F46" sqref="F46"/>
      <selection pane="bottomLeft" activeCell="F25" sqref="F2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Milford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25095443.060000002</v>
      </c>
      <c r="D5" s="20">
        <f>SUM('DOE25'!L198:L201)+SUM('DOE25'!L216:L219)+SUM('DOE25'!L234:L237)-F5-G5-H5</f>
        <v>25022368.320000004</v>
      </c>
      <c r="E5" s="242"/>
      <c r="F5" s="243">
        <v>0</v>
      </c>
      <c r="G5" s="53">
        <f>SUM('DOE25'!J198:J201)+SUM('DOE25'!J216:J219)+SUM('DOE25'!J234:J237)</f>
        <v>41645.949999999997</v>
      </c>
      <c r="H5" s="53">
        <f>SUM('DOE25'!K198:K201)+SUM('DOE25'!K216:K219)+SUM('DOE25'!K234:K237)</f>
        <v>31428.79</v>
      </c>
      <c r="I5" s="255"/>
    </row>
    <row r="6" spans="1:9" x14ac:dyDescent="0.2">
      <c r="A6" s="32">
        <v>2100</v>
      </c>
      <c r="B6" t="s">
        <v>796</v>
      </c>
      <c r="C6" s="274">
        <f t="shared" si="0"/>
        <v>3756248.1000000006</v>
      </c>
      <c r="D6" s="20">
        <f>'DOE25'!L203+'DOE25'!L221+'DOE25'!L239-F6-G6-H6</f>
        <v>3676698.6200000006</v>
      </c>
      <c r="E6" s="242"/>
      <c r="F6" s="243">
        <v>58203</v>
      </c>
      <c r="G6" s="53">
        <f>'DOE25'!J203+'DOE25'!J221+'DOE25'!J239</f>
        <v>20967.48</v>
      </c>
      <c r="H6" s="53">
        <f>'DOE25'!K203+'DOE25'!K221+'DOE25'!K239</f>
        <v>379</v>
      </c>
      <c r="I6" s="255"/>
    </row>
    <row r="7" spans="1:9" x14ac:dyDescent="0.2">
      <c r="A7" s="32">
        <v>2200</v>
      </c>
      <c r="B7" t="s">
        <v>821</v>
      </c>
      <c r="C7" s="274">
        <f t="shared" si="0"/>
        <v>792180.96</v>
      </c>
      <c r="D7" s="20">
        <f>'DOE25'!L204+'DOE25'!L222+'DOE25'!L240-F7-G7-H7</f>
        <v>784473.97</v>
      </c>
      <c r="E7" s="242"/>
      <c r="F7" s="243">
        <v>0</v>
      </c>
      <c r="G7" s="53">
        <f>'DOE25'!J204+'DOE25'!J222+'DOE25'!J240</f>
        <v>7706.99</v>
      </c>
      <c r="H7" s="53">
        <f>'DOE25'!K204+'DOE25'!K222+'DOE25'!K240</f>
        <v>0</v>
      </c>
      <c r="I7" s="255"/>
    </row>
    <row r="8" spans="1:9" x14ac:dyDescent="0.2">
      <c r="A8" s="32">
        <v>2300</v>
      </c>
      <c r="B8" t="s">
        <v>797</v>
      </c>
      <c r="C8" s="274">
        <f t="shared" si="0"/>
        <v>904687.81</v>
      </c>
      <c r="D8" s="242"/>
      <c r="E8" s="20">
        <f>'DOE25'!L205+'DOE25'!L223+'DOE25'!L241-F8-G8-H8-D9-D11</f>
        <v>880897.83000000007</v>
      </c>
      <c r="F8" s="243">
        <v>0</v>
      </c>
      <c r="G8" s="53">
        <f>'DOE25'!J205+'DOE25'!J223+'DOE25'!J241</f>
        <v>8346.23</v>
      </c>
      <c r="H8" s="53">
        <f>'DOE25'!K205+'DOE25'!K223+'DOE25'!K241</f>
        <v>15443.75</v>
      </c>
      <c r="I8" s="255"/>
    </row>
    <row r="9" spans="1:9" ht="14.25" x14ac:dyDescent="0.2">
      <c r="A9" s="32">
        <v>2310</v>
      </c>
      <c r="B9" s="184" t="s">
        <v>888</v>
      </c>
      <c r="C9" s="274">
        <f t="shared" si="0"/>
        <v>137042.76999999999</v>
      </c>
      <c r="D9" s="243">
        <f>137042.77</f>
        <v>137042.76999999999</v>
      </c>
      <c r="E9" s="242"/>
      <c r="F9" s="252"/>
      <c r="G9" s="252"/>
      <c r="H9" s="252"/>
      <c r="I9" s="255"/>
    </row>
    <row r="10" spans="1:9" ht="14.25" x14ac:dyDescent="0.2">
      <c r="A10" s="32">
        <v>2317</v>
      </c>
      <c r="B10" s="184" t="s">
        <v>889</v>
      </c>
      <c r="C10" s="274">
        <f t="shared" si="0"/>
        <v>14500</v>
      </c>
      <c r="D10" s="242"/>
      <c r="E10" s="243">
        <v>14500</v>
      </c>
      <c r="F10" s="252"/>
      <c r="G10" s="252"/>
      <c r="H10" s="252"/>
      <c r="I10" s="255"/>
    </row>
    <row r="11" spans="1:9" ht="14.25" x14ac:dyDescent="0.2">
      <c r="A11" s="32">
        <v>2321</v>
      </c>
      <c r="B11" s="184" t="s">
        <v>890</v>
      </c>
      <c r="C11" s="274">
        <f t="shared" si="0"/>
        <v>429213.51</v>
      </c>
      <c r="D11" s="243">
        <v>429213.51</v>
      </c>
      <c r="E11" s="242"/>
      <c r="F11" s="252"/>
      <c r="G11" s="252"/>
      <c r="H11" s="252"/>
      <c r="I11" s="255"/>
    </row>
    <row r="12" spans="1:9" x14ac:dyDescent="0.2">
      <c r="A12" s="32">
        <v>2400</v>
      </c>
      <c r="B12" t="s">
        <v>711</v>
      </c>
      <c r="C12" s="274">
        <f t="shared" si="0"/>
        <v>2219171.3200000003</v>
      </c>
      <c r="D12" s="20">
        <f>'DOE25'!L206+'DOE25'!L224+'DOE25'!L242-F12-G12-H12</f>
        <v>2150723.89</v>
      </c>
      <c r="E12" s="242"/>
      <c r="F12" s="243">
        <v>0</v>
      </c>
      <c r="G12" s="53">
        <f>'DOE25'!J206+'DOE25'!J224+'DOE25'!J242</f>
        <v>40590</v>
      </c>
      <c r="H12" s="53">
        <f>'DOE25'!K206+'DOE25'!K224+'DOE25'!K242</f>
        <v>27857.43</v>
      </c>
      <c r="I12" s="255"/>
    </row>
    <row r="13" spans="1:9" x14ac:dyDescent="0.2">
      <c r="A13" s="32">
        <v>2500</v>
      </c>
      <c r="B13" t="s">
        <v>798</v>
      </c>
      <c r="C13" s="274">
        <f t="shared" si="0"/>
        <v>478162.93999999994</v>
      </c>
      <c r="D13" s="242"/>
      <c r="E13" s="20">
        <f>'DOE25'!L207+'DOE25'!L225+'DOE25'!L243-F13-G13-H13</f>
        <v>477677.93999999994</v>
      </c>
      <c r="F13" s="243">
        <v>0</v>
      </c>
      <c r="G13" s="53">
        <f>'DOE25'!J207+'DOE25'!J225+'DOE25'!J243</f>
        <v>0</v>
      </c>
      <c r="H13" s="53">
        <f>'DOE25'!K207+'DOE25'!K225+'DOE25'!K243</f>
        <v>485.00000000000006</v>
      </c>
      <c r="I13" s="255"/>
    </row>
    <row r="14" spans="1:9" x14ac:dyDescent="0.2">
      <c r="A14" s="32">
        <v>2600</v>
      </c>
      <c r="B14" t="s">
        <v>819</v>
      </c>
      <c r="C14" s="274">
        <f t="shared" si="0"/>
        <v>3863495.35</v>
      </c>
      <c r="D14" s="20">
        <f>'DOE25'!L208+'DOE25'!L226+'DOE25'!L244-F14-G14-H14</f>
        <v>3475276.17</v>
      </c>
      <c r="E14" s="242"/>
      <c r="F14" s="243">
        <v>97962</v>
      </c>
      <c r="G14" s="53">
        <f>'DOE25'!J208+'DOE25'!J226+'DOE25'!J244</f>
        <v>290257.18</v>
      </c>
      <c r="H14" s="53">
        <f>'DOE25'!K208+'DOE25'!K226+'DOE25'!K244</f>
        <v>0</v>
      </c>
      <c r="I14" s="255"/>
    </row>
    <row r="15" spans="1:9" x14ac:dyDescent="0.2">
      <c r="A15" s="32">
        <v>2700</v>
      </c>
      <c r="B15" t="s">
        <v>799</v>
      </c>
      <c r="C15" s="274">
        <f t="shared" si="0"/>
        <v>1485601.3199999998</v>
      </c>
      <c r="D15" s="20">
        <f>'DOE25'!L209+'DOE25'!L227+'DOE25'!L245-F15-G15-H15</f>
        <v>731861.31999999983</v>
      </c>
      <c r="E15" s="242"/>
      <c r="F15" s="243">
        <v>753740</v>
      </c>
      <c r="G15" s="53">
        <f>'DOE25'!J209+'DOE25'!J227+'DOE25'!J245</f>
        <v>0</v>
      </c>
      <c r="H15" s="53">
        <f>'DOE25'!K209+'DOE25'!K227+'DOE25'!K245</f>
        <v>0</v>
      </c>
      <c r="I15" s="255"/>
    </row>
    <row r="16" spans="1:9" x14ac:dyDescent="0.2">
      <c r="A16" s="32">
        <v>2800</v>
      </c>
      <c r="B16" t="s">
        <v>800</v>
      </c>
      <c r="C16" s="274">
        <f t="shared" si="0"/>
        <v>1203797.4099999999</v>
      </c>
      <c r="D16" s="242"/>
      <c r="E16" s="20">
        <f>'DOE25'!L210+'DOE25'!L228+'DOE25'!L246-F16-G16-H16</f>
        <v>1010182.9199999999</v>
      </c>
      <c r="F16" s="243">
        <v>0</v>
      </c>
      <c r="G16" s="53">
        <f>'DOE25'!J210+'DOE25'!J228+'DOE25'!J246</f>
        <v>193614.49</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776763.76</v>
      </c>
      <c r="D25" s="242"/>
      <c r="E25" s="242"/>
      <c r="F25" s="254"/>
      <c r="G25" s="252"/>
      <c r="H25" s="252"/>
      <c r="I25" s="253">
        <f>'DOE25'!L261+'DOE25'!L262+'DOE25'!L342+'DOE25'!L343</f>
        <v>776763.76</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427592.50000000012</v>
      </c>
      <c r="D29" s="282">
        <f>'DOE25'!L359+'DOE25'!L360+'DOE25'!L361-'DOE25'!I368-F29-G29-H29</f>
        <v>407625.83000000013</v>
      </c>
      <c r="E29" s="242"/>
      <c r="F29" s="243">
        <v>0</v>
      </c>
      <c r="G29" s="53">
        <f>'DOE25'!J359+'DOE25'!J360+'DOE25'!J361</f>
        <v>16876.669999999998</v>
      </c>
      <c r="H29" s="53">
        <f>'DOE25'!K359+'DOE25'!K360+'DOE25'!K361</f>
        <v>3090</v>
      </c>
      <c r="I29" s="255"/>
    </row>
    <row r="30" spans="1:9" x14ac:dyDescent="0.2">
      <c r="A30" s="32"/>
      <c r="C30" s="275"/>
      <c r="D30" s="20"/>
      <c r="E30" s="279"/>
      <c r="F30" s="269"/>
      <c r="G30" s="53"/>
      <c r="H30" s="53"/>
      <c r="I30" s="255"/>
    </row>
    <row r="31" spans="1:9" x14ac:dyDescent="0.2">
      <c r="A31" s="32" t="s">
        <v>818</v>
      </c>
      <c r="B31" t="s">
        <v>817</v>
      </c>
      <c r="C31" s="274">
        <f>SUM(D31:I31)</f>
        <v>2218309.8099999996</v>
      </c>
      <c r="D31" s="20">
        <f>'DOE25'!L291+'DOE25'!L310+'DOE25'!L329+'DOE25'!L334+'DOE25'!L335+'DOE25'!L336-F31-G31-H31</f>
        <v>2088666.51</v>
      </c>
      <c r="E31" s="242"/>
      <c r="F31" s="243">
        <v>50573</v>
      </c>
      <c r="G31" s="53">
        <f>'DOE25'!J291+'DOE25'!J310+'DOE25'!J329+'DOE25'!J334+'DOE25'!J335+'DOE25'!J336</f>
        <v>74832.25</v>
      </c>
      <c r="H31" s="53">
        <f>'DOE25'!K291+'DOE25'!K310+'DOE25'!K329+'DOE25'!K334+'DOE25'!K335+'DOE25'!K336</f>
        <v>4238.05</v>
      </c>
      <c r="I31" s="255"/>
    </row>
    <row r="32" spans="1:9" ht="12" thickBot="1" x14ac:dyDescent="0.25">
      <c r="C32" s="275"/>
      <c r="G32" s="250"/>
      <c r="H32" s="250"/>
      <c r="I32" s="257"/>
    </row>
    <row r="33" spans="1:9" ht="12" thickTop="1" x14ac:dyDescent="0.2">
      <c r="B33" t="s">
        <v>809</v>
      </c>
      <c r="D33" s="244">
        <f t="shared" ref="D33:I33" si="1">SUM(D5:D31)</f>
        <v>38903950.910000004</v>
      </c>
      <c r="E33" s="244">
        <f t="shared" si="1"/>
        <v>2383258.69</v>
      </c>
      <c r="F33" s="244">
        <f t="shared" si="1"/>
        <v>960478</v>
      </c>
      <c r="G33" s="244">
        <f t="shared" si="1"/>
        <v>694837.24</v>
      </c>
      <c r="H33" s="244">
        <f t="shared" si="1"/>
        <v>82922.02</v>
      </c>
      <c r="I33" s="244">
        <f t="shared" si="1"/>
        <v>776763.76</v>
      </c>
    </row>
    <row r="35" spans="1:9" ht="12" thickBot="1" x14ac:dyDescent="0.25">
      <c r="B35" s="250" t="s">
        <v>831</v>
      </c>
      <c r="D35" s="251">
        <f>E33</f>
        <v>2383258.69</v>
      </c>
      <c r="E35" s="247"/>
      <c r="F35" s="328" t="s">
        <v>1617</v>
      </c>
      <c r="G35" s="329"/>
      <c r="H35" s="329"/>
      <c r="I35" s="329"/>
    </row>
    <row r="36" spans="1:9" ht="12" thickTop="1" x14ac:dyDescent="0.2">
      <c r="B36" t="s">
        <v>810</v>
      </c>
      <c r="D36" s="20">
        <f>D33</f>
        <v>38903950.910000004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140" zoomScaleNormal="140" workbookViewId="0">
      <selection activeCell="D28" sqref="D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Milford</v>
      </c>
      <c r="B2" s="126">
        <f>'DOE25'!B2</f>
        <v>357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17221226.160000004</v>
      </c>
      <c r="G4" s="299">
        <f>'DOE25'!L212+'DOE25'!L291</f>
        <v>17221226.160000004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303188.83</v>
      </c>
      <c r="E5" s="290"/>
      <c r="F5" s="303">
        <f>D5+E5</f>
        <v>303188.83</v>
      </c>
      <c r="G5" s="293"/>
      <c r="H5" s="293"/>
      <c r="I5" s="384"/>
      <c r="N5"/>
    </row>
    <row r="6" spans="1:18" x14ac:dyDescent="0.2">
      <c r="A6" s="126" t="str" cm="1">
        <f t="array" ref="A6">IFERROR(INDEX('School Tables'!$A$4:$G$325,'School Tables'!$J4,3),"")</f>
        <v>Heron Pond Elementary School</v>
      </c>
      <c r="B6" s="300">
        <f>IFERROR(VLOOKUP(A6,'School Tables'!$C$3:$D$365,2,FALSE),"")</f>
        <v>27895</v>
      </c>
      <c r="C6" s="293" t="str">
        <f>IFERROR(INDEX('School Tables'!$B$3:$B$365,MATCH('School Level Expenditures'!B6,'School Tables'!$D$3:$D$365,0)),"")</f>
        <v>Milford</v>
      </c>
      <c r="D6" s="290">
        <f>10799580.39-301003.33</f>
        <v>10498577.060000001</v>
      </c>
      <c r="E6" s="290">
        <v>604916.05000000005</v>
      </c>
      <c r="F6" s="303">
        <f t="shared" ref="F6:F20" si="0">D6+E6</f>
        <v>11103493.110000001</v>
      </c>
      <c r="G6" s="293"/>
      <c r="H6" s="293"/>
      <c r="I6" s="384"/>
      <c r="N6"/>
    </row>
    <row r="7" spans="1:18" x14ac:dyDescent="0.2">
      <c r="A7" s="126" t="str" cm="1">
        <f t="array" ref="A7">IFERROR(INDEX('School Tables'!$A$4:$G$325,'School Tables'!$J5,3),"")</f>
        <v>Jacques Memorial Elementary School</v>
      </c>
      <c r="B7" s="300">
        <f>IFERROR(VLOOKUP(A7,'School Tables'!$C$3:$D$365,2,FALSE),"")</f>
        <v>26580</v>
      </c>
      <c r="C7" s="293" t="str">
        <f>IFERROR(INDEX('School Tables'!$B$3:$B$365,MATCH('School Level Expenditures'!B7,'School Tables'!$D$3:$D$365,0)),"")</f>
        <v>Milford</v>
      </c>
      <c r="D7" s="290">
        <f>5518785.99-2185.5</f>
        <v>5516600.4900000002</v>
      </c>
      <c r="E7" s="290">
        <v>297943.73</v>
      </c>
      <c r="F7" s="303">
        <f t="shared" si="0"/>
        <v>5814544.2200000007</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16318366.380000001</v>
      </c>
      <c r="E21" s="338">
        <f>SUM(E5:E20)</f>
        <v>902859.78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10462946.799999999</v>
      </c>
      <c r="G24" s="299">
        <f>'DOE25'!L230+'DOE25'!L310</f>
        <v>10462946.800000001</v>
      </c>
      <c r="H24" s="340">
        <f>F24-G24</f>
        <v>0</v>
      </c>
      <c r="I24" s="383" t="str">
        <f>IF(H24=0,"","ISSUES!! Please review page 8 and 12 totals in comparison with total on this page")</f>
        <v/>
      </c>
      <c r="N24"/>
    </row>
    <row r="25" spans="1:14" x14ac:dyDescent="0.2">
      <c r="A25" s="126" t="s">
        <v>1548</v>
      </c>
      <c r="B25" s="300">
        <v>99999</v>
      </c>
      <c r="C25" s="293" t="s">
        <v>1548</v>
      </c>
      <c r="D25" s="290">
        <v>163954.82</v>
      </c>
      <c r="E25" s="290"/>
      <c r="F25" s="303">
        <f>D25+E25</f>
        <v>163954.82</v>
      </c>
      <c r="G25" s="293"/>
      <c r="H25" s="293"/>
      <c r="I25" s="384"/>
      <c r="N25"/>
    </row>
    <row r="26" spans="1:14" x14ac:dyDescent="0.2">
      <c r="A26" s="126" t="str" cm="1">
        <f t="array" ref="A26">IFERROR(INDEX('School Tables'!$L$4:$R$75,'School Tables'!$U4,3),"")</f>
        <v>Milford Middle School</v>
      </c>
      <c r="B26" s="300">
        <f>IFERROR(VLOOKUP(A26,'School Tables'!$N$4:$O$75,2,FALSE),"")</f>
        <v>21760</v>
      </c>
      <c r="C26" s="293" t="str">
        <f>IFERROR(INDEX('School Tables'!$M$4:$M$75,MATCH('School Level Expenditures'!A26,'School Tables'!$N$4:$N$75,0)),"")</f>
        <v>Milford</v>
      </c>
      <c r="D26" s="290">
        <f>10119231.85-163954.82</f>
        <v>9955277.0299999993</v>
      </c>
      <c r="E26" s="290">
        <v>343714.95</v>
      </c>
      <c r="F26" s="303">
        <f t="shared" ref="F26:F32" si="1">D26+E26</f>
        <v>10298991.979999999</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10119231.85</v>
      </c>
      <c r="E33" s="338">
        <f>SUM(E25:E32)</f>
        <v>343714.95</v>
      </c>
      <c r="F33" s="302"/>
      <c r="G33" s="302"/>
      <c r="H33" s="302"/>
      <c r="I33" s="126"/>
      <c r="N33"/>
    </row>
    <row r="34" spans="1:14" ht="12.75" thickTop="1" thickBot="1" x14ac:dyDescent="0.25">
      <c r="A34" s="126"/>
      <c r="B34" s="301"/>
      <c r="C34" s="302"/>
      <c r="D34" s="290"/>
      <c r="E34" s="290"/>
      <c r="F34" s="302"/>
      <c r="G34" s="302"/>
      <c r="H34" s="302"/>
      <c r="I34" s="126"/>
      <c r="N34"/>
    </row>
    <row r="35" spans="1:14" ht="23.2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14899181.399999999</v>
      </c>
      <c r="G36" s="299">
        <f>'DOE25'!L248+'DOE25'!L329</f>
        <v>14899181.400000002</v>
      </c>
      <c r="H36" s="340">
        <f>F36-G36</f>
        <v>0</v>
      </c>
      <c r="I36" s="383" t="str">
        <f>IF(H36=0,"","ISSUES!! Please review page 9 and 13 totals in comparison with total on this page")</f>
        <v/>
      </c>
      <c r="N36"/>
    </row>
    <row r="37" spans="1:14" x14ac:dyDescent="0.2">
      <c r="A37" s="126" t="s">
        <v>1548</v>
      </c>
      <c r="B37" s="300">
        <v>99999</v>
      </c>
      <c r="C37" s="293" t="s">
        <v>1548</v>
      </c>
      <c r="D37" s="290">
        <v>1215525.32</v>
      </c>
      <c r="E37" s="290"/>
      <c r="F37" s="303">
        <f t="shared" ref="F37:F42" si="2">D37+E37</f>
        <v>1215525.32</v>
      </c>
      <c r="G37" s="293"/>
      <c r="H37" s="293"/>
      <c r="I37" s="384"/>
      <c r="N37"/>
    </row>
    <row r="38" spans="1:14" x14ac:dyDescent="0.2">
      <c r="A38" s="126" t="str" cm="1">
        <f t="array" ref="A38">IFERROR(INDEX('School Tables'!$W$4:$AC$100,'School Tables'!$AF4,3),"")</f>
        <v>Milford High School</v>
      </c>
      <c r="B38" s="300">
        <f>IFERROR(VLOOKUP(A38,'School Tables'!$Y$4:$Z$100,2,FALSE),"")</f>
        <v>21765</v>
      </c>
      <c r="C38" s="293" t="str">
        <f>IFERROR(INDEX('School Tables'!$X$4:$X$100,MATCH('School Level Expenditures'!A38,'School Tables'!$Y$4:$Y$100,0)),"")</f>
        <v>Milford</v>
      </c>
      <c r="D38" s="290">
        <f>14295261.03-1215525.32</f>
        <v>13079735.709999999</v>
      </c>
      <c r="E38" s="290">
        <f>81301.96+522618.41</f>
        <v>603920.37</v>
      </c>
      <c r="F38" s="303">
        <f t="shared" si="2"/>
        <v>13683656.079999998</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14295261.029999999</v>
      </c>
      <c r="E43" s="339">
        <f>SUM(E37:E42)</f>
        <v>603920.37</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2123974.5</v>
      </c>
      <c r="D8" s="95">
        <f>'DOE25'!G9</f>
        <v>365</v>
      </c>
      <c r="E8" s="95">
        <f>'DOE25'!H9</f>
        <v>288155.53000000003</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247118.32</v>
      </c>
      <c r="D11" s="95">
        <f>'DOE25'!G12</f>
        <v>204731.94</v>
      </c>
      <c r="E11" s="95">
        <f>'DOE25'!H12</f>
        <v>48468.49</v>
      </c>
      <c r="F11" s="95">
        <f>'DOE25'!I12</f>
        <v>0</v>
      </c>
      <c r="G11" s="95">
        <f>'DOE25'!J12</f>
        <v>0</v>
      </c>
      <c r="H11" s="124"/>
      <c r="I11" s="124"/>
    </row>
    <row r="12" spans="1:9" x14ac:dyDescent="0.2">
      <c r="A12" s="1" t="s">
        <v>143</v>
      </c>
      <c r="B12" s="6">
        <v>140</v>
      </c>
      <c r="C12" s="95">
        <f>'DOE25'!F13</f>
        <v>560079.52</v>
      </c>
      <c r="D12" s="95">
        <f>'DOE25'!G13</f>
        <v>298294.90999999997</v>
      </c>
      <c r="E12" s="95">
        <f>'DOE25'!H13</f>
        <v>248616.7</v>
      </c>
      <c r="F12" s="95">
        <f>'DOE25'!I13</f>
        <v>0</v>
      </c>
      <c r="G12" s="95">
        <f>'DOE25'!J13</f>
        <v>767522</v>
      </c>
      <c r="H12" s="124"/>
      <c r="I12" s="124"/>
    </row>
    <row r="13" spans="1:9" x14ac:dyDescent="0.2">
      <c r="A13" s="1" t="s">
        <v>144</v>
      </c>
      <c r="B13" s="6">
        <v>150</v>
      </c>
      <c r="C13" s="95">
        <f>'DOE25'!F14</f>
        <v>5426.74</v>
      </c>
      <c r="D13" s="95">
        <f>'DOE25'!G14</f>
        <v>0</v>
      </c>
      <c r="E13" s="95">
        <f>'DOE25'!H14</f>
        <v>3110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28078.13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2964677.21</v>
      </c>
      <c r="D18" s="41">
        <f>SUM(D8:D17)</f>
        <v>503391.85</v>
      </c>
      <c r="E18" s="41">
        <f>SUM(E8:E17)</f>
        <v>588350.71999999997</v>
      </c>
      <c r="F18" s="41">
        <f>SUM(F8:F17)</f>
        <v>0</v>
      </c>
      <c r="G18" s="41">
        <f>SUM(G8:G17)</f>
        <v>767522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253200.43</v>
      </c>
      <c r="D21" s="95">
        <f>'DOE25'!G22</f>
        <v>0</v>
      </c>
      <c r="E21" s="95">
        <f>'DOE25'!H22</f>
        <v>247118.32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692443.11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129532.03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32952.53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1075175.57</v>
      </c>
      <c r="D31" s="41">
        <f>SUM(D21:D30)</f>
        <v>32952.53</v>
      </c>
      <c r="E31" s="41">
        <f>SUM(E21:E30)</f>
        <v>247118.32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28078.13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737103.5</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30418.5</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470439.32</v>
      </c>
      <c r="E47" s="95">
        <f>'DOE25'!H48</f>
        <v>341232.4</v>
      </c>
      <c r="F47" s="95">
        <f>'DOE25'!I48</f>
        <v>0</v>
      </c>
      <c r="G47" s="95">
        <f>'DOE25'!J48</f>
        <v>0</v>
      </c>
      <c r="H47" s="124"/>
      <c r="I47" s="124"/>
    </row>
    <row r="48" spans="1:9" x14ac:dyDescent="0.2">
      <c r="A48" s="1" t="s">
        <v>882</v>
      </c>
      <c r="B48" s="6">
        <v>753</v>
      </c>
      <c r="C48" s="95">
        <f>'DOE25'!F49</f>
        <v>322544</v>
      </c>
      <c r="D48" s="95">
        <f>'DOE25'!G49</f>
        <v>0</v>
      </c>
      <c r="E48" s="95">
        <f>'DOE25'!H49</f>
        <v>0</v>
      </c>
      <c r="F48" s="95">
        <f>'DOE25'!I49</f>
        <v>0</v>
      </c>
      <c r="G48" s="95">
        <f>'DOE25'!J49</f>
        <v>0</v>
      </c>
      <c r="H48" s="124"/>
      <c r="I48" s="124"/>
    </row>
    <row r="49" spans="1:9" ht="12" thickBot="1" x14ac:dyDescent="0.25">
      <c r="A49" s="29" t="s">
        <v>883</v>
      </c>
      <c r="B49" s="71">
        <v>770</v>
      </c>
      <c r="C49" s="95">
        <f>'DOE25'!F50</f>
        <v>1488879.51</v>
      </c>
      <c r="D49" s="24" t="s">
        <v>288</v>
      </c>
      <c r="E49" s="24" t="s">
        <v>288</v>
      </c>
      <c r="F49" s="24" t="s">
        <v>288</v>
      </c>
      <c r="G49" s="24" t="s">
        <v>288</v>
      </c>
      <c r="H49" s="124"/>
      <c r="I49" s="124"/>
    </row>
    <row r="50" spans="1:9" ht="12.75" thickTop="1" thickBot="1" x14ac:dyDescent="0.25">
      <c r="A50" s="38" t="s">
        <v>884</v>
      </c>
      <c r="B50" s="48"/>
      <c r="C50" s="41">
        <f>SUM(C34:C49)</f>
        <v>1889501.6400000001</v>
      </c>
      <c r="D50" s="41">
        <f>SUM(D34:D49)</f>
        <v>470439.32</v>
      </c>
      <c r="E50" s="41">
        <f>SUM(E34:E49)</f>
        <v>341232.4</v>
      </c>
      <c r="F50" s="41">
        <f>SUM(F34:F49)</f>
        <v>0</v>
      </c>
      <c r="G50" s="41">
        <f>SUM(G34:G49)</f>
        <v>767522</v>
      </c>
      <c r="H50" s="124"/>
      <c r="I50" s="124"/>
    </row>
    <row r="51" spans="1:9" ht="12" thickTop="1" x14ac:dyDescent="0.2">
      <c r="A51" s="38" t="s">
        <v>885</v>
      </c>
      <c r="B51" s="2"/>
      <c r="C51" s="41">
        <f>C50+C31</f>
        <v>2964677.21</v>
      </c>
      <c r="D51" s="41">
        <f>D50+D31</f>
        <v>503391.85</v>
      </c>
      <c r="E51" s="41">
        <f>E50+E31</f>
        <v>588350.71999999997</v>
      </c>
      <c r="F51" s="41">
        <f>F50+F31</f>
        <v>0</v>
      </c>
      <c r="G51" s="41">
        <f>G50+G31</f>
        <v>767522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27868549</v>
      </c>
      <c r="D56" s="95">
        <f>'DOE25'!G60</f>
        <v>0</v>
      </c>
      <c r="E56" s="95">
        <f>'DOE25'!H60</f>
        <v>0</v>
      </c>
      <c r="F56" s="95">
        <f>'DOE25'!I60</f>
        <v>0</v>
      </c>
      <c r="G56" s="95">
        <f>'DOE25'!J60</f>
        <v>0</v>
      </c>
      <c r="H56"/>
      <c r="I56"/>
    </row>
    <row r="57" spans="1:9" x14ac:dyDescent="0.2">
      <c r="A57" s="1" t="s">
        <v>164</v>
      </c>
      <c r="B57" s="6" t="s">
        <v>165</v>
      </c>
      <c r="C57" s="95">
        <f>'DOE25'!F79</f>
        <v>1131669.43</v>
      </c>
      <c r="D57" s="24" t="s">
        <v>288</v>
      </c>
      <c r="E57" s="95">
        <f>'DOE25'!H79</f>
        <v>82330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5246.95</v>
      </c>
      <c r="D59" s="95">
        <f>'DOE25'!G96</f>
        <v>0</v>
      </c>
      <c r="E59" s="95">
        <f>'DOE25'!H96</f>
        <v>0</v>
      </c>
      <c r="F59" s="95">
        <f>'DOE25'!I96</f>
        <v>0</v>
      </c>
      <c r="G59" s="95">
        <f>'DOE25'!J96</f>
        <v>31465.16</v>
      </c>
      <c r="H59"/>
      <c r="I59"/>
    </row>
    <row r="60" spans="1:9" x14ac:dyDescent="0.2">
      <c r="A60" s="1" t="s">
        <v>170</v>
      </c>
      <c r="B60" s="118" t="s">
        <v>171</v>
      </c>
      <c r="C60" s="24" t="s">
        <v>288</v>
      </c>
      <c r="D60" s="95">
        <f>'DOE25'!G97</f>
        <v>108325.27</v>
      </c>
      <c r="E60" s="24" t="s">
        <v>288</v>
      </c>
      <c r="F60" s="24" t="s">
        <v>288</v>
      </c>
      <c r="G60" s="24" t="s">
        <v>288</v>
      </c>
      <c r="H60"/>
      <c r="I60"/>
    </row>
    <row r="61" spans="1:9" ht="12" thickBot="1" x14ac:dyDescent="0.25">
      <c r="A61" s="1" t="s">
        <v>172</v>
      </c>
      <c r="B61" s="118" t="s">
        <v>173</v>
      </c>
      <c r="C61" s="95">
        <f>SUM('DOE25'!F98:F110)</f>
        <v>31195.66</v>
      </c>
      <c r="D61" s="95">
        <f>SUM('DOE25'!G98:G110)</f>
        <v>45830.26</v>
      </c>
      <c r="E61" s="95">
        <f>SUM('DOE25'!H98:H110)</f>
        <v>301010.05</v>
      </c>
      <c r="F61" s="95">
        <f>SUM('DOE25'!I98:I110)</f>
        <v>0</v>
      </c>
      <c r="G61" s="95">
        <f>SUM('DOE25'!J98:J110)</f>
        <v>0</v>
      </c>
      <c r="H61"/>
      <c r="I61"/>
    </row>
    <row r="62" spans="1:9" ht="12.75" thickTop="1" thickBot="1" x14ac:dyDescent="0.25">
      <c r="A62" s="29" t="s">
        <v>174</v>
      </c>
      <c r="B62" s="6"/>
      <c r="C62" s="130">
        <f>SUM(C57:C61)</f>
        <v>1168112.0399999998</v>
      </c>
      <c r="D62" s="130">
        <f>SUM(D57:D61)</f>
        <v>154155.53</v>
      </c>
      <c r="E62" s="130">
        <f>SUM(E57:E61)</f>
        <v>383340.05</v>
      </c>
      <c r="F62" s="130">
        <f>SUM(F57:F61)</f>
        <v>0</v>
      </c>
      <c r="G62" s="130">
        <f>SUM(G57:G61)</f>
        <v>31465.16</v>
      </c>
      <c r="H62"/>
      <c r="I62"/>
    </row>
    <row r="63" spans="1:9" ht="12" thickTop="1" x14ac:dyDescent="0.2">
      <c r="A63" s="29" t="s">
        <v>175</v>
      </c>
      <c r="B63" s="6"/>
      <c r="C63" s="22">
        <f>C56+C62</f>
        <v>29036661.039999999</v>
      </c>
      <c r="D63" s="22">
        <f>D56+D62</f>
        <v>154155.53</v>
      </c>
      <c r="E63" s="22">
        <f>E56+E62</f>
        <v>383340.05</v>
      </c>
      <c r="F63" s="22">
        <f>F56+F62</f>
        <v>0</v>
      </c>
      <c r="G63" s="22">
        <f>G56+G62</f>
        <v>31465.16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7799861.6500000004</v>
      </c>
      <c r="D66" s="24" t="s">
        <v>288</v>
      </c>
      <c r="E66" s="24" t="s">
        <v>288</v>
      </c>
      <c r="F66" s="24" t="s">
        <v>288</v>
      </c>
      <c r="G66" s="24" t="s">
        <v>288</v>
      </c>
      <c r="H66"/>
      <c r="I66"/>
    </row>
    <row r="67" spans="1:9" x14ac:dyDescent="0.2">
      <c r="A67" s="1" t="s">
        <v>770</v>
      </c>
      <c r="B67" s="6">
        <v>3112</v>
      </c>
      <c r="C67" s="95">
        <f>'DOE25'!F118</f>
        <v>3216970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2943.33</v>
      </c>
      <c r="D69" s="95">
        <f>'DOE25'!G120</f>
        <v>0</v>
      </c>
      <c r="E69" s="95">
        <f>'DOE25'!H120</f>
        <v>0</v>
      </c>
      <c r="F69" s="95">
        <f>'DOE25'!I120</f>
        <v>0</v>
      </c>
      <c r="G69" s="95">
        <f>'DOE25'!J120</f>
        <v>0</v>
      </c>
      <c r="H69"/>
      <c r="I69"/>
    </row>
    <row r="70" spans="1:9" ht="12" thickTop="1" x14ac:dyDescent="0.2">
      <c r="A70" s="29" t="s">
        <v>252</v>
      </c>
      <c r="B70" s="2"/>
      <c r="C70" s="139">
        <f>SUM(C66:C69)</f>
        <v>11019774.98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68497.5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360085.05</v>
      </c>
      <c r="D75" s="24" t="s">
        <v>288</v>
      </c>
      <c r="E75" s="24" t="s">
        <v>288</v>
      </c>
      <c r="F75" s="24" t="s">
        <v>288</v>
      </c>
      <c r="G75" s="24" t="s">
        <v>288</v>
      </c>
      <c r="H75"/>
      <c r="I75"/>
    </row>
    <row r="76" spans="1:9" x14ac:dyDescent="0.2">
      <c r="A76" s="1" t="s">
        <v>257</v>
      </c>
      <c r="B76" s="6" t="s">
        <v>179</v>
      </c>
      <c r="C76" s="95">
        <f>SUM('DOE25'!F127:F130)</f>
        <v>59052.51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8763.7099999999991</v>
      </c>
      <c r="E77" s="95">
        <f>SUM('DOE25'!H131:H135)</f>
        <v>0</v>
      </c>
      <c r="F77" s="95">
        <f>SUM('DOE25'!I131:I135)</f>
        <v>0</v>
      </c>
      <c r="G77" s="95">
        <f>SUM('DOE25'!J131:J135)</f>
        <v>0</v>
      </c>
      <c r="H77"/>
      <c r="I77"/>
    </row>
    <row r="78" spans="1:9" ht="12.75" thickTop="1" thickBot="1" x14ac:dyDescent="0.25">
      <c r="A78" s="29" t="s">
        <v>259</v>
      </c>
      <c r="B78" s="6"/>
      <c r="C78" s="130">
        <f>SUM(C72:C77)</f>
        <v>487635.06</v>
      </c>
      <c r="D78" s="130">
        <f>SUM(D72:D77)</f>
        <v>8763.7099999999991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11507410.040000001</v>
      </c>
      <c r="D81" s="130">
        <f>SUM(D79:D80)+D78+D70</f>
        <v>8763.7099999999991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5" t="s">
        <v>184</v>
      </c>
      <c r="C88" s="326">
        <f>SUM('DOE25'!F153:F162)</f>
        <v>59570.68</v>
      </c>
      <c r="D88" s="326">
        <f>SUM('DOE25'!G153:G162)</f>
        <v>1024878.45</v>
      </c>
      <c r="E88" s="326">
        <f>SUM('DOE25'!H153:H162)</f>
        <v>1853057.54</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59570.68</v>
      </c>
      <c r="D91" s="131">
        <f>SUM(D85:D90)</f>
        <v>1024878.45</v>
      </c>
      <c r="E91" s="131">
        <f>SUM(E85:E90)</f>
        <v>1853057.54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195800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35000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35000</v>
      </c>
      <c r="D103" s="86">
        <f>SUM(D93:D102)</f>
        <v>0</v>
      </c>
      <c r="E103" s="86">
        <f>SUM(E93:E102)</f>
        <v>0</v>
      </c>
      <c r="F103" s="86">
        <f>SUM(F93:F102)</f>
        <v>0</v>
      </c>
      <c r="G103" s="86">
        <f>SUM(G93:G102)</f>
        <v>195800</v>
      </c>
    </row>
    <row r="104" spans="1:7" ht="12.75" thickTop="1" thickBot="1" x14ac:dyDescent="0.25">
      <c r="A104" s="33" t="s">
        <v>761</v>
      </c>
      <c r="C104" s="86">
        <f>C63+C81+C91+C103</f>
        <v>40638641.759999998</v>
      </c>
      <c r="D104" s="86">
        <f>D63+D81+D91+D103</f>
        <v>1187797.69</v>
      </c>
      <c r="E104" s="86">
        <f>E63+E81+E91+E103</f>
        <v>2236397.59</v>
      </c>
      <c r="F104" s="86">
        <f>F63+F81+F91+F103</f>
        <v>0</v>
      </c>
      <c r="G104" s="86">
        <f>G63+G81+G103</f>
        <v>227265.16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16258439.17</v>
      </c>
      <c r="D109" s="24" t="s">
        <v>288</v>
      </c>
      <c r="E109" s="95">
        <f>('DOE25'!L277)+('DOE25'!L296)+('DOE25'!L315)</f>
        <v>528051.78</v>
      </c>
      <c r="F109" s="24" t="s">
        <v>288</v>
      </c>
      <c r="G109" s="24" t="s">
        <v>288</v>
      </c>
    </row>
    <row r="110" spans="1:7" x14ac:dyDescent="0.2">
      <c r="A110" t="s">
        <v>198</v>
      </c>
      <c r="B110" s="32" t="s">
        <v>199</v>
      </c>
      <c r="C110" s="95">
        <f>('DOE25'!L199)+('DOE25'!L217)+('DOE25'!L235)</f>
        <v>6686658.5200000005</v>
      </c>
      <c r="D110" s="24" t="s">
        <v>288</v>
      </c>
      <c r="E110" s="95">
        <f>('DOE25'!L278)+('DOE25'!L297)+('DOE25'!L316)</f>
        <v>656882.58000000007</v>
      </c>
      <c r="F110" s="24" t="s">
        <v>288</v>
      </c>
      <c r="G110" s="24" t="s">
        <v>288</v>
      </c>
    </row>
    <row r="111" spans="1:7" x14ac:dyDescent="0.2">
      <c r="A111" t="s">
        <v>200</v>
      </c>
      <c r="B111" s="32" t="s">
        <v>165</v>
      </c>
      <c r="C111" s="95">
        <f>('DOE25'!L200)+('DOE25'!L218)+('DOE25'!L236)</f>
        <v>1418492.4599999997</v>
      </c>
      <c r="D111" s="24" t="s">
        <v>288</v>
      </c>
      <c r="E111" s="95">
        <f>('DOE25'!L279)+('DOE25'!L298)+('DOE25'!L317)</f>
        <v>8503.4700000000012</v>
      </c>
      <c r="F111" s="24" t="s">
        <v>288</v>
      </c>
      <c r="G111" s="24" t="s">
        <v>288</v>
      </c>
    </row>
    <row r="112" spans="1:7" x14ac:dyDescent="0.2">
      <c r="A112" t="s">
        <v>201</v>
      </c>
      <c r="B112" s="32" t="s">
        <v>167</v>
      </c>
      <c r="C112" s="95">
        <f>('DOE25'!L201)+('DOE25'!L219)+('DOE25'!L237)</f>
        <v>731852.90999999992</v>
      </c>
      <c r="D112" s="24" t="s">
        <v>288</v>
      </c>
      <c r="E112" s="95">
        <f>+('DOE25'!L280)+('DOE25'!L299)+('DOE25'!L318)</f>
        <v>33155.64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25095443.060000002</v>
      </c>
      <c r="D115" s="86">
        <f>SUM(D109:D114)</f>
        <v>0</v>
      </c>
      <c r="E115" s="86">
        <f>SUM(E109:E114)</f>
        <v>1226593.47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3756248.1000000006</v>
      </c>
      <c r="D118" s="24" t="s">
        <v>288</v>
      </c>
      <c r="E118" s="95">
        <f>+('DOE25'!L282)+('DOE25'!L301)+('DOE25'!L320)</f>
        <v>347300</v>
      </c>
      <c r="F118" s="24" t="s">
        <v>288</v>
      </c>
      <c r="G118" s="24" t="s">
        <v>288</v>
      </c>
    </row>
    <row r="119" spans="1:7" x14ac:dyDescent="0.2">
      <c r="A119" t="s">
        <v>208</v>
      </c>
      <c r="B119" s="32" t="s">
        <v>209</v>
      </c>
      <c r="C119" s="95">
        <f>('DOE25'!L204)+('DOE25'!L222)+('DOE25'!L240)</f>
        <v>792180.96</v>
      </c>
      <c r="D119" s="24" t="s">
        <v>288</v>
      </c>
      <c r="E119" s="95">
        <f>+('DOE25'!L283)+('DOE25'!L302)+('DOE25'!L321)</f>
        <v>225219.91000000003</v>
      </c>
      <c r="F119" s="24" t="s">
        <v>288</v>
      </c>
      <c r="G119" s="24" t="s">
        <v>288</v>
      </c>
    </row>
    <row r="120" spans="1:7" x14ac:dyDescent="0.2">
      <c r="A120" t="s">
        <v>210</v>
      </c>
      <c r="B120" s="32" t="s">
        <v>211</v>
      </c>
      <c r="C120" s="95">
        <f>('DOE25'!L205)+('DOE25'!L223)+('DOE25'!L241)</f>
        <v>1470944.09</v>
      </c>
      <c r="D120" s="24" t="s">
        <v>288</v>
      </c>
      <c r="E120" s="95">
        <f>+('DOE25'!L284)+('DOE25'!L303)+('DOE25'!L322)</f>
        <v>137640.19</v>
      </c>
      <c r="F120" s="24" t="s">
        <v>288</v>
      </c>
      <c r="G120" s="24" t="s">
        <v>288</v>
      </c>
    </row>
    <row r="121" spans="1:7" x14ac:dyDescent="0.2">
      <c r="A121" t="s">
        <v>212</v>
      </c>
      <c r="B121" s="32" t="s">
        <v>213</v>
      </c>
      <c r="C121" s="95">
        <f>('DOE25'!L206)+('DOE25'!L224)+('DOE25'!L242)</f>
        <v>2219171.3200000003</v>
      </c>
      <c r="D121" s="24" t="s">
        <v>288</v>
      </c>
      <c r="E121" s="95">
        <f>+('DOE25'!L285)+('DOE25'!L304)+('DOE25'!L323)</f>
        <v>4200</v>
      </c>
      <c r="F121" s="24" t="s">
        <v>288</v>
      </c>
      <c r="G121" s="24" t="s">
        <v>288</v>
      </c>
    </row>
    <row r="122" spans="1:7" x14ac:dyDescent="0.2">
      <c r="A122" t="s">
        <v>214</v>
      </c>
      <c r="B122" s="32" t="s">
        <v>215</v>
      </c>
      <c r="C122" s="95">
        <f>('DOE25'!L207)+('DOE25'!L225)+('DOE25'!L243)</f>
        <v>478162.93999999994</v>
      </c>
      <c r="D122" s="24" t="s">
        <v>288</v>
      </c>
      <c r="E122" s="95">
        <f>+('DOE25'!L286)+('DOE25'!L305)+('DOE25'!L324)</f>
        <v>0</v>
      </c>
      <c r="F122" s="24" t="s">
        <v>288</v>
      </c>
      <c r="G122" s="24" t="s">
        <v>288</v>
      </c>
    </row>
    <row r="123" spans="1:7" x14ac:dyDescent="0.2">
      <c r="A123" t="s">
        <v>216</v>
      </c>
      <c r="B123" s="32" t="s">
        <v>217</v>
      </c>
      <c r="C123" s="95">
        <f>('DOE25'!L208)+('DOE25'!L226)+('DOE25'!L244)</f>
        <v>3863495.35</v>
      </c>
      <c r="D123" s="24" t="s">
        <v>288</v>
      </c>
      <c r="E123" s="95">
        <f>+('DOE25'!L287)+('DOE25'!L306)+('DOE25'!L325)</f>
        <v>183100.09999999998</v>
      </c>
      <c r="F123" s="24" t="s">
        <v>288</v>
      </c>
      <c r="G123" s="24" t="s">
        <v>288</v>
      </c>
    </row>
    <row r="124" spans="1:7" x14ac:dyDescent="0.2">
      <c r="A124" t="s">
        <v>218</v>
      </c>
      <c r="B124" s="32" t="s">
        <v>219</v>
      </c>
      <c r="C124" s="95">
        <f>('DOE25'!L209)+('DOE25'!L227)+('DOE25'!L245+'DOE25'!L255)</f>
        <v>1485601.3199999998</v>
      </c>
      <c r="D124" s="24" t="s">
        <v>288</v>
      </c>
      <c r="E124" s="95">
        <f>+('DOE25'!L288)+('DOE25'!L307)+('DOE25'!L326)</f>
        <v>71535.290000000008</v>
      </c>
      <c r="F124" s="24" t="s">
        <v>288</v>
      </c>
      <c r="G124" s="24" t="s">
        <v>288</v>
      </c>
    </row>
    <row r="125" spans="1:7" x14ac:dyDescent="0.2">
      <c r="A125" t="s">
        <v>220</v>
      </c>
      <c r="B125" s="32" t="s">
        <v>221</v>
      </c>
      <c r="C125" s="95">
        <f>('DOE25'!L210)+('DOE25'!L228)+('DOE25'!L246)</f>
        <v>1203797.4099999999</v>
      </c>
      <c r="D125" s="24" t="s">
        <v>288</v>
      </c>
      <c r="E125" s="95">
        <f>+('DOE25'!L289)+('DOE25'!L308)+('DOE25'!L327)</f>
        <v>22720.85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717358.37000000011</v>
      </c>
      <c r="E127" s="24" t="s">
        <v>288</v>
      </c>
      <c r="F127" s="24" t="s">
        <v>288</v>
      </c>
      <c r="G127" s="24" t="s">
        <v>288</v>
      </c>
    </row>
    <row r="128" spans="1:7" ht="12.75" thickTop="1" thickBot="1" x14ac:dyDescent="0.25">
      <c r="A128" s="33" t="s">
        <v>226</v>
      </c>
      <c r="C128" s="86">
        <f>SUM(C118:C127)</f>
        <v>15269601.49</v>
      </c>
      <c r="D128" s="86">
        <f>SUM(D118:D127)</f>
        <v>717358.37000000011</v>
      </c>
      <c r="E128" s="86">
        <f>SUM(E118:E127)</f>
        <v>991716.34000000008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615000</v>
      </c>
      <c r="D131" s="24" t="s">
        <v>288</v>
      </c>
      <c r="E131" s="129">
        <f>'DOE25'!L342</f>
        <v>0</v>
      </c>
      <c r="F131" s="24" t="s">
        <v>288</v>
      </c>
      <c r="G131" s="24" t="s">
        <v>288</v>
      </c>
    </row>
    <row r="132" spans="1:7" x14ac:dyDescent="0.2">
      <c r="A132" t="s">
        <v>230</v>
      </c>
      <c r="B132" s="32">
        <v>5120</v>
      </c>
      <c r="C132" s="95">
        <f>'DOE25'!L262</f>
        <v>161763.76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227265.16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-31465.160000000003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972563.76</v>
      </c>
      <c r="D144" s="141">
        <f>SUM(D130:D143)</f>
        <v>0</v>
      </c>
      <c r="E144" s="141">
        <f>SUM(E130:E143)</f>
        <v>0</v>
      </c>
      <c r="F144" s="141">
        <f>SUM(F130:F143)</f>
        <v>0</v>
      </c>
      <c r="G144" s="141">
        <f>SUM(G130:G143)</f>
        <v>0</v>
      </c>
    </row>
    <row r="145" spans="1:9" ht="12.75" thickTop="1" thickBot="1" x14ac:dyDescent="0.25">
      <c r="A145" s="33" t="s">
        <v>244</v>
      </c>
      <c r="C145" s="86">
        <f>(C115+C128+C144)</f>
        <v>41337608.310000002</v>
      </c>
      <c r="D145" s="86">
        <f>(D115+D128+D144)</f>
        <v>717358.37000000011</v>
      </c>
      <c r="E145" s="86">
        <f>(E115+E128+E144)</f>
        <v>2218309.81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4393500</v>
      </c>
      <c r="C154" s="137">
        <f>'DOE25'!G494</f>
        <v>1404300</v>
      </c>
      <c r="D154" s="137">
        <f>'DOE25'!H494</f>
        <v>2553500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1535000</v>
      </c>
      <c r="C156" s="137">
        <f>'DOE25'!G496</f>
        <v>420000</v>
      </c>
      <c r="D156" s="137">
        <f>'DOE25'!H496</f>
        <v>1785000</v>
      </c>
      <c r="E156" s="137">
        <f>'DOE25'!I496</f>
        <v>0</v>
      </c>
      <c r="F156" s="137">
        <f>'DOE25'!J496</f>
        <v>0</v>
      </c>
      <c r="G156" s="138">
        <f>SUM(B156:F156)</f>
        <v>3740000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220000</v>
      </c>
      <c r="C158" s="137">
        <f>'DOE25'!G498</f>
        <v>140000</v>
      </c>
      <c r="D158" s="137">
        <f>'DOE25'!H498</f>
        <v>255000</v>
      </c>
      <c r="E158" s="137">
        <f>'DOE25'!I498</f>
        <v>0</v>
      </c>
      <c r="F158" s="137">
        <f>'DOE25'!J498</f>
        <v>0</v>
      </c>
      <c r="G158" s="138">
        <f t="shared" si="0"/>
        <v>615000</v>
      </c>
    </row>
    <row r="159" spans="1:9" x14ac:dyDescent="0.2">
      <c r="A159" s="22" t="s">
        <v>35</v>
      </c>
      <c r="B159" s="137">
        <f>'DOE25'!F499</f>
        <v>1315000</v>
      </c>
      <c r="C159" s="137">
        <f>'DOE25'!G499</f>
        <v>280000</v>
      </c>
      <c r="D159" s="137">
        <f>'DOE25'!H499</f>
        <v>1530000</v>
      </c>
      <c r="E159" s="137">
        <f>'DOE25'!I499</f>
        <v>0</v>
      </c>
      <c r="F159" s="137">
        <f>'DOE25'!J499</f>
        <v>0</v>
      </c>
      <c r="G159" s="138">
        <f t="shared" si="0"/>
        <v>3125000</v>
      </c>
    </row>
    <row r="160" spans="1:9" x14ac:dyDescent="0.2">
      <c r="A160" s="22" t="s">
        <v>36</v>
      </c>
      <c r="B160" s="137">
        <f>'DOE25'!F500</f>
        <v>137700.56</v>
      </c>
      <c r="C160" s="137">
        <f>'DOE25'!G500</f>
        <v>14980</v>
      </c>
      <c r="D160" s="137">
        <f>'DOE25'!H500</f>
        <v>344632.5</v>
      </c>
      <c r="E160" s="137">
        <f>'DOE25'!I500</f>
        <v>0</v>
      </c>
      <c r="F160" s="137">
        <f>'DOE25'!J500</f>
        <v>0</v>
      </c>
      <c r="G160" s="138">
        <f t="shared" si="0"/>
        <v>497313.06</v>
      </c>
    </row>
    <row r="161" spans="1:7" x14ac:dyDescent="0.2">
      <c r="A161" s="22" t="s">
        <v>37</v>
      </c>
      <c r="B161" s="137">
        <f>'DOE25'!F501</f>
        <v>1452700.56</v>
      </c>
      <c r="C161" s="137">
        <f>'DOE25'!G501</f>
        <v>294980</v>
      </c>
      <c r="D161" s="137">
        <f>'DOE25'!H501</f>
        <v>1874632.5</v>
      </c>
      <c r="E161" s="137">
        <f>'DOE25'!I501</f>
        <v>0</v>
      </c>
      <c r="F161" s="137">
        <f>'DOE25'!J501</f>
        <v>0</v>
      </c>
      <c r="G161" s="138">
        <f t="shared" si="0"/>
        <v>3622313.06</v>
      </c>
    </row>
    <row r="162" spans="1:7" x14ac:dyDescent="0.2">
      <c r="A162" s="22" t="s">
        <v>38</v>
      </c>
      <c r="B162" s="137">
        <f>'DOE25'!F502</f>
        <v>220000</v>
      </c>
      <c r="C162" s="137">
        <f>'DOE25'!G502</f>
        <v>140000</v>
      </c>
      <c r="D162" s="137">
        <f>'DOE25'!H502</f>
        <v>255000</v>
      </c>
      <c r="E162" s="137">
        <f>'DOE25'!I502</f>
        <v>0</v>
      </c>
      <c r="F162" s="137">
        <f>'DOE25'!J502</f>
        <v>0</v>
      </c>
      <c r="G162" s="138">
        <f t="shared" si="0"/>
        <v>615000</v>
      </c>
    </row>
    <row r="163" spans="1:7" x14ac:dyDescent="0.2">
      <c r="A163" s="22" t="s">
        <v>39</v>
      </c>
      <c r="B163" s="137">
        <f>'DOE25'!F503</f>
        <v>44156.26</v>
      </c>
      <c r="C163" s="137">
        <f>'DOE25'!G503</f>
        <v>11235</v>
      </c>
      <c r="D163" s="137">
        <f>'DOE25'!H503</f>
        <v>71527.5</v>
      </c>
      <c r="E163" s="137">
        <f>'DOE25'!I503</f>
        <v>0</v>
      </c>
      <c r="F163" s="137">
        <f>'DOE25'!J503</f>
        <v>0</v>
      </c>
      <c r="G163" s="138">
        <f t="shared" si="0"/>
        <v>126918.76000000001</v>
      </c>
    </row>
    <row r="164" spans="1:7" x14ac:dyDescent="0.2">
      <c r="A164" s="22" t="s">
        <v>246</v>
      </c>
      <c r="B164" s="137">
        <f>'DOE25'!F504</f>
        <v>264156.26</v>
      </c>
      <c r="C164" s="137">
        <f>'DOE25'!G504</f>
        <v>151235</v>
      </c>
      <c r="D164" s="137">
        <f>'DOE25'!H504</f>
        <v>326527.5</v>
      </c>
      <c r="E164" s="137">
        <f>'DOE25'!I504</f>
        <v>0</v>
      </c>
      <c r="F164" s="137">
        <f>'DOE25'!J504</f>
        <v>0</v>
      </c>
      <c r="G164" s="138">
        <f t="shared" si="0"/>
        <v>741918.76</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Milford</v>
      </c>
    </row>
    <row r="3" spans="1:4" x14ac:dyDescent="0.2">
      <c r="B3" s="187" t="s">
        <v>1799</v>
      </c>
    </row>
    <row r="4" spans="1:4" x14ac:dyDescent="0.2">
      <c r="B4" t="s">
        <v>61</v>
      </c>
      <c r="C4" s="178">
        <f>IF('DOE25'!F666+'DOE25'!F671=0,0,ROUND('DOE25'!F673,0))</f>
        <v>18019</v>
      </c>
    </row>
    <row r="5" spans="1:4" x14ac:dyDescent="0.2">
      <c r="B5" t="s">
        <v>700</v>
      </c>
      <c r="C5" s="178">
        <f>IF('DOE25'!G666+'DOE25'!G671=0,0,ROUND('DOE25'!G673,0))</f>
        <v>20185</v>
      </c>
    </row>
    <row r="6" spans="1:4" x14ac:dyDescent="0.2">
      <c r="B6" t="s">
        <v>62</v>
      </c>
      <c r="C6" s="178">
        <f>IF('DOE25'!H666+'DOE25'!H671=0,0,ROUND('DOE25'!H673,0))</f>
        <v>18313</v>
      </c>
    </row>
    <row r="7" spans="1:4" x14ac:dyDescent="0.2">
      <c r="B7" t="s">
        <v>701</v>
      </c>
      <c r="C7" s="178">
        <f>IF('DOE25'!I666+'DOE25'!I671=0,0,ROUND('DOE25'!I673,0))</f>
        <v>18620</v>
      </c>
    </row>
    <row r="9" spans="1:4" x14ac:dyDescent="0.2">
      <c r="A9" s="186" t="s">
        <v>94</v>
      </c>
      <c r="B9" s="187" t="s">
        <v>1800</v>
      </c>
      <c r="C9" s="180" t="s">
        <v>720</v>
      </c>
      <c r="D9" s="180" t="s">
        <v>721</v>
      </c>
    </row>
    <row r="10" spans="1:4" x14ac:dyDescent="0.2">
      <c r="A10">
        <v>1100</v>
      </c>
      <c r="B10" t="s">
        <v>702</v>
      </c>
      <c r="C10" s="178">
        <f>ROUND('DOE25'!L198+'DOE25'!L216+'DOE25'!L234+'DOE25'!L277+'DOE25'!L296+'DOE25'!L315,0)</f>
        <v>16786491</v>
      </c>
      <c r="D10" s="181">
        <f>ROUND((C10/$C$28)*100,1)</f>
        <v>38.799999999999997</v>
      </c>
    </row>
    <row r="11" spans="1:4" x14ac:dyDescent="0.2">
      <c r="A11">
        <v>1200</v>
      </c>
      <c r="B11" t="s">
        <v>703</v>
      </c>
      <c r="C11" s="178">
        <f>ROUND('DOE25'!L199+'DOE25'!L217+'DOE25'!L235+'DOE25'!L278+'DOE25'!L297+'DOE25'!L316,0)</f>
        <v>7343541</v>
      </c>
      <c r="D11" s="181">
        <f>ROUND((C11/$C$28)*100,1)</f>
        <v>17</v>
      </c>
    </row>
    <row r="12" spans="1:4" x14ac:dyDescent="0.2">
      <c r="A12">
        <v>1300</v>
      </c>
      <c r="B12" t="s">
        <v>704</v>
      </c>
      <c r="C12" s="178">
        <f>ROUND('DOE25'!L200+'DOE25'!L218+'DOE25'!L236+'DOE25'!L279+'DOE25'!L298+'DOE25'!L317,0)</f>
        <v>1426996</v>
      </c>
      <c r="D12" s="181">
        <f>ROUND((C12/$C$28)*100,1)</f>
        <v>3.3</v>
      </c>
    </row>
    <row r="13" spans="1:4" x14ac:dyDescent="0.2">
      <c r="A13">
        <v>1400</v>
      </c>
      <c r="B13" t="s">
        <v>705</v>
      </c>
      <c r="C13" s="178">
        <f>ROUND('DOE25'!L201+'DOE25'!L219+'DOE25'!L237+'DOE25'!L280+'DOE25'!L299+'DOE25'!L318,0)</f>
        <v>765009</v>
      </c>
      <c r="D13" s="181">
        <f>ROUND((C13/$C$28)*100,1)</f>
        <v>1.8</v>
      </c>
    </row>
    <row r="14" spans="1:4" x14ac:dyDescent="0.2">
      <c r="D14" s="181"/>
    </row>
    <row r="15" spans="1:4" x14ac:dyDescent="0.2">
      <c r="A15">
        <v>2100</v>
      </c>
      <c r="B15" t="s">
        <v>706</v>
      </c>
      <c r="C15" s="178">
        <f>ROUND('DOE25'!L203+'DOE25'!L221+'DOE25'!L239+'DOE25'!L282+'DOE25'!L301+'DOE25'!L320,0)</f>
        <v>4103548</v>
      </c>
      <c r="D15" s="181">
        <f t="shared" ref="D15:D27" si="0">ROUND((C15/$C$28)*100,1)</f>
        <v>9.5</v>
      </c>
    </row>
    <row r="16" spans="1:4" x14ac:dyDescent="0.2">
      <c r="A16">
        <v>2200</v>
      </c>
      <c r="B16" t="s">
        <v>707</v>
      </c>
      <c r="C16" s="178">
        <f>ROUND('DOE25'!L204+'DOE25'!L222+'DOE25'!L240+'DOE25'!L283+'DOE25'!L302+'DOE25'!L321,0)</f>
        <v>1017401</v>
      </c>
      <c r="D16" s="181">
        <f t="shared" si="0"/>
        <v>2.2999999999999998</v>
      </c>
    </row>
    <row r="17" spans="1:4" x14ac:dyDescent="0.2">
      <c r="A17" s="182" t="s">
        <v>723</v>
      </c>
      <c r="B17" t="s">
        <v>738</v>
      </c>
      <c r="C17" s="178">
        <f>ROUND('DOE25'!L205+'DOE25'!L210+'DOE25'!L223+'DOE25'!L228+'DOE25'!L241+'DOE25'!L246+'DOE25'!L284+'DOE25'!L289+'DOE25'!L303+'DOE25'!L308+'DOE25'!L322+'DOE25'!L327,0)</f>
        <v>2835103</v>
      </c>
      <c r="D17" s="181">
        <f t="shared" si="0"/>
        <v>6.5</v>
      </c>
    </row>
    <row r="18" spans="1:4" x14ac:dyDescent="0.2">
      <c r="A18">
        <v>2400</v>
      </c>
      <c r="B18" t="s">
        <v>711</v>
      </c>
      <c r="C18" s="178">
        <f>ROUND('DOE25'!L206+'DOE25'!L224+'DOE25'!L242+'DOE25'!L285+'DOE25'!L304+'DOE25'!L323,0)</f>
        <v>2223371</v>
      </c>
      <c r="D18" s="181">
        <f t="shared" si="0"/>
        <v>5.0999999999999996</v>
      </c>
    </row>
    <row r="19" spans="1:4" x14ac:dyDescent="0.2">
      <c r="A19">
        <v>2500</v>
      </c>
      <c r="B19" t="s">
        <v>708</v>
      </c>
      <c r="C19" s="178">
        <f>ROUND('DOE25'!L207+'DOE25'!L225+'DOE25'!L243+'DOE25'!L286+'DOE25'!L305+'DOE25'!L324,0)</f>
        <v>478163</v>
      </c>
      <c r="D19" s="181">
        <f t="shared" si="0"/>
        <v>1.1000000000000001</v>
      </c>
    </row>
    <row r="20" spans="1:4" x14ac:dyDescent="0.2">
      <c r="A20">
        <v>2600</v>
      </c>
      <c r="B20" t="s">
        <v>709</v>
      </c>
      <c r="C20" s="178">
        <f>ROUND('DOE25'!L208+'DOE25'!L226+'DOE25'!L244+'DOE25'!L287+'DOE25'!L306+'DOE25'!L325,0)</f>
        <v>4046595</v>
      </c>
      <c r="D20" s="181">
        <f t="shared" si="0"/>
        <v>9.3000000000000007</v>
      </c>
    </row>
    <row r="21" spans="1:4" x14ac:dyDescent="0.2">
      <c r="A21">
        <v>2700</v>
      </c>
      <c r="B21" t="s">
        <v>710</v>
      </c>
      <c r="C21" s="178">
        <f>ROUND('DOE25'!L209+'DOE25'!L227+'DOE25'!L245+'DOE25'!L288+'DOE25'!L307+'DOE25'!L326,0)</f>
        <v>1557137</v>
      </c>
      <c r="D21" s="181">
        <f t="shared" si="0"/>
        <v>3.6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161764</v>
      </c>
      <c r="D25" s="181">
        <f t="shared" si="0"/>
        <v>0.4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563202.47</v>
      </c>
      <c r="D27" s="181">
        <f t="shared" si="0"/>
        <v>1.3</v>
      </c>
    </row>
    <row r="28" spans="1:4" x14ac:dyDescent="0.2">
      <c r="B28" s="186" t="s">
        <v>719</v>
      </c>
      <c r="C28" s="179">
        <f>SUM(C10:C27)</f>
        <v>43308321.469999999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43308321.469999999</v>
      </c>
    </row>
    <row r="31" spans="1:4" x14ac:dyDescent="0.2">
      <c r="B31" s="33"/>
      <c r="C31" s="179"/>
    </row>
    <row r="32" spans="1:4" x14ac:dyDescent="0.2">
      <c r="A32">
        <v>5100</v>
      </c>
      <c r="B32" s="33" t="s">
        <v>726</v>
      </c>
      <c r="C32" s="179">
        <f>ROUND('DOE25'!L261+'DOE25'!L342,0)</f>
        <v>615000</v>
      </c>
    </row>
    <row r="34" spans="1:4" x14ac:dyDescent="0.2">
      <c r="A34" s="186" t="s">
        <v>94</v>
      </c>
      <c r="B34" s="187" t="s">
        <v>1801</v>
      </c>
      <c r="C34" s="180" t="s">
        <v>720</v>
      </c>
      <c r="D34" s="180" t="s">
        <v>721</v>
      </c>
    </row>
    <row r="35" spans="1:4" x14ac:dyDescent="0.2">
      <c r="A35">
        <v>1100</v>
      </c>
      <c r="B35" s="184" t="s">
        <v>727</v>
      </c>
      <c r="C35" s="178">
        <f>ROUND('DOE25'!F60+'DOE25'!G60+'DOE25'!H60+'DOE25'!I60+'DOE25'!J60,0)</f>
        <v>27868549</v>
      </c>
      <c r="D35" s="181">
        <f t="shared" ref="D35:D40" si="1">ROUND((C35/$C$41)*100,1)</f>
        <v>63.5</v>
      </c>
    </row>
    <row r="36" spans="1:4" x14ac:dyDescent="0.2">
      <c r="B36" s="184" t="s">
        <v>739</v>
      </c>
      <c r="C36" s="178">
        <f>SUM('DOE25'!F112:J112)-SUM('DOE25'!G97:G110)+('DOE25'!F175+'DOE25'!F176+'DOE25'!I175+'DOE25'!I176)-C35</f>
        <v>1582917.25</v>
      </c>
      <c r="D36" s="181">
        <f t="shared" si="1"/>
        <v>3.6</v>
      </c>
    </row>
    <row r="37" spans="1:4" x14ac:dyDescent="0.2">
      <c r="A37" s="182" t="s">
        <v>835</v>
      </c>
      <c r="B37" s="184" t="s">
        <v>728</v>
      </c>
      <c r="C37" s="178">
        <f>ROUND('DOE25'!F117+'DOE25'!F118,0)</f>
        <v>11016832</v>
      </c>
      <c r="D37" s="181">
        <f t="shared" si="1"/>
        <v>25.1</v>
      </c>
    </row>
    <row r="38" spans="1:4" x14ac:dyDescent="0.2">
      <c r="A38" s="182" t="s">
        <v>734</v>
      </c>
      <c r="B38" s="184" t="s">
        <v>729</v>
      </c>
      <c r="C38" s="178">
        <f>ROUND(SUM('DOE25'!F140:J140)-SUM('DOE25'!F117:F119),0)</f>
        <v>499342</v>
      </c>
      <c r="D38" s="181">
        <f t="shared" si="1"/>
        <v>1.1000000000000001</v>
      </c>
    </row>
    <row r="39" spans="1:4" x14ac:dyDescent="0.2">
      <c r="A39">
        <v>4000</v>
      </c>
      <c r="B39" s="184" t="s">
        <v>730</v>
      </c>
      <c r="C39" s="178">
        <f>ROUND('DOE25'!F170+'DOE25'!G170+'DOE25'!H170+'DOE25'!I170,0)</f>
        <v>2937507</v>
      </c>
      <c r="D39" s="181">
        <f t="shared" si="1"/>
        <v>6.7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43905147.25</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150" zoomScaleNormal="150" workbookViewId="0">
      <selection activeCell="C6" sqref="C6:M6"/>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Milford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19</v>
      </c>
      <c r="B4" s="218">
        <v>6</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t="s">
        <v>1803</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45</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58</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137</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f>IF('School Level Expenditures'!$B$2='School Tables'!L48,'School Tables'!S48,"")</f>
        <v>45</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f>IF('School Level Expenditures'!$B$2='School Tables'!W61,'School Tables'!AD61,"")</f>
        <v>58</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f>IF('School Level Expenditures'!$B$2=A124,'School Tables'!H124,"")</f>
        <v>121</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f>IF('School Level Expenditures'!$B$2=A140,'School Tables'!H140,"")</f>
        <v>137</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2022-09-19T20:02:41Z</cp:lastPrinted>
  <dcterms:created xsi:type="dcterms:W3CDTF">1997-12-04T19:04:30Z</dcterms:created>
  <dcterms:modified xsi:type="dcterms:W3CDTF">2022-12-19T18:28:02Z</dcterms:modified>
</cp:coreProperties>
</file>