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03838911-3B2A-449E-BF27-006EB88E519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40" i="1" l="1"/>
  <c r="F57" i="1" l="1"/>
  <c r="F118" i="1" l="1"/>
  <c r="H369" i="1" l="1"/>
  <c r="G460" i="1" l="1"/>
  <c r="F460" i="1"/>
  <c r="H459" i="1"/>
  <c r="H441" i="1"/>
  <c r="G440" i="1"/>
  <c r="H430" i="1"/>
  <c r="J427" i="1"/>
  <c r="I427" i="1"/>
  <c r="H427" i="1"/>
  <c r="H404" i="1"/>
  <c r="H161" i="1"/>
  <c r="H98" i="1"/>
  <c r="H3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G36" i="13" l="1"/>
  <c r="B22" i="12" l="1"/>
  <c r="B5" i="14" l="1"/>
  <c r="C5" i="14" s="1"/>
  <c r="F88" i="2" l="1"/>
  <c r="E88" i="2"/>
  <c r="D88" i="2"/>
  <c r="C88" i="2"/>
  <c r="I163" i="1"/>
  <c r="H163" i="1"/>
  <c r="G163" i="1"/>
  <c r="F163" i="1"/>
  <c r="H88" i="2" l="1"/>
  <c r="B31" i="16"/>
  <c r="B27" i="16"/>
  <c r="B9" i="16"/>
  <c r="B5" i="16"/>
  <c r="F42" i="14" l="1"/>
  <c r="F40" i="14" l="1"/>
  <c r="F41" i="14"/>
  <c r="F37" i="14"/>
  <c r="F29" i="14"/>
  <c r="F30" i="14"/>
  <c r="F31" i="14"/>
  <c r="F32" i="14"/>
  <c r="F17" i="14"/>
  <c r="F19" i="14"/>
  <c r="F20" i="14"/>
  <c r="F25" i="14"/>
  <c r="F5"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8" i="13"/>
  <c r="H18" i="13"/>
  <c r="L253" i="1"/>
  <c r="G19" i="13"/>
  <c r="H19" i="13"/>
  <c r="L254"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5" i="1"/>
  <c r="L336" i="1"/>
  <c r="L261" i="1"/>
  <c r="C131" i="2" s="1"/>
  <c r="L262" i="1"/>
  <c r="C132" i="2" s="1"/>
  <c r="L342" i="1"/>
  <c r="L343" i="1"/>
  <c r="L256" i="1"/>
  <c r="C11" i="13"/>
  <c r="C10" i="13"/>
  <c r="C9" i="13"/>
  <c r="L362" i="1"/>
  <c r="B4" i="12"/>
  <c r="B36" i="12"/>
  <c r="C36" i="12"/>
  <c r="B40" i="12"/>
  <c r="B27" i="12"/>
  <c r="C27" i="12"/>
  <c r="B31" i="12"/>
  <c r="B9"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C40" i="10"/>
  <c r="F60" i="1"/>
  <c r="G60" i="1"/>
  <c r="D56" i="2" s="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37" i="1"/>
  <c r="I550" i="1" s="1"/>
  <c r="L538" i="1"/>
  <c r="I551" i="1" s="1"/>
  <c r="L539" i="1"/>
  <c r="I552" i="1" s="1"/>
  <c r="E132" i="2"/>
  <c r="K271" i="1"/>
  <c r="J271" i="1"/>
  <c r="I271" i="1"/>
  <c r="H271" i="1"/>
  <c r="G271" i="1"/>
  <c r="F271" i="1"/>
  <c r="A1" i="2"/>
  <c r="A2" i="2"/>
  <c r="C8" i="2"/>
  <c r="D8" i="2"/>
  <c r="E8" i="2"/>
  <c r="F8" i="2"/>
  <c r="I440" i="1"/>
  <c r="J9" i="1" s="1"/>
  <c r="G8" i="2" s="1"/>
  <c r="H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H61" i="2" s="1"/>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91" i="1"/>
  <c r="G291" i="1"/>
  <c r="H291" i="1"/>
  <c r="I291" i="1"/>
  <c r="F310" i="1"/>
  <c r="G310" i="1"/>
  <c r="H310" i="1"/>
  <c r="I310" i="1"/>
  <c r="F329" i="1"/>
  <c r="G329" i="1"/>
  <c r="H329" i="1"/>
  <c r="I329"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40" i="1"/>
  <c r="G540" i="1"/>
  <c r="H540" i="1"/>
  <c r="I540" i="1"/>
  <c r="J540" i="1"/>
  <c r="K540" i="1"/>
  <c r="F545" i="1"/>
  <c r="G545" i="1"/>
  <c r="I545" i="1"/>
  <c r="J545" i="1"/>
  <c r="K545" i="1"/>
  <c r="L558" i="1"/>
  <c r="L559" i="1"/>
  <c r="L560" i="1"/>
  <c r="F561" i="1"/>
  <c r="G561" i="1"/>
  <c r="H561" i="1"/>
  <c r="I561" i="1"/>
  <c r="J561" i="1"/>
  <c r="K561" i="1"/>
  <c r="L568" i="1"/>
  <c r="L569" i="1"/>
  <c r="L570" i="1"/>
  <c r="F571" i="1"/>
  <c r="G571" i="1"/>
  <c r="H571" i="1"/>
  <c r="I571" i="1"/>
  <c r="J571" i="1"/>
  <c r="K571" i="1"/>
  <c r="I576" i="1"/>
  <c r="I577" i="1"/>
  <c r="I578" i="1"/>
  <c r="I579" i="1"/>
  <c r="I580" i="1"/>
  <c r="I581" i="1"/>
  <c r="I582" i="1"/>
  <c r="I583" i="1"/>
  <c r="I584" i="1"/>
  <c r="I585" i="1"/>
  <c r="I586" i="1"/>
  <c r="I587" i="1"/>
  <c r="I588" i="1"/>
  <c r="K597" i="1"/>
  <c r="K598" i="1"/>
  <c r="K603" i="1"/>
  <c r="K604" i="1"/>
  <c r="G619" i="1"/>
  <c r="G623" i="1"/>
  <c r="G624" i="1"/>
  <c r="G625" i="1"/>
  <c r="G644" i="1"/>
  <c r="G645" i="1"/>
  <c r="G646" i="1"/>
  <c r="G651" i="1"/>
  <c r="G652" i="1"/>
  <c r="H653" i="1"/>
  <c r="G654" i="1"/>
  <c r="H654" i="1"/>
  <c r="H655" i="1"/>
  <c r="H656" i="1"/>
  <c r="H69" i="2" l="1"/>
  <c r="H102" i="2"/>
  <c r="H101" i="2"/>
  <c r="H100" i="2"/>
  <c r="H99" i="2"/>
  <c r="H98" i="2"/>
  <c r="H93" i="2"/>
  <c r="H79" i="2"/>
  <c r="H76" i="2"/>
  <c r="H73" i="2"/>
  <c r="H58" i="2"/>
  <c r="H36" i="2"/>
  <c r="H23" i="2"/>
  <c r="H15" i="2"/>
  <c r="H132" i="2"/>
  <c r="C110" i="2"/>
  <c r="H42" i="2"/>
  <c r="H43" i="2"/>
  <c r="H44" i="2"/>
  <c r="H30" i="2"/>
  <c r="H17" i="2"/>
  <c r="I170" i="1"/>
  <c r="H97" i="2"/>
  <c r="H96" i="2"/>
  <c r="H87" i="2"/>
  <c r="H80" i="2"/>
  <c r="H26" i="2"/>
  <c r="H22" i="2"/>
  <c r="H89" i="2"/>
  <c r="H35" i="2"/>
  <c r="H34" i="2"/>
  <c r="H29" i="2"/>
  <c r="H28" i="2"/>
  <c r="H27" i="2"/>
  <c r="H13" i="2"/>
  <c r="H12" i="2"/>
  <c r="H9" i="2"/>
  <c r="J112" i="1"/>
  <c r="H59" i="2"/>
  <c r="D18" i="13"/>
  <c r="C18" i="13" s="1"/>
  <c r="H125" i="2"/>
  <c r="H38" i="2"/>
  <c r="E112" i="2"/>
  <c r="E111" i="2"/>
  <c r="E124" i="2"/>
  <c r="G62" i="2"/>
  <c r="C112" i="2"/>
  <c r="H112" i="2" s="1"/>
  <c r="H47" i="2"/>
  <c r="H48" i="2"/>
  <c r="H11" i="2"/>
  <c r="I409" i="1"/>
  <c r="D78" i="2"/>
  <c r="H77" i="2"/>
  <c r="G663" i="1"/>
  <c r="C32" i="10"/>
  <c r="E121" i="2"/>
  <c r="C13" i="10"/>
  <c r="C121" i="2"/>
  <c r="E13" i="13"/>
  <c r="C13" i="13" s="1"/>
  <c r="D15" i="13"/>
  <c r="C15" i="13" s="1"/>
  <c r="C120" i="2"/>
  <c r="H120" i="2" s="1"/>
  <c r="D6" i="13"/>
  <c r="C6" i="13" s="1"/>
  <c r="C12" i="10"/>
  <c r="E119" i="2"/>
  <c r="H119" i="2" s="1"/>
  <c r="H409" i="1"/>
  <c r="H645" i="1" s="1"/>
  <c r="J645" i="1" s="1"/>
  <c r="E123" i="2"/>
  <c r="E110" i="2"/>
  <c r="H110" i="2" s="1"/>
  <c r="J656" i="1"/>
  <c r="D50" i="2"/>
  <c r="E131" i="2"/>
  <c r="H131" i="2" s="1"/>
  <c r="H663" i="1"/>
  <c r="C20" i="10"/>
  <c r="I370" i="1"/>
  <c r="H635" i="1" s="1"/>
  <c r="H193" i="1"/>
  <c r="C11" i="10"/>
  <c r="E85" i="2"/>
  <c r="E91" i="2" s="1"/>
  <c r="H112" i="1"/>
  <c r="L402" i="1"/>
  <c r="C139" i="2" s="1"/>
  <c r="H139" i="2" s="1"/>
  <c r="C91" i="2"/>
  <c r="H462" i="1"/>
  <c r="H642" i="1" s="1"/>
  <c r="J642" i="1" s="1"/>
  <c r="L561" i="1"/>
  <c r="G462" i="1"/>
  <c r="H641" i="1" s="1"/>
  <c r="J641" i="1" s="1"/>
  <c r="E103" i="2"/>
  <c r="D18" i="2"/>
  <c r="L310" i="1"/>
  <c r="F462" i="1"/>
  <c r="H640" i="1" s="1"/>
  <c r="J640" i="1" s="1"/>
  <c r="I52" i="1"/>
  <c r="H621" i="1" s="1"/>
  <c r="J621" i="1" s="1"/>
  <c r="D31" i="2"/>
  <c r="E31" i="2"/>
  <c r="C18" i="2"/>
  <c r="F18" i="2"/>
  <c r="L271" i="1"/>
  <c r="L420" i="1"/>
  <c r="D91" i="2"/>
  <c r="D81" i="2"/>
  <c r="E78" i="2"/>
  <c r="E81" i="2" s="1"/>
  <c r="J644" i="1"/>
  <c r="J646" i="1"/>
  <c r="F112" i="1"/>
  <c r="L394" i="1"/>
  <c r="C138" i="2" s="1"/>
  <c r="H138" i="2" s="1"/>
  <c r="B28" i="16"/>
  <c r="L329" i="1"/>
  <c r="E122" i="2"/>
  <c r="L291" i="1"/>
  <c r="L571" i="1"/>
  <c r="H52" i="1"/>
  <c r="H620" i="1" s="1"/>
  <c r="J620" i="1" s="1"/>
  <c r="G112" i="1"/>
  <c r="B10" i="16" s="1"/>
  <c r="E118" i="2"/>
  <c r="L248" i="1"/>
  <c r="L212" i="1"/>
  <c r="H648" i="1"/>
  <c r="G626" i="1"/>
  <c r="G164" i="2"/>
  <c r="G161" i="2"/>
  <c r="G157" i="2"/>
  <c r="G156" i="2"/>
  <c r="G81" i="2"/>
  <c r="C78" i="2"/>
  <c r="F78" i="2"/>
  <c r="F81" i="2" s="1"/>
  <c r="C70" i="2"/>
  <c r="H70" i="2" s="1"/>
  <c r="D62" i="2"/>
  <c r="D63" i="2" s="1"/>
  <c r="E57" i="2"/>
  <c r="C26" i="10"/>
  <c r="C18" i="10"/>
  <c r="L434" i="1"/>
  <c r="L428" i="1"/>
  <c r="G193" i="1"/>
  <c r="B13" i="16" s="1"/>
  <c r="F193" i="1"/>
  <c r="I553" i="1"/>
  <c r="L352" i="1"/>
  <c r="F130" i="2"/>
  <c r="G170" i="1"/>
  <c r="B12" i="16" s="1"/>
  <c r="J618" i="1"/>
  <c r="I25" i="13"/>
  <c r="K501" i="1"/>
  <c r="I461" i="1"/>
  <c r="I453" i="1"/>
  <c r="I447" i="1"/>
  <c r="G643" i="1" s="1"/>
  <c r="C123" i="2"/>
  <c r="E109" i="2"/>
  <c r="C56" i="2"/>
  <c r="H56" i="2" s="1"/>
  <c r="F663" i="1"/>
  <c r="C25" i="10"/>
  <c r="C21" i="10"/>
  <c r="C17" i="10"/>
  <c r="D19" i="13"/>
  <c r="C19" i="13" s="1"/>
  <c r="D14" i="13"/>
  <c r="C14" i="13" s="1"/>
  <c r="C62" i="2"/>
  <c r="L540" i="1"/>
  <c r="K504" i="1"/>
  <c r="L383" i="1"/>
  <c r="C142" i="2"/>
  <c r="H142" i="2" s="1"/>
  <c r="C111" i="2"/>
  <c r="C15" i="10"/>
  <c r="D12" i="13"/>
  <c r="C12" i="13" s="1"/>
  <c r="D5" i="13"/>
  <c r="C5" i="13" s="1"/>
  <c r="E8" i="13"/>
  <c r="C8" i="13" s="1"/>
  <c r="C35" i="10"/>
  <c r="G650" i="1"/>
  <c r="C124" i="2"/>
  <c r="H124" i="2" s="1"/>
  <c r="C122" i="2"/>
  <c r="C118" i="2"/>
  <c r="C19" i="10"/>
  <c r="C16" i="10"/>
  <c r="D7" i="13"/>
  <c r="C7" i="13" s="1"/>
  <c r="E16" i="13"/>
  <c r="C16" i="13" s="1"/>
  <c r="C10" i="10"/>
  <c r="C109" i="2"/>
  <c r="L230" i="1"/>
  <c r="F62" i="2"/>
  <c r="F63" i="2" s="1"/>
  <c r="G163" i="2"/>
  <c r="G162" i="2"/>
  <c r="G160" i="2"/>
  <c r="G159" i="2"/>
  <c r="G158" i="2"/>
  <c r="G103" i="2"/>
  <c r="F103" i="2"/>
  <c r="C103" i="2"/>
  <c r="F91" i="2"/>
  <c r="E50" i="2"/>
  <c r="C50" i="2"/>
  <c r="F31" i="2"/>
  <c r="C31" i="2"/>
  <c r="E18" i="2"/>
  <c r="F50" i="2"/>
  <c r="L408" i="1"/>
  <c r="C140" i="2" s="1"/>
  <c r="H140" i="2" s="1"/>
  <c r="I193" i="1"/>
  <c r="J655" i="1"/>
  <c r="J654" i="1"/>
  <c r="G21" i="2"/>
  <c r="G31" i="2" s="1"/>
  <c r="J32" i="1"/>
  <c r="J435" i="1"/>
  <c r="F435" i="1"/>
  <c r="K435" i="1"/>
  <c r="G134" i="2" s="1"/>
  <c r="J194" i="1"/>
  <c r="G140" i="1"/>
  <c r="B11" i="16" s="1"/>
  <c r="F140" i="1"/>
  <c r="G63" i="2"/>
  <c r="J619" i="1"/>
  <c r="G42" i="2"/>
  <c r="G50" i="2" s="1"/>
  <c r="J51" i="1"/>
  <c r="G16" i="2"/>
  <c r="G18" i="2" s="1"/>
  <c r="J19" i="1"/>
  <c r="G622" i="1" s="1"/>
  <c r="H435" i="1"/>
  <c r="D103" i="2"/>
  <c r="I140" i="1"/>
  <c r="J653" i="1"/>
  <c r="I435" i="1"/>
  <c r="G435" i="1"/>
  <c r="H16" i="2" l="1"/>
  <c r="H78" i="2"/>
  <c r="G637" i="1"/>
  <c r="I473" i="1"/>
  <c r="H91" i="2"/>
  <c r="H85" i="2"/>
  <c r="H111" i="2"/>
  <c r="G647" i="1"/>
  <c r="J469" i="1"/>
  <c r="H121" i="2"/>
  <c r="H50" i="2"/>
  <c r="H31" i="2"/>
  <c r="H21" i="2"/>
  <c r="G144" i="2"/>
  <c r="G145" i="2" s="1"/>
  <c r="H134" i="2"/>
  <c r="H103" i="2"/>
  <c r="E62" i="2"/>
  <c r="H57" i="2"/>
  <c r="D51" i="2"/>
  <c r="E51" i="2"/>
  <c r="H18" i="2"/>
  <c r="H123" i="2"/>
  <c r="F194" i="1"/>
  <c r="F469" i="1" s="1"/>
  <c r="H628" i="1" s="1"/>
  <c r="C81" i="2"/>
  <c r="H81" i="2" s="1"/>
  <c r="G24" i="14"/>
  <c r="H122" i="2"/>
  <c r="E128" i="2"/>
  <c r="H118" i="2"/>
  <c r="H109" i="2"/>
  <c r="C22" i="12"/>
  <c r="A22" i="12" s="1"/>
  <c r="C40" i="12"/>
  <c r="A40" i="12" s="1"/>
  <c r="C31" i="12"/>
  <c r="A31" i="12" s="1"/>
  <c r="I663" i="1"/>
  <c r="F144" i="2"/>
  <c r="H194" i="1"/>
  <c r="C141" i="2"/>
  <c r="F51" i="2"/>
  <c r="G36" i="14"/>
  <c r="C36" i="10"/>
  <c r="L435" i="1"/>
  <c r="G104" i="2"/>
  <c r="I194" i="1"/>
  <c r="G51" i="2"/>
  <c r="D104" i="2"/>
  <c r="L409" i="1"/>
  <c r="G4" i="14"/>
  <c r="F104" i="2"/>
  <c r="B14" i="16"/>
  <c r="G628" i="1"/>
  <c r="E33" i="13"/>
  <c r="D35" i="13" s="1"/>
  <c r="C63" i="2"/>
  <c r="C39" i="10"/>
  <c r="C128" i="2"/>
  <c r="I462" i="1"/>
  <c r="H643" i="1" s="1"/>
  <c r="J643" i="1" s="1"/>
  <c r="C25" i="13"/>
  <c r="I33" i="13"/>
  <c r="C51" i="2"/>
  <c r="G632" i="1"/>
  <c r="G194" i="1"/>
  <c r="G627" i="1"/>
  <c r="J52" i="1"/>
  <c r="H622" i="1" s="1"/>
  <c r="J622" i="1" s="1"/>
  <c r="C38" i="10"/>
  <c r="G629" i="1" l="1"/>
  <c r="G469" i="1"/>
  <c r="G630" i="1"/>
  <c r="H469" i="1"/>
  <c r="G639" i="1"/>
  <c r="J473" i="1"/>
  <c r="G631" i="1"/>
  <c r="I469" i="1"/>
  <c r="H637" i="1"/>
  <c r="J637" i="1" s="1"/>
  <c r="I475" i="1"/>
  <c r="F471" i="1"/>
  <c r="H638" i="1"/>
  <c r="J471" i="1"/>
  <c r="H632" i="1"/>
  <c r="J632" i="1" s="1"/>
  <c r="C144" i="2"/>
  <c r="H141" i="2"/>
  <c r="E63" i="2"/>
  <c r="E104" i="2" s="1"/>
  <c r="H62" i="2"/>
  <c r="H51" i="2"/>
  <c r="C104" i="2"/>
  <c r="H63" i="2"/>
  <c r="J628" i="1"/>
  <c r="F145" i="2"/>
  <c r="G638" i="1"/>
  <c r="J638" i="1" s="1"/>
  <c r="H647" i="1"/>
  <c r="J647" i="1" s="1"/>
  <c r="C41" i="10"/>
  <c r="D38" i="10" s="1"/>
  <c r="H639" i="1" l="1"/>
  <c r="J475" i="1"/>
  <c r="J477" i="1" s="1"/>
  <c r="H627" i="1" s="1"/>
  <c r="J627" i="1" s="1"/>
  <c r="J630" i="1"/>
  <c r="J639" i="1"/>
  <c r="G471" i="1"/>
  <c r="H629" i="1"/>
  <c r="J629" i="1" s="1"/>
  <c r="H471" i="1"/>
  <c r="H630" i="1"/>
  <c r="I471" i="1"/>
  <c r="I477" i="1" s="1"/>
  <c r="H626" i="1" s="1"/>
  <c r="J626" i="1" s="1"/>
  <c r="H631" i="1"/>
  <c r="J631" i="1" s="1"/>
  <c r="H104" i="2"/>
  <c r="D37" i="10"/>
  <c r="D36" i="10"/>
  <c r="D35" i="10"/>
  <c r="D40" i="10"/>
  <c r="D39" i="10"/>
  <c r="D41" i="10" l="1"/>
  <c r="B13" i="12" l="1"/>
  <c r="C13" i="12" l="1"/>
  <c r="A13" i="12" s="1"/>
  <c r="I606" i="1" l="1"/>
  <c r="J606" i="1"/>
  <c r="K605" i="1" l="1"/>
  <c r="K606" i="1" s="1"/>
  <c r="G649" i="1" s="1"/>
  <c r="H606" i="1"/>
  <c r="L543" i="1" l="1"/>
  <c r="J551" i="1" s="1"/>
  <c r="L544" i="1"/>
  <c r="J552" i="1" s="1"/>
  <c r="L542" i="1"/>
  <c r="H545" i="1" l="1"/>
  <c r="J550" i="1"/>
  <c r="J553" i="1" s="1"/>
  <c r="L545" i="1"/>
  <c r="K593" i="1" l="1"/>
  <c r="L337" i="1" l="1"/>
  <c r="E130" i="2"/>
  <c r="G22" i="13"/>
  <c r="C22" i="13" s="1"/>
  <c r="C29" i="10"/>
  <c r="E144" i="2" l="1"/>
  <c r="H144" i="2" s="1"/>
  <c r="H130" i="2"/>
  <c r="I257" i="1" l="1"/>
  <c r="I258" i="1" s="1"/>
  <c r="I272" i="1" s="1"/>
  <c r="H257" i="1"/>
  <c r="H258" i="1" s="1"/>
  <c r="H272" i="1" s="1"/>
  <c r="G257" i="1"/>
  <c r="G258" i="1" s="1"/>
  <c r="G272" i="1" s="1"/>
  <c r="F257" i="1" l="1"/>
  <c r="L252" i="1"/>
  <c r="G17" i="13"/>
  <c r="J257" i="1"/>
  <c r="J258" i="1" s="1"/>
  <c r="J272" i="1" s="1"/>
  <c r="H17" i="13"/>
  <c r="K257" i="1"/>
  <c r="K258" i="1" s="1"/>
  <c r="K272" i="1" s="1"/>
  <c r="D17" i="13" l="1"/>
  <c r="C17" i="13" s="1"/>
  <c r="C114" i="2"/>
  <c r="C115" i="2" s="1"/>
  <c r="C145" i="2" s="1"/>
  <c r="L257" i="1"/>
  <c r="L258" i="1" s="1"/>
  <c r="L272" i="1" s="1"/>
  <c r="F258" i="1"/>
  <c r="F272" i="1" s="1"/>
  <c r="G535" i="1"/>
  <c r="H530" i="1" l="1"/>
  <c r="F566" i="1"/>
  <c r="F572" i="1" s="1"/>
  <c r="L528" i="1"/>
  <c r="G551" i="1" s="1"/>
  <c r="L532" i="1"/>
  <c r="H550" i="1" s="1"/>
  <c r="I566" i="1"/>
  <c r="I572" i="1" s="1"/>
  <c r="J535" i="1"/>
  <c r="L565" i="1"/>
  <c r="H566" i="1"/>
  <c r="H572" i="1" s="1"/>
  <c r="J566" i="1"/>
  <c r="J572" i="1" s="1"/>
  <c r="L524" i="1"/>
  <c r="F552" i="1" s="1"/>
  <c r="L564" i="1"/>
  <c r="G633" i="1"/>
  <c r="F473" i="1"/>
  <c r="I535" i="1"/>
  <c r="L533" i="1"/>
  <c r="H551" i="1" s="1"/>
  <c r="H535" i="1"/>
  <c r="L529" i="1"/>
  <c r="G552" i="1" s="1"/>
  <c r="J530" i="1"/>
  <c r="G566" i="1"/>
  <c r="G572" i="1" s="1"/>
  <c r="K566" i="1"/>
  <c r="K572" i="1" s="1"/>
  <c r="L563" i="1"/>
  <c r="K530" i="1"/>
  <c r="F535" i="1"/>
  <c r="G530" i="1"/>
  <c r="K535" i="1"/>
  <c r="L534" i="1"/>
  <c r="H552" i="1" s="1"/>
  <c r="F530" i="1"/>
  <c r="L527" i="1"/>
  <c r="L523" i="1"/>
  <c r="F551" i="1" s="1"/>
  <c r="I530" i="1"/>
  <c r="K551" i="1" l="1"/>
  <c r="L566" i="1"/>
  <c r="L572" i="1" s="1"/>
  <c r="F475" i="1"/>
  <c r="F477" i="1" s="1"/>
  <c r="H623" i="1" s="1"/>
  <c r="J623" i="1" s="1"/>
  <c r="H633" i="1"/>
  <c r="J633" i="1" s="1"/>
  <c r="K552" i="1"/>
  <c r="H553" i="1"/>
  <c r="L535" i="1"/>
  <c r="L530" i="1"/>
  <c r="G550" i="1"/>
  <c r="G553" i="1" s="1"/>
  <c r="G525" i="1" l="1"/>
  <c r="G546" i="1" s="1"/>
  <c r="K525" i="1"/>
  <c r="K546" i="1" s="1"/>
  <c r="J525" i="1"/>
  <c r="J546" i="1" s="1"/>
  <c r="I525" i="1"/>
  <c r="I546" i="1" s="1"/>
  <c r="H525" i="1"/>
  <c r="H546" i="1" s="1"/>
  <c r="L522" i="1" l="1"/>
  <c r="F525" i="1"/>
  <c r="F546" i="1" s="1"/>
  <c r="F550" i="1" l="1"/>
  <c r="L525" i="1"/>
  <c r="L546" i="1" s="1"/>
  <c r="K550" i="1" l="1"/>
  <c r="K553" i="1" s="1"/>
  <c r="F553" i="1"/>
  <c r="I615" i="1"/>
  <c r="F615" i="1" l="1"/>
  <c r="J615" i="1"/>
  <c r="H615" i="1"/>
  <c r="L614" i="1"/>
  <c r="H664" i="1" s="1"/>
  <c r="K615" i="1"/>
  <c r="L612" i="1" l="1"/>
  <c r="L613" i="1"/>
  <c r="G664" i="1" s="1"/>
  <c r="G615" i="1"/>
  <c r="F664" i="1"/>
  <c r="I664" i="1" s="1"/>
  <c r="K594" i="1"/>
  <c r="K596" i="1"/>
  <c r="L615" i="1" l="1"/>
  <c r="K595" i="1" l="1"/>
  <c r="H31" i="13"/>
  <c r="G31" i="13"/>
  <c r="J338" i="1" l="1"/>
  <c r="J339" i="1" s="1"/>
  <c r="J353" i="1" s="1"/>
  <c r="K338" i="1"/>
  <c r="K339" i="1" s="1"/>
  <c r="K353" i="1" s="1"/>
  <c r="I338" i="1"/>
  <c r="I339" i="1" s="1"/>
  <c r="I353" i="1" s="1"/>
  <c r="L333" i="1"/>
  <c r="F338" i="1"/>
  <c r="H338" i="1"/>
  <c r="H339" i="1" s="1"/>
  <c r="H353" i="1" s="1"/>
  <c r="G338" i="1"/>
  <c r="G339" i="1" s="1"/>
  <c r="G353" i="1" s="1"/>
  <c r="L334" i="1"/>
  <c r="H649" i="1" l="1"/>
  <c r="J649" i="1" s="1"/>
  <c r="L338" i="1"/>
  <c r="L339" i="1" s="1"/>
  <c r="L353" i="1" s="1"/>
  <c r="G634" i="1" s="1"/>
  <c r="F339" i="1"/>
  <c r="F353" i="1" s="1"/>
  <c r="C24" i="10"/>
  <c r="D31" i="13"/>
  <c r="C31" i="13" s="1"/>
  <c r="E114" i="2"/>
  <c r="H114" i="2" s="1"/>
  <c r="H634" i="1"/>
  <c r="H475" i="1"/>
  <c r="H477" i="1" s="1"/>
  <c r="H625" i="1" s="1"/>
  <c r="J625" i="1" s="1"/>
  <c r="E113" i="2"/>
  <c r="C23" i="10"/>
  <c r="H113" i="2" l="1"/>
  <c r="E115" i="2"/>
  <c r="J634" i="1"/>
  <c r="H115" i="2" l="1"/>
  <c r="E145" i="2"/>
  <c r="E43" i="14"/>
  <c r="E33" i="14"/>
  <c r="E21" i="14" l="1"/>
  <c r="K363" i="1" l="1"/>
  <c r="F363" i="1"/>
  <c r="H363" i="1"/>
  <c r="J363" i="1"/>
  <c r="G29" i="13"/>
  <c r="G33" i="13" s="1"/>
  <c r="L361" i="1"/>
  <c r="H661" i="1" s="1"/>
  <c r="I363" i="1"/>
  <c r="G635" i="1" s="1"/>
  <c r="J635" i="1" s="1"/>
  <c r="H29" i="13"/>
  <c r="H33" i="13" s="1"/>
  <c r="L360" i="1"/>
  <c r="G661" i="1" s="1"/>
  <c r="L359" i="1"/>
  <c r="G662" i="1" s="1"/>
  <c r="G363" i="1"/>
  <c r="L363" i="1"/>
  <c r="G473" i="1" s="1"/>
  <c r="F662" i="1"/>
  <c r="D127" i="2"/>
  <c r="F661" i="1"/>
  <c r="D29" i="13" l="1"/>
  <c r="D33" i="13" s="1"/>
  <c r="D36" i="13" s="1"/>
  <c r="H662" i="1"/>
  <c r="H636" i="1"/>
  <c r="G475" i="1"/>
  <c r="G477" i="1" s="1"/>
  <c r="G665" i="1"/>
  <c r="G673" i="1" s="1"/>
  <c r="C5" i="10" s="1"/>
  <c r="H665" i="1"/>
  <c r="I661" i="1"/>
  <c r="F665" i="1"/>
  <c r="H127" i="2"/>
  <c r="D128" i="2"/>
  <c r="I662" i="1"/>
  <c r="G636" i="1"/>
  <c r="B17" i="16"/>
  <c r="B19" i="16" s="1"/>
  <c r="B22" i="16" s="1"/>
  <c r="C27" i="10"/>
  <c r="G668" i="1" l="1"/>
  <c r="C29" i="13"/>
  <c r="H624" i="1"/>
  <c r="J624" i="1" s="1"/>
  <c r="B33" i="16"/>
  <c r="I665" i="1"/>
  <c r="I673" i="1" s="1"/>
  <c r="C7" i="10" s="1"/>
  <c r="F673" i="1"/>
  <c r="C4" i="10" s="1"/>
  <c r="F668" i="1"/>
  <c r="H128" i="2"/>
  <c r="D145" i="2"/>
  <c r="H145" i="2" s="1"/>
  <c r="J636" i="1"/>
  <c r="C28" i="10"/>
  <c r="D27" i="10" s="1"/>
  <c r="H673" i="1"/>
  <c r="C6" i="10" s="1"/>
  <c r="H668" i="1"/>
  <c r="I668" i="1" l="1"/>
  <c r="D18" i="10"/>
  <c r="D13" i="10"/>
  <c r="D25" i="10"/>
  <c r="D10" i="10"/>
  <c r="D23" i="10"/>
  <c r="D11" i="10"/>
  <c r="D24" i="10"/>
  <c r="C30" i="10"/>
  <c r="D26" i="10"/>
  <c r="D22" i="10"/>
  <c r="D17" i="10"/>
  <c r="D21" i="10"/>
  <c r="D15" i="10"/>
  <c r="D20" i="10"/>
  <c r="D12" i="10"/>
  <c r="D16" i="10"/>
  <c r="D19" i="10"/>
  <c r="D28" i="10" l="1"/>
  <c r="F13" i="14" l="1"/>
  <c r="F11" i="14"/>
  <c r="F14" i="14"/>
  <c r="F15" i="14"/>
  <c r="F12" i="14"/>
  <c r="F16" i="14"/>
  <c r="F18" i="14"/>
  <c r="F6" i="14"/>
  <c r="F26" i="14"/>
  <c r="F7" i="14"/>
  <c r="F27" i="14"/>
  <c r="F8" i="14"/>
  <c r="F28" i="14"/>
  <c r="F9" i="14"/>
  <c r="F39" i="14"/>
  <c r="F10" i="14"/>
  <c r="D43" i="14" l="1"/>
  <c r="F38" i="14"/>
  <c r="F36" i="14" s="1"/>
  <c r="H36" i="14" s="1"/>
  <c r="I36" i="14" s="1"/>
  <c r="F24" i="14"/>
  <c r="H24" i="14" s="1"/>
  <c r="I24" i="14" s="1"/>
  <c r="D33" i="14"/>
  <c r="D21" i="14"/>
  <c r="F4" i="14"/>
  <c r="H4" i="14" s="1"/>
  <c r="I4" i="14" s="1"/>
  <c r="I599" i="1" l="1"/>
  <c r="H651" i="1" s="1"/>
  <c r="J651" i="1" s="1"/>
  <c r="J599" i="1"/>
  <c r="H652" i="1" s="1"/>
  <c r="J652" i="1" s="1"/>
  <c r="H599" i="1" l="1"/>
  <c r="H650" i="1" s="1"/>
  <c r="J650" i="1" s="1"/>
  <c r="K592" i="1"/>
  <c r="K599" i="1" s="1"/>
  <c r="G648" i="1" s="1"/>
  <c r="J648"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67B4495A-FC69-48BF-9BFD-091EB15DA295}">
      <text>
        <r>
          <rPr>
            <sz val="8"/>
            <color indexed="81"/>
            <rFont val="Tahoma"/>
            <family val="2"/>
          </rPr>
          <t xml:space="preserve">Only report the state’s share of the revenue on this page.  Do not lump sum the state and federal revenues.
</t>
        </r>
      </text>
    </comment>
    <comment ref="G158" authorId="0" shapeId="0" xr:uid="{8D0838EE-01F4-4859-9605-D53C76C7C461}">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<sst xmlns="http://schemas.openxmlformats.org/spreadsheetml/2006/main" count="6533" uniqueCount="1804">
  <si>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</si>
  <si>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</si>
  <si>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</si>
  <si>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</si>
  <si>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</si>
  <si>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</si>
  <si>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</si>
  <si>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</si>
  <si>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</si>
  <si>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</si>
  <si>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</si>
  <si>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</si>
  <si>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</si>
  <si>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</si>
  <si>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</si>
  <si>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</si>
  <si>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</si>
  <si>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</si>
  <si>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</si>
  <si>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</si>
  <si>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</si>
  <si>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</si>
  <si>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</si>
  <si>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</si>
  <si>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</si>
  <si>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</si>
  <si>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</si>
  <si>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</si>
  <si>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</si>
  <si>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</si>
  <si>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</si>
  <si>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</si>
  <si>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</si>
  <si>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</si>
  <si>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</si>
  <si>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</si>
  <si>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</si>
  <si>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</si>
  <si>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</si>
  <si>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</si>
  <si>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</si>
  <si>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</si>
  <si>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</si>
  <si>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</si>
  <si>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</si>
  <si>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</si>
  <si>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</si>
  <si>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</si>
  <si>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</si>
  <si>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</si>
  <si>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</si>
  <si>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</si>
  <si>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</si>
  <si>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</si>
  <si>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</si>
  <si>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</si>
  <si>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</si>
  <si>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</si>
  <si>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</si>
  <si>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</si>
  <si>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</si>
  <si>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</si>
  <si>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</si>
  <si>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</si>
  <si>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</si>
  <si>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</si>
  <si>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</si>
  <si>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</si>
  <si>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</si>
  <si>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</si>
  <si>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</si>
  <si>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</si>
  <si>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</si>
  <si>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</si>
  <si>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</si>
  <si>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</si>
  <si>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</si>
  <si>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</si>
  <si>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</si>
  <si>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</si>
  <si>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</si>
  <si>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</si>
  <si>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</si>
  <si>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</si>
  <si>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</si>
  <si>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</si>
  <si>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</si>
  <si>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</si>
  <si>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</si>
  <si>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</si>
  <si>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</si>
  <si>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</si>
  <si>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</si>
  <si>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</si>
  <si>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</si>
  <si>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</si>
  <si>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</si>
  <si>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</si>
  <si>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</si>
  <si>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</si>
  <si>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</si>
  <si>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</si>
  <si>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</si>
  <si>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</si>
  <si>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</si>
  <si>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</si>
  <si>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</si>
  <si>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</si>
  <si>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</si>
  <si>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</si>
  <si>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</si>
  <si>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</si>
  <si>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</si>
  <si>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</si>
  <si>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</si>
  <si>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</si>
  <si>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</si>
  <si>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</si>
  <si>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</si>
  <si>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</si>
  <si>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</si>
  <si>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</si>
  <si>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</si>
  <si>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</si>
  <si>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</si>
  <si>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</si>
  <si>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</si>
  <si>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</si>
  <si>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</si>
  <si>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</si>
  <si>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</si>
  <si>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</si>
  <si>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</si>
  <si>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</si>
  <si>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</si>
  <si>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</si>
  <si>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</si>
  <si>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</si>
  <si>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</si>
  <si>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</si>
  <si>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</si>
  <si>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</si>
  <si>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</si>
  <si>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</si>
  <si>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</si>
  <si>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</si>
  <si>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</si>
  <si>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</si>
  <si>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</si>
  <si>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</si>
  <si>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</si>
  <si>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</si>
  <si>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</si>
  <si>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</si>
  <si>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</si>
  <si>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</si>
  <si>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</si>
  <si>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</si>
  <si>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</si>
  <si>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</si>
  <si>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</si>
  <si>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</si>
  <si>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</si>
  <si>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</si>
  <si>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</si>
  <si>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</si>
  <si>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</si>
  <si>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</si>
  <si>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</si>
  <si>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</si>
  <si>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</si>
  <si>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</si>
  <si>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</si>
  <si>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</si>
  <si>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</si>
  <si>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</si>
  <si>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</si>
  <si>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</si>
  <si>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</si>
  <si>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</si>
  <si>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</si>
  <si>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</si>
  <si>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</si>
  <si>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</si>
  <si>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</si>
  <si>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</si>
  <si>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</si>
  <si>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</si>
  <si>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</si>
  <si>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</si>
  <si>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</si>
  <si>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</si>
  <si>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</si>
  <si>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</si>
  <si>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</si>
  <si>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</si>
  <si>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</si>
  <si>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</si>
  <si>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</si>
  <si>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</si>
  <si>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</si>
  <si>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</si>
  <si>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</si>
  <si>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</si>
  <si>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</si>
  <si>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</si>
  <si>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</si>
  <si>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</si>
  <si>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</si>
  <si>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</si>
  <si>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</si>
  <si>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</si>
  <si>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</si>
  <si>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</si>
  <si>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</si>
  <si>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</si>
  <si>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</si>
  <si>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</si>
  <si>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</si>
  <si>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</si>
  <si>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</si>
  <si>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</si>
  <si>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</si>
  <si>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</si>
  <si>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</si>
  <si>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</si>
  <si>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</si>
  <si>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</si>
  <si>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</si>
  <si>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</si>
  <si>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</si>
  <si>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</si>
  <si>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</si>
  <si>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</si>
  <si>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</si>
  <si>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</si>
  <si>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</si>
  <si>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</si>
  <si>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</si>
  <si>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</si>
  <si>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</si>
  <si>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</si>
  <si>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</si>
  <si>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</si>
  <si>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</si>
  <si>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</si>
  <si>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</si>
  <si>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</si>
  <si>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</si>
  <si>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</si>
  <si>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</si>
  <si>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</si>
  <si>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</si>
  <si>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</si>
  <si>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</si>
  <si>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</si>
  <si>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</si>
  <si>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</si>
  <si>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</si>
  <si>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</si>
  <si>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</si>
  <si>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</si>
  <si>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</si>
  <si>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</si>
  <si>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</si>
  <si>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</si>
  <si>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</si>
  <si>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</si>
  <si>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</si>
  <si>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</si>
  <si>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</si>
  <si>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</si>
  <si>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</si>
  <si>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</si>
  <si>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</si>
  <si>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</si>
  <si>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</si>
  <si>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</si>
  <si>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</si>
  <si>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</si>
  <si>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</si>
  <si>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</si>
  <si>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</si>
  <si>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</si>
  <si>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</si>
  <si>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</si>
  <si>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</si>
  <si>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</si>
  <si>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</si>
  <si>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</si>
  <si>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</si>
  <si>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</si>
  <si>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</si>
  <si>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</si>
  <si>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</si>
  <si>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</si>
  <si>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</si>
  <si>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</si>
  <si>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</si>
  <si>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</si>
  <si>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</si>
  <si>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</si>
  <si>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</si>
  <si>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</si>
  <si>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</si>
  <si>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</si>
  <si>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</si>
  <si>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</si>
  <si>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</si>
  <si>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</si>
  <si>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</si>
  <si>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</si>
  <si>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</si>
  <si>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</si>
  <si>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</si>
  <si>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</si>
  <si>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</si>
  <si>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</si>
  <si>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</si>
  <si>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</si>
  <si>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</si>
  <si>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</si>
  <si>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</si>
  <si>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</si>
  <si>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</si>
  <si>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</si>
  <si>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</si>
  <si>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</si>
  <si>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</si>
  <si>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</si>
  <si>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</si>
  <si>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</si>
  <si>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</si>
  <si>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</si>
  <si>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</si>
  <si>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</si>
  <si>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</si>
  <si>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</si>
  <si>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</si>
  <si>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</si>
  <si>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</si>
  <si>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</si>
  <si>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</si>
  <si>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</si>
  <si>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</si>
  <si>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</si>
  <si>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</si>
  <si>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</si>
  <si>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</si>
  <si>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</si>
  <si>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</si>
  <si>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</si>
  <si>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</si>
  <si>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</si>
  <si>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</si>
  <si>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</si>
  <si>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</si>
  <si>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</si>
  <si>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</si>
  <si>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</si>
  <si>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</si>
  <si>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</si>
  <si>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</si>
  <si>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</si>
  <si>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</si>
  <si>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</si>
  <si>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</si>
  <si>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</si>
  <si>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</si>
  <si>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</si>
  <si>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</si>
  <si>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</si>
  <si>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</si>
  <si>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</si>
  <si>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</si>
  <si>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</si>
  <si>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</si>
  <si>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</si>
  <si>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</si>
  <si>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</si>
  <si>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</si>
  <si>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</si>
  <si>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</si>
  <si>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</si>
  <si>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</si>
  <si>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</si>
  <si>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</si>
  <si>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</si>
  <si>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</si>
  <si>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</si>
  <si>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</si>
  <si>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</si>
  <si>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</si>
  <si>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</si>
  <si>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</si>
  <si>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</si>
  <si>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</si>
  <si>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</si>
  <si>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</si>
  <si>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</si>
  <si>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</si>
  <si>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</si>
  <si>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</si>
  <si>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</si>
  <si>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</si>
  <si>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</si>
  <si>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</si>
  <si>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</si>
  <si>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</si>
  <si>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</si>
  <si>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</si>
  <si>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</si>
  <si>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</si>
  <si>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</si>
  <si>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</si>
  <si>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</si>
  <si>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</si>
  <si>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</si>
  <si>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</si>
  <si>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</si>
  <si>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</si>
  <si>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</si>
  <si>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</si>
  <si>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</si>
  <si>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</si>
  <si>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</si>
  <si>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</si>
  <si>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</si>
  <si>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</si>
  <si>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</si>
  <si>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</si>
  <si>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</si>
  <si>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</si>
  <si>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</si>
  <si>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</si>
  <si>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</si>
  <si>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</si>
  <si>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</si>
  <si>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</si>
  <si>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</si>
  <si>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</si>
  <si>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</si>
  <si>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</si>
  <si>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</si>
  <si>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</si>
  <si>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</si>
  <si>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</si>
  <si>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</si>
  <si>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</si>
  <si>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</si>
  <si>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</si>
  <si>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</si>
  <si>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</si>
  <si>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</si>
  <si>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</si>
  <si>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</si>
  <si>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</si>
  <si>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</si>
  <si>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</si>
  <si>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</si>
  <si>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</si>
  <si>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</si>
  <si>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</si>
  <si>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</si>
  <si>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</si>
  <si>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</si>
  <si>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</si>
  <si>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</si>
  <si>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</si>
  <si>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</si>
  <si>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</si>
  <si>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</si>
  <si>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</si>
  <si>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</si>
  <si>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</si>
  <si>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</si>
  <si>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</si>
  <si>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</si>
  <si>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</si>
  <si>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</si>
  <si>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</si>
  <si>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</si>
  <si>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</si>
  <si>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</si>
  <si>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</si>
  <si>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</si>
  <si>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</si>
  <si>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</si>
  <si>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</si>
  <si>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</si>
  <si>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</si>
  <si>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</si>
  <si>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</si>
  <si>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</si>
  <si>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</si>
  <si>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</si>
  <si>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</si>
  <si>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</si>
  <si>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</si>
  <si>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</si>
  <si>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</si>
  <si>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</si>
  <si>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</si>
  <si>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</si>
  <si>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</si>
  <si>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</si>
  <si>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</si>
  <si>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</si>
  <si>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</si>
  <si>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</si>
  <si>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</si>
  <si>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</si>
  <si>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</si>
  <si>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</si>
  <si>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</si>
  <si>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</si>
  <si>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</si>
  <si>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</si>
  <si>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</si>
  <si>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</si>
  <si>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</si>
  <si>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</si>
  <si>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</si>
  <si>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</si>
  <si>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</si>
  <si>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</si>
  <si>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</si>
  <si>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</si>
  <si>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</si>
  <si>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</si>
  <si>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</si>
  <si>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</si>
  <si>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</si>
  <si>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</si>
  <si>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</si>
  <si>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</si>
  <si>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</si>
  <si>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</si>
  <si>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</si>
  <si>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</si>
  <si>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</si>
  <si>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</si>
  <si>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</si>
  <si>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</si>
  <si>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</si>
  <si>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</si>
  <si>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</si>
  <si>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</si>
  <si>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</si>
  <si>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</si>
  <si>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</si>
  <si>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</si>
  <si>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</si>
  <si>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</si>
  <si>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</si>
  <si>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</si>
  <si>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</si>
  <si>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</si>
  <si>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</si>
  <si>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</si>
  <si>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</si>
  <si>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</si>
  <si>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</si>
  <si>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</si>
  <si>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</si>
  <si>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</si>
  <si>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</si>
  <si>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</si>
  <si>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</si>
  <si>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</si>
  <si>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</si>
  <si>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</si>
  <si>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</si>
  <si>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</si>
  <si>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</si>
  <si>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</si>
  <si>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</si>
  <si>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</si>
  <si>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</si>
  <si>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</si>
  <si>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</si>
  <si>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</si>
  <si>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</si>
  <si>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</si>
  <si>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</si>
  <si>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</si>
  <si>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</si>
  <si>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</si>
  <si>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</si>
  <si>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</si>
  <si>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</si>
  <si>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</si>
  <si>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</si>
  <si>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</si>
  <si>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</si>
  <si>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</si>
  <si>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</si>
  <si>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</si>
  <si>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</si>
  <si>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</si>
  <si>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</si>
  <si>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</si>
  <si>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</si>
  <si>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</si>
  <si>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</si>
  <si>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</si>
  <si>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</si>
  <si>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</si>
  <si>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</si>
  <si>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</si>
  <si>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</si>
  <si>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</si>
  <si>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</si>
  <si>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</si>
  <si>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</si>
  <si>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</si>
  <si>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</si>
  <si>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</si>
  <si>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</si>
  <si>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</si>
  <si>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</si>
  <si>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</si>
  <si>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</si>
  <si>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</si>
  <si>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</si>
  <si>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</si>
  <si>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</si>
  <si>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</si>
  <si>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</si>
  <si>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</si>
  <si>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</si>
  <si>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</si>
  <si>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</si>
  <si>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</si>
  <si>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</si>
  <si>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</si>
  <si>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</si>
  <si>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</si>
  <si>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</si>
  <si>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</si>
  <si>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</si>
  <si>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</si>
  <si>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</si>
  <si>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</si>
  <si>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</si>
  <si>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</si>
  <si>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</si>
  <si>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</si>
  <si>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</si>
  <si>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</si>
  <si>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</si>
  <si>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</si>
  <si>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</si>
  <si>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</si>
  <si>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</si>
  <si>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</si>
  <si>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</si>
  <si>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</si>
  <si>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</si>
  <si>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</si>
  <si>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</si>
  <si>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</si>
  <si>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</si>
  <si>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</si>
  <si>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</si>
  <si>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</si>
  <si>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</si>
  <si>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</si>
  <si>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</si>
  <si>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</si>
  <si>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</si>
  <si>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</si>
  <si>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</si>
  <si>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</si>
  <si>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</si>
  <si>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</si>
  <si>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</si>
  <si>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</si>
  <si>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</si>
  <si>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</si>
  <si>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</si>
  <si>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</si>
  <si>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</si>
  <si>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</si>
  <si>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</si>
  <si>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</si>
  <si>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</si>
  <si>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</si>
  <si>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</si>
  <si>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</si>
  <si>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</si>
  <si>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</si>
  <si>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</si>
  <si>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</si>
  <si>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</si>
  <si>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</si>
  <si>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</si>
  <si>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</si>
  <si>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</si>
  <si>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</si>
  <si>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</si>
  <si>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</si>
  <si>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</si>
  <si>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</si>
  <si>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</si>
  <si>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</si>
  <si>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</si>
  <si>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</si>
  <si>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</si>
  <si>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</si>
  <si>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</si>
  <si>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</si>
  <si>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</si>
  <si>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</si>
  <si>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</si>
  <si>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</si>
  <si>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</si>
  <si>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</si>
  <si>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</si>
  <si>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</si>
  <si>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</si>
  <si>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</si>
  <si>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</si>
  <si>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</si>
  <si>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</si>
  <si>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</si>
  <si>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</si>
  <si>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</si>
  <si>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</si>
  <si>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</si>
  <si>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</si>
  <si>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</si>
  <si>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</si>
  <si>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</si>
  <si>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</si>
  <si>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</si>
  <si>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</si>
  <si>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</si>
  <si>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</si>
  <si>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</si>
  <si>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</si>
  <si>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</si>
  <si>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</si>
  <si>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</si>
  <si>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</si>
  <si>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</si>
  <si>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</si>
  <si>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</si>
  <si>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</si>
  <si>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</si>
  <si>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</si>
  <si>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</si>
  <si>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</si>
  <si>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</si>
  <si>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</si>
  <si>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</si>
  <si>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</si>
  <si>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</si>
  <si>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</si>
  <si>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</si>
  <si>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</si>
  <si>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</si>
  <si>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</si>
  <si>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</si>
  <si>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</si>
  <si>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</si>
  <si>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</si>
  <si>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</si>
  <si>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</si>
  <si>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</si>
  <si>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</si>
  <si>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</si>
  <si>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</si>
  <si>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</si>
  <si>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</si>
  <si>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</si>
  <si>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</si>
  <si>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</si>
  <si>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</si>
  <si>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</si>
  <si>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</si>
  <si>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</si>
  <si>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</si>
  <si>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</si>
  <si>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</si>
  <si>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</si>
  <si>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</si>
  <si>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</si>
  <si>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</si>
  <si>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</si>
  <si>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</si>
  <si>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</si>
  <si>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</si>
  <si>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</si>
  <si>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</si>
  <si>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</si>
  <si>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</si>
  <si>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</si>
  <si>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</si>
  <si>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</si>
  <si>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</si>
  <si>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</si>
  <si>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</si>
  <si>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</si>
  <si>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</si>
  <si>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</si>
  <si>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</si>
  <si>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</si>
  <si>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</si>
  <si>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</si>
  <si>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</si>
  <si>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</si>
  <si>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</si>
  <si>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</si>
  <si>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</si>
  <si>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</si>
  <si>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</si>
  <si>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</si>
  <si>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</si>
  <si>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</si>
  <si>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</si>
  <si>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</si>
  <si>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</si>
  <si>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</si>
  <si>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</si>
  <si>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</si>
  <si>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</si>
  <si>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</si>
  <si>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</si>
  <si>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</si>
  <si>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</si>
  <si>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</si>
  <si>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</si>
  <si>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</si>
  <si>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</si>
  <si>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</si>
  <si>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</si>
  <si>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</si>
  <si>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</si>
  <si>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</si>
  <si>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</si>
  <si>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</si>
  <si>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</si>
  <si>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</si>
  <si>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</si>
  <si>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</si>
  <si>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</si>
  <si>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</si>
  <si>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</si>
  <si>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</si>
  <si>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</si>
  <si>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</si>
  <si>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</si>
  <si>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</si>
  <si>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</si>
  <si>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</si>
  <si>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</si>
  <si>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</si>
  <si>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</si>
  <si>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</si>
  <si>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</si>
  <si>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</si>
  <si>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</si>
  <si>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</si>
  <si>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</si>
  <si>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</si>
  <si>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</si>
  <si>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</si>
  <si>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</si>
  <si>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</si>
  <si>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</si>
  <si>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</si>
  <si>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</si>
  <si>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</si>
  <si>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</si>
  <si>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</si>
  <si>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</si>
  <si>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</si>
  <si>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</si>
  <si>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</si>
  <si>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</si>
  <si>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</si>
  <si>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</si>
  <si>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</si>
  <si>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</si>
  <si>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</si>
  <si>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</si>
  <si>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</si>
  <si>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</si>
  <si>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</si>
  <si>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</si>
  <si>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</si>
  <si>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</si>
  <si>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</si>
  <si>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</si>
  <si>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</si>
  <si>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</si>
  <si>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</si>
  <si>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</si>
  <si>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</si>
  <si>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</si>
  <si>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</si>
  <si>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</si>
  <si>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</si>
  <si>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</si>
  <si>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</si>
  <si>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</si>
  <si>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</si>
  <si>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</si>
  <si>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</si>
  <si>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</si>
  <si>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</si>
  <si>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</si>
  <si>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</si>
  <si>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</si>
  <si>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</si>
  <si>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</si>
  <si>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</si>
  <si>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</si>
  <si>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</si>
  <si>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</si>
  <si>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</si>
  <si>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</si>
  <si>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</si>
  <si>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</si>
  <si>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</si>
  <si>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</si>
  <si>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</si>
  <si>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</si>
  <si>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</si>
  <si>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</si>
  <si>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</si>
  <si>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</si>
  <si>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</si>
  <si>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</si>
  <si>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</si>
  <si>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</si>
  <si>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</si>
  <si>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</si>
  <si>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</si>
  <si>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</si>
  <si>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</si>
  <si>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</si>
  <si>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</si>
  <si>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</si>
  <si>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</si>
  <si>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</si>
  <si>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</si>
  <si>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</si>
  <si>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</si>
  <si>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</si>
  <si>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</si>
  <si>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</si>
  <si>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</si>
  <si>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</si>
  <si>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</si>
  <si>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</si>
  <si>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</si>
  <si>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</si>
  <si>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</si>
  <si>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</si>
  <si>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</si>
  <si>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</si>
  <si>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</si>
  <si>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</si>
  <si>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</si>
  <si>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</si>
  <si>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</si>
  <si>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</si>
  <si>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</si>
  <si>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</si>
  <si>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</si>
  <si>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</si>
  <si>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</si>
  <si>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</si>
  <si>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</si>
  <si>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</si>
  <si>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</si>
  <si>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</si>
  <si>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</si>
  <si>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</si>
  <si>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</si>
  <si>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</si>
  <si>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</si>
  <si>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</si>
  <si>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</si>
  <si>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</si>
  <si>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</si>
  <si>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</si>
  <si>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</si>
  <si>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</si>
  <si>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</si>
  <si>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</si>
  <si>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</si>
  <si>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</si>
  <si>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</si>
  <si>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</si>
  <si>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</si>
  <si>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</si>
  <si>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</si>
  <si>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</si>
  <si>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</si>
  <si>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</si>
  <si>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</si>
  <si>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</si>
  <si>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</si>
  <si>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</si>
  <si>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</si>
  <si>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</si>
  <si>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</si>
  <si>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</si>
  <si>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</si>
  <si>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</si>
  <si>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</si>
  <si>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</si>
  <si>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</si>
  <si>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</si>
  <si>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</si>
  <si>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</si>
  <si>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</si>
  <si>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</si>
  <si>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</si>
  <si>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</si>
  <si>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</si>
  <si>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</si>
  <si>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</si>
  <si>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</si>
  <si>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</si>
  <si>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</si>
  <si>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</si>
  <si>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</si>
  <si>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</si>
  <si>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</si>
  <si>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</si>
  <si>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</si>
  <si>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</si>
  <si>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</si>
  <si>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</si>
  <si>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</si>
  <si>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</si>
  <si>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</si>
  <si>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</si>
  <si>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</si>
  <si>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</si>
  <si>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</si>
  <si>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</si>
  <si>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</si>
  <si>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</si>
  <si>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</si>
  <si>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</si>
  <si>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</si>
  <si>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</si>
  <si>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</si>
  <si>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</si>
  <si>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</si>
  <si>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</si>
  <si>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</si>
  <si>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</si>
  <si>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</si>
  <si>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</si>
  <si>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</si>
  <si>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</si>
  <si>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</si>
  <si>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</si>
  <si>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</si>
  <si>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</si>
  <si>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</si>
  <si>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</si>
  <si>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</si>
  <si>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</si>
  <si>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</si>
  <si>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</si>
  <si>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</si>
  <si>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</si>
  <si>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</si>
  <si>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</si>
  <si>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</si>
  <si>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</si>
  <si>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</si>
  <si>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</si>
  <si>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</si>
  <si>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</si>
  <si>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</si>
  <si>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</si>
  <si>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</si>
  <si>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</si>
  <si>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</si>
  <si>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</si>
  <si>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</si>
  <si>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</si>
  <si>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</si>
  <si>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</si>
  <si>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</si>
  <si>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</si>
  <si>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</si>
  <si>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</si>
  <si>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</si>
  <si>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</si>
  <si>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</si>
  <si>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</si>
  <si>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</si>
  <si>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</si>
  <si>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</si>
  <si>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</si>
  <si>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</si>
  <si>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</si>
  <si>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</si>
  <si>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</si>
  <si>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</si>
  <si>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</si>
  <si>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</si>
  <si>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</si>
  <si>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</si>
  <si>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</si>
  <si>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</si>
  <si>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</si>
  <si>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</si>
  <si>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</si>
  <si>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</si>
  <si>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</si>
  <si>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</si>
  <si>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</si>
  <si>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</si>
  <si>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</si>
  <si>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</si>
  <si>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</si>
  <si>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</si>
  <si>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</si>
  <si>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</si>
  <si>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</si>
  <si>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</si>
  <si>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</si>
  <si>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</si>
  <si>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</si>
  <si>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</si>
  <si>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</si>
  <si>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</si>
  <si>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</si>
  <si>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</si>
  <si>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</si>
  <si>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</si>
  <si>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</si>
  <si>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</si>
  <si>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</si>
  <si>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</si>
  <si>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</si>
  <si>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</si>
  <si>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</si>
  <si>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</si>
  <si>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</si>
  <si>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</si>
  <si>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</si>
  <si>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</si>
  <si>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</si>
  <si>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</si>
  <si>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</si>
  <si>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</si>
  <si>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</si>
  <si>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</si>
  <si>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</si>
  <si>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</si>
  <si>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</si>
  <si>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</si>
  <si>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</si>
  <si>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</si>
  <si>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</si>
  <si>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</si>
  <si>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</si>
  <si>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</si>
  <si>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</si>
  <si>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</si>
  <si>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</si>
  <si>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</si>
  <si>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</si>
  <si>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</si>
  <si>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</si>
  <si>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</si>
  <si>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</si>
  <si>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</si>
  <si>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</si>
  <si>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</si>
  <si>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</si>
  <si>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</si>
  <si>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</si>
  <si>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</si>
  <si>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</si>
  <si>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</si>
  <si>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</si>
  <si>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</si>
  <si>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</si>
  <si>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</si>
  <si>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</si>
  <si>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</si>
  <si>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</si>
  <si>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</si>
  <si>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</si>
  <si>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</si>
  <si>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</si>
  <si>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</si>
  <si>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</si>
  <si>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</si>
  <si>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</si>
  <si>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</si>
  <si>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</si>
  <si>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</si>
  <si>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</si>
  <si>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</si>
  <si>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</si>
  <si>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</si>
  <si>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</si>
  <si>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</si>
  <si>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</si>
  <si>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</si>
  <si>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</si>
  <si>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</si>
  <si>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</si>
  <si>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</si>
  <si>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</si>
  <si>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</si>
  <si>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</si>
  <si>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</si>
  <si>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</si>
  <si>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</si>
  <si>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</si>
  <si>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</si>
  <si>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</si>
  <si>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</si>
  <si>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</si>
  <si>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</si>
  <si>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</si>
  <si>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</si>
  <si>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</si>
  <si>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</si>
  <si>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</si>
  <si>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</si>
  <si>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</si>
  <si>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</si>
  <si>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</si>
  <si>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</si>
  <si>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</si>
  <si>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</si>
  <si>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</si>
  <si>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</si>
  <si>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</si>
  <si>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</si>
  <si>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</si>
  <si>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</si>
  <si>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</si>
  <si>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</si>
  <si>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</si>
  <si>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</si>
  <si>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</si>
  <si>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</si>
  <si>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</si>
  <si>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</si>
  <si>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</si>
  <si>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</si>
  <si>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</si>
  <si>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</si>
  <si>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</si>
  <si>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</si>
  <si>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</si>
  <si>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</si>
  <si>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</si>
  <si>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</si>
  <si>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</si>
  <si>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</si>
  <si>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</si>
  <si>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</si>
  <si>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</si>
  <si>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</si>
  <si>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</si>
  <si>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</si>
  <si>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</si>
  <si>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</si>
  <si>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</si>
  <si>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</si>
  <si>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</si>
  <si>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</si>
  <si>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</si>
  <si>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</si>
  <si>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</si>
  <si>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</si>
  <si>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</si>
  <si>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</si>
  <si>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</si>
  <si>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</si>
  <si>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</si>
  <si>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</si>
  <si>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</si>
  <si>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</si>
  <si>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</si>
  <si>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</si>
  <si>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</si>
  <si>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</si>
  <si>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</si>
  <si>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</si>
  <si>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</si>
  <si>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</si>
  <si>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</si>
  <si>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</si>
  <si>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</si>
  <si>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</si>
  <si>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</si>
  <si>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</si>
  <si>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</si>
  <si>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</si>
  <si>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</si>
  <si>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</si>
  <si>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</si>
  <si>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</si>
  <si>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</si>
  <si>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</si>
  <si>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</si>
  <si>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</si>
  <si>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</si>
  <si>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</si>
  <si>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</si>
  <si>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</si>
  <si>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</si>
  <si>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</si>
  <si>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</si>
  <si>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</si>
  <si>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</si>
  <si>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</si>
  <si>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</si>
  <si>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</si>
  <si>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</si>
  <si>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</si>
  <si>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</si>
  <si>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</si>
  <si>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</si>
  <si>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</si>
  <si>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</si>
  <si>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</si>
  <si>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</si>
  <si>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</si>
  <si>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</si>
  <si>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</si>
  <si>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</si>
  <si>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</si>
  <si>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</si>
  <si>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</si>
  <si>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</si>
  <si>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</si>
  <si>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</si>
  <si>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</si>
  <si>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</si>
  <si>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</si>
  <si>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</si>
  <si>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</si>
  <si>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</si>
  <si>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</si>
  <si>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</si>
  <si>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</si>
  <si>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</si>
  <si>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</si>
  <si>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</si>
  <si>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</si>
  <si>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</si>
  <si>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</si>
  <si>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</si>
  <si>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</si>
  <si>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</si>
  <si>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</si>
  <si>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</si>
  <si>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</si>
  <si>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</si>
  <si>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</si>
  <si>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</si>
  <si>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</si>
  <si>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</si>
  <si>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</si>
  <si>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</si>
  <si>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</si>
  <si>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</si>
  <si>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</si>
  <si>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</si>
  <si>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</si>
  <si>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</si>
  <si>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</si>
  <si>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</si>
  <si>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</si>
  <si>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</si>
  <si>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</si>
  <si>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</si>
  <si>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</si>
  <si>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</si>
  <si>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</si>
  <si>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</si>
  <si>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</si>
  <si>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</si>
  <si>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</si>
  <si>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</si>
  <si>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</si>
  <si>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</si>
  <si>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</si>
  <si>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</si>
  <si>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</si>
  <si>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</si>
  <si>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</si>
  <si>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</si>
  <si>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</si>
  <si>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</si>
  <si>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</si>
  <si>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</si>
  <si>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</si>
  <si>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</si>
  <si>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</si>
  <si>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</si>
  <si>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</si>
  <si>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</si>
  <si>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</si>
  <si>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</si>
  <si>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</si>
  <si>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</si>
  <si>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</si>
  <si>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</si>
  <si>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</si>
  <si>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</si>
  <si>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</si>
  <si>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</si>
  <si>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</si>
  <si>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</si>
  <si>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</si>
  <si>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</si>
  <si>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</si>
  <si>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</si>
  <si>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</si>
  <si>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</si>
  <si>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</si>
  <si>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</si>
  <si>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</si>
  <si>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</si>
  <si>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</si>
  <si>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</si>
  <si>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</si>
  <si>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</si>
  <si>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</si>
  <si>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</si>
  <si>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</si>
  <si>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</si>
  <si>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</si>
  <si>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</si>
  <si>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</si>
  <si>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</si>
  <si>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</si>
  <si>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</si>
  <si>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</si>
  <si>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</si>
  <si>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</si>
  <si>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</si>
  <si>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</si>
  <si>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</si>
  <si>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</si>
  <si>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</si>
  <si>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</si>
  <si>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</si>
  <si>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</si>
  <si>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</si>
  <si>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</si>
  <si>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</si>
  <si>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</si>
  <si>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</si>
  <si>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</si>
  <si>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</si>
  <si>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</si>
  <si>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</si>
  <si>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</si>
  <si>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</si>
  <si>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</si>
  <si>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</si>
  <si>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</si>
  <si>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</si>
  <si>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</si>
  <si>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</si>
  <si>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</si>
  <si>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</si>
  <si>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</si>
  <si>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</si>
  <si>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</si>
  <si>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</si>
  <si>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</si>
  <si>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</si>
  <si>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</si>
  <si>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</si>
  <si>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</si>
  <si>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</si>
  <si>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</si>
  <si>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</si>
  <si>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</si>
  <si>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</si>
  <si>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</si>
  <si>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</si>
  <si>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</si>
  <si>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</si>
  <si>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</si>
  <si>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</si>
  <si>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</si>
  <si>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</si>
  <si>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</si>
  <si>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</si>
  <si>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</si>
  <si>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</si>
  <si>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</si>
  <si>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</si>
  <si>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</si>
  <si>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</si>
  <si>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</si>
  <si>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</si>
  <si>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</si>
  <si>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</si>
  <si>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</si>
  <si>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</si>
  <si>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</si>
  <si>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</si>
  <si>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</si>
  <si>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</si>
  <si>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</si>
  <si>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</si>
  <si>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</si>
  <si>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</si>
  <si>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</si>
  <si>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</si>
  <si>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</si>
  <si>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</si>
  <si>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</si>
  <si>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</si>
  <si>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</si>
  <si>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</si>
  <si>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</si>
  <si>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</si>
  <si>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</si>
  <si>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</si>
  <si>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</si>
  <si>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</si>
  <si>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</si>
  <si>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</si>
  <si>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</si>
  <si>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</si>
  <si>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</si>
  <si>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</si>
  <si>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</si>
  <si>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</si>
  <si>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</si>
  <si>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</si>
  <si>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</si>
  <si>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</si>
  <si>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</si>
  <si>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</si>
  <si>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</si>
  <si>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</si>
  <si>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</si>
  <si>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</si>
  <si>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</si>
  <si>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</si>
  <si>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</si>
  <si>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</si>
  <si>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</si>
  <si>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</si>
  <si>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</si>
  <si>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</si>
  <si>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</si>
  <si>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</si>
  <si>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</si>
  <si>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</si>
  <si>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</si>
  <si>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</si>
  <si>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</si>
  <si>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</si>
  <si>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</si>
  <si>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</si>
  <si>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</si>
  <si>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</si>
  <si>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</si>
  <si>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</si>
  <si>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</si>
  <si>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</si>
  <si>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</si>
  <si>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</si>
  <si>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</si>
  <si>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</si>
  <si>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</si>
  <si>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</si>
  <si>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</si>
  <si>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</si>
  <si>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</si>
  <si>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</si>
  <si>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</si>
  <si>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</si>
  <si>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</si>
  <si>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</si>
  <si>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</si>
  <si>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</si>
  <si>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</si>
  <si>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</si>
  <si>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</si>
  <si>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</si>
  <si>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</si>
  <si>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</si>
  <si>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</si>
  <si>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</si>
  <si>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</si>
  <si>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</si>
  <si>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</si>
  <si>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</si>
  <si>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</si>
  <si>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</si>
  <si>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</si>
  <si>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</si>
  <si>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</si>
  <si>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</si>
  <si>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</si>
  <si>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</si>
  <si>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</si>
  <si>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</si>
  <si>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</si>
  <si>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</si>
  <si>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</si>
  <si>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</si>
  <si>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</si>
  <si>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</si>
  <si>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</si>
  <si>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</si>
  <si>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</si>
  <si>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</si>
  <si>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</si>
  <si>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</si>
  <si>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</si>
  <si>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</si>
  <si>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</si>
  <si>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</si>
  <si>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</si>
  <si>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</si>
  <si>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</si>
  <si>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</si>
  <si>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</si>
  <si>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</si>
  <si>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</si>
  <si>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</si>
  <si>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</si>
  <si>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</si>
  <si>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</si>
  <si>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</si>
  <si>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</si>
  <si>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</si>
  <si>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</si>
  <si>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</si>
  <si>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</si>
  <si>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</si>
  <si>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</si>
  <si>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</si>
  <si>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</si>
  <si>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</si>
  <si>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</si>
  <si>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</si>
  <si>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</si>
  <si>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</si>
  <si>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</si>
  <si>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</si>
  <si>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</si>
  <si>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</si>
  <si>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</si>
  <si>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</si>
  <si>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</si>
  <si>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</si>
  <si>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</si>
  <si>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</si>
  <si>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</si>
  <si>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</si>
  <si>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</si>
  <si>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</si>
  <si>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</si>
  <si>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</si>
  <si>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</si>
  <si>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</si>
  <si>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</si>
  <si>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</si>
  <si>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</si>
  <si>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</si>
  <si>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</si>
  <si>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</si>
  <si>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</si>
  <si>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</si>
  <si>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</si>
  <si>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</si>
  <si>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</si>
  <si>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</si>
  <si>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</si>
  <si>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</si>
  <si>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</si>
  <si>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</si>
  <si>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</si>
  <si>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</si>
  <si>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</si>
  <si>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</si>
  <si>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</si>
  <si>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</si>
  <si>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</si>
  <si>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</si>
  <si>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</si>
  <si>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</si>
  <si>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</si>
  <si>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</si>
  <si>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</si>
  <si>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</si>
  <si>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</si>
  <si>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</si>
  <si>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</si>
  <si>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</si>
  <si>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</si>
  <si>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</si>
  <si>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</si>
  <si>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</si>
  <si>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</si>
  <si>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</si>
  <si>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</si>
  <si>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</si>
  <si>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</si>
  <si>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</si>
  <si>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</si>
  <si>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</si>
  <si>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</si>
  <si>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</si>
  <si>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</si>
  <si>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</si>
  <si>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</si>
  <si>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</si>
  <si>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</si>
  <si>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</si>
  <si>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</si>
  <si>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</si>
  <si>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</si>
  <si>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</si>
  <si>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</si>
  <si>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</si>
  <si>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</si>
  <si>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</si>
  <si>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</si>
  <si>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</si>
  <si>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</si>
  <si>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</si>
  <si>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</si>
  <si>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</si>
  <si>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</si>
  <si>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</si>
  <si>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</si>
  <si>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</si>
  <si>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</si>
  <si>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</si>
  <si>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</si>
  <si>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</si>
  <si>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</si>
  <si>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</si>
  <si>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</si>
  <si>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</si>
  <si>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</si>
  <si>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</si>
  <si>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</si>
  <si>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</si>
  <si>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</si>
  <si>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</si>
  <si>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</si>
  <si>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</si>
  <si>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</si>
  <si>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</si>
  <si>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</si>
  <si>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</si>
  <si>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</si>
  <si>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</si>
  <si>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</si>
  <si>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</si>
  <si>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</si>
  <si>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</si>
  <si>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</si>
  <si>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</si>
  <si>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</si>
  <si>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</si>
  <si>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</si>
  <si>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</si>
  <si>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</si>
  <si>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</si>
  <si>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</si>
  <si>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</si>
  <si>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</si>
  <si>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</si>
  <si>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</si>
  <si>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</si>
  <si>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</si>
  <si>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</si>
  <si>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</si>
  <si>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</si>
  <si>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</si>
  <si>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</si>
  <si>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</si>
  <si>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</si>
  <si>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</si>
  <si>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</si>
  <si>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</si>
  <si>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</si>
  <si>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</si>
  <si>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</si>
  <si>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*SEE SUPPLEMENTAL SCHEDULE*</t>
  </si>
  <si>
    <t>SCHOLARSHIP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</si>
</sst>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4" fontId="0" fillId="40" borderId="0" xfId="0" applyNumberForma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1283</v>
      </c>
      <c r="B2" s="126">
        <f>INDEX('School Tables'!$AH$3:$AH$208,MATCH('DOE25'!A2,'School Tables'!$AJ$3:$AJ$208,0))</f>
        <v>371</v>
      </c>
      <c r="C2" s="126">
        <f>INDEX('School Tables'!$AI$3:$AI$208,MATCH('DOE25'!A2,'School Tables'!$AJ$3:$AJ$208,0))</f>
        <v>371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2225791.3000000003</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7151759.6400000006</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336048.02</v>
      </c>
      <c r="H12" s="18"/>
      <c r="I12" s="18">
        <v>10258148.779999999</v>
      </c>
      <c r="J12" s="67">
        <f>SUM(I442)</f>
        <v>14161.41</v>
      </c>
      <c r="K12" s="24" t="s">
        <v>288</v>
      </c>
      <c r="L12" s="24" t="s">
        <v>288</v>
      </c>
      <c r="M12" s="8"/>
      <c r="N12" s="265"/>
    </row>
    <row r="13" spans="1:14" s="3" customFormat="1" ht="12.2" customHeight="1" x14ac:dyDescent="0.15">
      <c r="A13" s="1" t="s">
        <v>604</v>
      </c>
      <c r="B13" s="2" t="s">
        <v>289</v>
      </c>
      <c r="C13" s="6">
        <v>5</v>
      </c>
      <c r="D13" s="2" t="s">
        <v>428</v>
      </c>
      <c r="E13" s="6">
        <v>140</v>
      </c>
      <c r="F13" s="18"/>
      <c r="G13" s="18">
        <v>1808169.96</v>
      </c>
      <c r="H13" s="18">
        <v>4324884.21</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0</v>
      </c>
      <c r="G19" s="41">
        <f>SUM(G9:G18)</f>
        <v>2144217.98</v>
      </c>
      <c r="H19" s="41">
        <f>SUM(H9:H18)</f>
        <v>4324884.21</v>
      </c>
      <c r="I19" s="41">
        <f>SUM(I9:I18)</f>
        <v>10258148.779999999</v>
      </c>
      <c r="J19" s="41">
        <f>SUM(J9:J18)</f>
        <v>9391712.3500000015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1112785.44</v>
      </c>
      <c r="I22" s="18"/>
      <c r="J22" s="67">
        <f>SUM(I449)</f>
        <v>177009.25</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v>155.74</v>
      </c>
      <c r="H28" s="18">
        <v>558284.77</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f>11124.25+4550</f>
        <v>15674.25</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155.74</v>
      </c>
      <c r="H32" s="41">
        <f>SUM(H22:H31)</f>
        <v>1686744.46</v>
      </c>
      <c r="I32" s="41">
        <f>SUM(I22:I31)</f>
        <v>0</v>
      </c>
      <c r="J32" s="41">
        <f>SUM(J22:J31)</f>
        <v>177009.25</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6686618.7800000003</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432670.81999999995</v>
      </c>
      <c r="K39" s="24" t="s">
        <v>288</v>
      </c>
      <c r="L39" s="24" t="s">
        <v>288</v>
      </c>
      <c r="M39" s="8"/>
      <c r="N39" s="265"/>
    </row>
    <row r="40" spans="1:14" s="3" customFormat="1" ht="12.2" customHeight="1" x14ac:dyDescent="0.15">
      <c r="A40" s="1" t="s">
        <v>860</v>
      </c>
      <c r="B40" s="6">
        <v>1</v>
      </c>
      <c r="C40" s="6">
        <v>27</v>
      </c>
      <c r="D40" s="2"/>
      <c r="E40" s="6"/>
      <c r="F40" s="24" t="s">
        <v>288</v>
      </c>
      <c r="G40" s="18">
        <v>2137217.2400000002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v>-2709935.82</v>
      </c>
      <c r="I48" s="18">
        <v>-38820827.390000001</v>
      </c>
      <c r="J48" s="13">
        <f>SUM(I460)</f>
        <v>2073767.06</v>
      </c>
      <c r="K48" s="24" t="s">
        <v>288</v>
      </c>
      <c r="L48" s="24" t="s">
        <v>288</v>
      </c>
      <c r="M48" s="8"/>
      <c r="N48" s="265"/>
    </row>
    <row r="49" spans="1:14" s="3" customFormat="1" ht="12.2" customHeight="1" x14ac:dyDescent="0.15">
      <c r="A49" s="1" t="s">
        <v>859</v>
      </c>
      <c r="B49" s="2" t="s">
        <v>289</v>
      </c>
      <c r="C49" s="6">
        <v>34</v>
      </c>
      <c r="D49" s="2"/>
      <c r="E49" s="6">
        <v>753</v>
      </c>
      <c r="F49" s="18"/>
      <c r="G49" s="18">
        <v>6845</v>
      </c>
      <c r="H49" s="18">
        <v>5348075.57</v>
      </c>
      <c r="I49" s="18">
        <v>49078976.170000002</v>
      </c>
      <c r="J49" s="13">
        <f>I455</f>
        <v>21646.440000000002</v>
      </c>
      <c r="K49" s="24"/>
      <c r="L49" s="24"/>
      <c r="M49" s="8"/>
      <c r="N49" s="265"/>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0</v>
      </c>
      <c r="G51" s="41">
        <f>SUM(G35:G50)</f>
        <v>2144062.2400000002</v>
      </c>
      <c r="H51" s="41">
        <f>SUM(H35:H50)</f>
        <v>2638139.7500000005</v>
      </c>
      <c r="I51" s="41">
        <f>SUM(I35:I50)</f>
        <v>10258148.780000001</v>
      </c>
      <c r="J51" s="41">
        <f>SUM(J35:J50)</f>
        <v>9214703.0999999996</v>
      </c>
      <c r="K51" s="45" t="s">
        <v>288</v>
      </c>
      <c r="L51" s="45" t="s">
        <v>288</v>
      </c>
      <c r="N51" s="263"/>
    </row>
    <row r="52" spans="1:14" s="3" customFormat="1" ht="12.2" customHeight="1" thickTop="1" x14ac:dyDescent="0.15">
      <c r="A52" s="38" t="s">
        <v>455</v>
      </c>
      <c r="B52" s="39" t="s">
        <v>289</v>
      </c>
      <c r="C52" s="6">
        <v>37</v>
      </c>
      <c r="D52" s="39" t="s">
        <v>653</v>
      </c>
      <c r="E52" s="39"/>
      <c r="F52" s="41">
        <f>F51+F32</f>
        <v>0</v>
      </c>
      <c r="G52" s="41">
        <f>G51+G32</f>
        <v>2144217.9800000004</v>
      </c>
      <c r="H52" s="41">
        <f>H51+H32</f>
        <v>4324884.2100000009</v>
      </c>
      <c r="I52" s="41">
        <f>I51+I32</f>
        <v>10258148.780000001</v>
      </c>
      <c r="J52" s="41">
        <f>J51+J32</f>
        <v>9391712.3499999996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125955463.57-20968772.15</f>
        <v>104986691.41999999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104986691.41999999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v>173196</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v>24685</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v>105240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v>28434.5</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v>403279.04</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v>82070.53</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816905.07000000007</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-826715.73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174356.05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f>45876+46492.75+164106.97+20142.81</f>
        <v>276618.53000000003</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v>103189.5</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v>180923.82</v>
      </c>
      <c r="H102" s="18"/>
      <c r="I102" s="18"/>
      <c r="J102" s="18">
        <v>374888.86</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355279.87</v>
      </c>
      <c r="H111" s="41">
        <f>SUM(H96:H110)</f>
        <v>379808.03</v>
      </c>
      <c r="I111" s="41">
        <f>SUM(I96:I110)</f>
        <v>0</v>
      </c>
      <c r="J111" s="41">
        <f>SUM(J96:J110)</f>
        <v>-451826.87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104986691.41999999</v>
      </c>
      <c r="G112" s="41">
        <f>G60+G111</f>
        <v>355279.87</v>
      </c>
      <c r="H112" s="41">
        <f>H60+H79+H94+H111</f>
        <v>1196713.1000000001</v>
      </c>
      <c r="I112" s="41">
        <f>I60+I111</f>
        <v>0</v>
      </c>
      <c r="J112" s="41">
        <f>J60+J111</f>
        <v>-451826.87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40376066.609999999</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f>61362588.61-F117</f>
        <v>20986522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59001.55</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61421590.159999996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1255189.99</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1783500.72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190044.73</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2907.5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v>141071.43</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388408.95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v>22725</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3231642.94</v>
      </c>
      <c r="G136" s="41">
        <f>SUM(G123:G135)</f>
        <v>388408.95</v>
      </c>
      <c r="H136" s="41">
        <f>SUM(H123:H135)</f>
        <v>163796.43</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64653233.099999994</v>
      </c>
      <c r="G140" s="41">
        <f>G121+SUM(G136:G137)</f>
        <v>388408.95</v>
      </c>
      <c r="H140" s="41">
        <f>H121+SUM(H136:H139)</f>
        <v>163796.43</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3715096.07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2068577.58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372690.55</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6294644.8200000003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3717674.79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953412.09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62949.58+41042.8</f>
        <v>103992.38</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5164763.58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953412.09</v>
      </c>
      <c r="G163" s="41">
        <f>SUM(G150:G162)</f>
        <v>6294644.8200000003</v>
      </c>
      <c r="H163" s="41">
        <f>SUM(H150:H162)</f>
        <v>15142794.950000001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953412.09</v>
      </c>
      <c r="G170" s="41">
        <f>G147+G163+SUM(G164:G169)</f>
        <v>6294644.8200000003</v>
      </c>
      <c r="H170" s="41">
        <f>H147+H163+SUM(H164:H169)</f>
        <v>15142794.950000001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45000000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45000000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100000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100000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100000</v>
      </c>
      <c r="G193" s="41">
        <f>G184+SUM(G189:G192)</f>
        <v>0</v>
      </c>
      <c r="H193" s="41">
        <f>+H184+SUM(H189:H192)</f>
        <v>0</v>
      </c>
      <c r="I193" s="41">
        <f>I178+I184+SUM(I189:I192)</f>
        <v>45000000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170693336.60999998</v>
      </c>
      <c r="G194" s="47">
        <f>G112+G140+G170+G193</f>
        <v>7038333.6400000006</v>
      </c>
      <c r="H194" s="47">
        <f>H112+H140+H170+H193</f>
        <v>16503304.48</v>
      </c>
      <c r="I194" s="47">
        <f>I112+I140+I170+I193</f>
        <v>45000000</v>
      </c>
      <c r="J194" s="47">
        <f>J112+J140+J193</f>
        <v>-451826.87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19757056.91928</v>
      </c>
      <c r="G198" s="18">
        <v>10285212.149359997</v>
      </c>
      <c r="H198" s="18">
        <v>230362.51812000002</v>
      </c>
      <c r="I198" s="18">
        <v>237620.8</v>
      </c>
      <c r="J198" s="18">
        <v>59112.969999999994</v>
      </c>
      <c r="K198" s="18">
        <v>0</v>
      </c>
      <c r="L198" s="19">
        <f>SUM(F198:K198)</f>
        <v>30569365.356759995</v>
      </c>
      <c r="M198" s="8"/>
      <c r="N198" s="265"/>
    </row>
    <row r="199" spans="1:14" s="3" customFormat="1" ht="12.2" customHeight="1" x14ac:dyDescent="0.15">
      <c r="A199" s="1" t="s">
        <v>439</v>
      </c>
      <c r="B199" s="2" t="s">
        <v>341</v>
      </c>
      <c r="C199" s="2" t="s">
        <v>291</v>
      </c>
      <c r="D199" s="2" t="s">
        <v>431</v>
      </c>
      <c r="E199" s="6">
        <v>1200</v>
      </c>
      <c r="F199" s="18">
        <v>9877659.9808577988</v>
      </c>
      <c r="G199" s="18">
        <v>3788358.8295500996</v>
      </c>
      <c r="H199" s="18">
        <v>2565471.1814827998</v>
      </c>
      <c r="I199" s="18">
        <v>45845.565916500011</v>
      </c>
      <c r="J199" s="18">
        <v>13724.109145999999</v>
      </c>
      <c r="K199" s="18">
        <v>0</v>
      </c>
      <c r="L199" s="19">
        <f>SUM(F199:K199)</f>
        <v>16291059.666953199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127003.70916000001</v>
      </c>
      <c r="G201" s="18">
        <v>26693.5242</v>
      </c>
      <c r="H201" s="18">
        <v>357.41999999999996</v>
      </c>
      <c r="I201" s="18">
        <v>19479.07476</v>
      </c>
      <c r="J201" s="18">
        <v>0</v>
      </c>
      <c r="K201" s="18">
        <v>0</v>
      </c>
      <c r="L201" s="19">
        <f>SUM(F201:K201)</f>
        <v>173533.72812000001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3642587.7614799999</v>
      </c>
      <c r="G203" s="18">
        <v>1926297.8664000002</v>
      </c>
      <c r="H203" s="18">
        <v>677269.4792399999</v>
      </c>
      <c r="I203" s="18">
        <v>20835.058160000004</v>
      </c>
      <c r="J203" s="18">
        <v>3806.4031199999999</v>
      </c>
      <c r="K203" s="18">
        <v>0</v>
      </c>
      <c r="L203" s="19">
        <f t="shared" ref="L203:L209" si="0">SUM(F203:K203)</f>
        <v>6270796.5683999993</v>
      </c>
      <c r="M203" s="8"/>
      <c r="N203" s="265"/>
    </row>
    <row r="204" spans="1:14" s="3" customFormat="1" ht="12.2" customHeight="1" x14ac:dyDescent="0.15">
      <c r="A204" s="1" t="s">
        <v>443</v>
      </c>
      <c r="B204" s="2" t="s">
        <v>341</v>
      </c>
      <c r="C204" s="2" t="s">
        <v>295</v>
      </c>
      <c r="D204" s="2" t="s">
        <v>431</v>
      </c>
      <c r="E204" s="6">
        <v>2200</v>
      </c>
      <c r="F204" s="18">
        <v>1462341.4430799999</v>
      </c>
      <c r="G204" s="18">
        <v>731328.64679999999</v>
      </c>
      <c r="H204" s="18">
        <v>101385.43308000003</v>
      </c>
      <c r="I204" s="18">
        <v>314989.7942</v>
      </c>
      <c r="J204" s="18">
        <v>610155.31391999987</v>
      </c>
      <c r="K204" s="18">
        <v>0</v>
      </c>
      <c r="L204" s="19">
        <f t="shared" si="0"/>
        <v>3220200.6310799997</v>
      </c>
      <c r="M204" s="8"/>
      <c r="N204" s="265"/>
    </row>
    <row r="205" spans="1:14" s="3" customFormat="1" ht="12.2" customHeight="1" x14ac:dyDescent="0.15">
      <c r="A205" s="1" t="s">
        <v>444</v>
      </c>
      <c r="B205" s="2" t="s">
        <v>341</v>
      </c>
      <c r="C205" s="2" t="s">
        <v>296</v>
      </c>
      <c r="D205" s="2" t="s">
        <v>431</v>
      </c>
      <c r="E205" s="6">
        <v>2300</v>
      </c>
      <c r="F205" s="18">
        <v>934735.40891999973</v>
      </c>
      <c r="G205" s="18">
        <v>383086.8763200001</v>
      </c>
      <c r="H205" s="18">
        <v>353101.7581199999</v>
      </c>
      <c r="I205" s="18">
        <v>10475.02116</v>
      </c>
      <c r="J205" s="18">
        <v>6159.6430799999998</v>
      </c>
      <c r="K205" s="18">
        <v>248891.87231999999</v>
      </c>
      <c r="L205" s="19">
        <f t="shared" si="0"/>
        <v>1936450.5799199999</v>
      </c>
      <c r="M205" s="8"/>
      <c r="N205" s="265"/>
    </row>
    <row r="206" spans="1:14" s="3" customFormat="1" ht="12.2" customHeight="1" x14ac:dyDescent="0.15">
      <c r="A206" s="1" t="s">
        <v>445</v>
      </c>
      <c r="B206" s="2" t="s">
        <v>341</v>
      </c>
      <c r="C206" s="2" t="s">
        <v>297</v>
      </c>
      <c r="D206" s="2" t="s">
        <v>431</v>
      </c>
      <c r="E206" s="6">
        <v>2400</v>
      </c>
      <c r="F206" s="18">
        <v>2939991.9680800005</v>
      </c>
      <c r="G206" s="18">
        <v>1640809.66616</v>
      </c>
      <c r="H206" s="18">
        <v>9027.27</v>
      </c>
      <c r="I206" s="18">
        <v>18296.509999999998</v>
      </c>
      <c r="J206" s="18">
        <v>1475</v>
      </c>
      <c r="K206" s="18">
        <v>0</v>
      </c>
      <c r="L206" s="19">
        <f t="shared" si="0"/>
        <v>4609600.4142399998</v>
      </c>
      <c r="M206" s="8"/>
      <c r="N206" s="265"/>
    </row>
    <row r="207" spans="1:14" s="3" customFormat="1" ht="12.2" customHeight="1" x14ac:dyDescent="0.15">
      <c r="A207" s="1" t="s">
        <v>446</v>
      </c>
      <c r="B207" s="2" t="s">
        <v>341</v>
      </c>
      <c r="C207" s="2" t="s">
        <v>298</v>
      </c>
      <c r="D207" s="2" t="s">
        <v>431</v>
      </c>
      <c r="E207" s="6">
        <v>2500</v>
      </c>
      <c r="F207" s="18">
        <v>789217.49028000003</v>
      </c>
      <c r="G207" s="18">
        <v>123096.80664000004</v>
      </c>
      <c r="H207" s="18">
        <v>9814.619999999999</v>
      </c>
      <c r="I207" s="18">
        <v>0</v>
      </c>
      <c r="J207" s="18">
        <v>0</v>
      </c>
      <c r="K207" s="18">
        <v>-163444.97807999997</v>
      </c>
      <c r="L207" s="19">
        <f t="shared" si="0"/>
        <v>758683.93884000019</v>
      </c>
      <c r="M207" s="8"/>
      <c r="N207" s="265"/>
    </row>
    <row r="208" spans="1:14" s="3" customFormat="1" ht="12.2" customHeight="1" x14ac:dyDescent="0.15">
      <c r="A208" s="1" t="s">
        <v>447</v>
      </c>
      <c r="B208" s="2" t="s">
        <v>341</v>
      </c>
      <c r="C208" s="2" t="s">
        <v>299</v>
      </c>
      <c r="D208" s="2" t="s">
        <v>431</v>
      </c>
      <c r="E208" s="6">
        <v>2600</v>
      </c>
      <c r="F208" s="18">
        <v>2431086.3365599997</v>
      </c>
      <c r="G208" s="18">
        <v>1319064.18184</v>
      </c>
      <c r="H208" s="18">
        <v>2616331.3652400002</v>
      </c>
      <c r="I208" s="18">
        <v>339602.78620000003</v>
      </c>
      <c r="J208" s="18">
        <v>37575.058440000001</v>
      </c>
      <c r="K208" s="18">
        <v>-44400</v>
      </c>
      <c r="L208" s="19">
        <f t="shared" si="0"/>
        <v>6699259.7282799995</v>
      </c>
      <c r="M208" s="8"/>
      <c r="N208" s="265"/>
    </row>
    <row r="209" spans="1:14" s="3" customFormat="1" ht="12.2" customHeight="1" x14ac:dyDescent="0.15">
      <c r="A209" s="1" t="s">
        <v>448</v>
      </c>
      <c r="B209" s="2" t="s">
        <v>341</v>
      </c>
      <c r="C209" s="2" t="s">
        <v>300</v>
      </c>
      <c r="D209" s="2" t="s">
        <v>431</v>
      </c>
      <c r="E209" s="6">
        <v>2700</v>
      </c>
      <c r="F209" s="18">
        <v>39785.148359999999</v>
      </c>
      <c r="G209" s="18">
        <v>21053.312280000002</v>
      </c>
      <c r="H209" s="18">
        <v>3508471.7273999997</v>
      </c>
      <c r="I209" s="18">
        <v>0</v>
      </c>
      <c r="J209" s="18">
        <v>0</v>
      </c>
      <c r="K209" s="18">
        <v>0</v>
      </c>
      <c r="L209" s="19">
        <f t="shared" si="0"/>
        <v>3569310.1880399999</v>
      </c>
      <c r="M209" s="8"/>
      <c r="N209" s="265"/>
    </row>
    <row r="210" spans="1:14" s="3" customFormat="1" ht="12.2" customHeight="1" x14ac:dyDescent="0.15">
      <c r="A210" s="1" t="s">
        <v>449</v>
      </c>
      <c r="B210" s="2" t="s">
        <v>341</v>
      </c>
      <c r="C210" s="2" t="s">
        <v>343</v>
      </c>
      <c r="D210" s="2" t="s">
        <v>431</v>
      </c>
      <c r="E210" s="6">
        <v>2800</v>
      </c>
      <c r="F210" s="18">
        <v>130402.40484000002</v>
      </c>
      <c r="G210" s="18">
        <v>44547.687720000002</v>
      </c>
      <c r="H210" s="18">
        <v>102877.86360000001</v>
      </c>
      <c r="I210" s="18">
        <v>0</v>
      </c>
      <c r="J210" s="18">
        <v>0</v>
      </c>
      <c r="K210" s="18">
        <v>0</v>
      </c>
      <c r="L210" s="19">
        <f>SUM(F210:K210)</f>
        <v>277827.95616000006</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42131868.570897795</v>
      </c>
      <c r="G212" s="41">
        <f t="shared" si="1"/>
        <v>20289549.547270093</v>
      </c>
      <c r="H212" s="41">
        <f t="shared" si="1"/>
        <v>10174470.6362828</v>
      </c>
      <c r="I212" s="41">
        <f t="shared" si="1"/>
        <v>1007144.6103965</v>
      </c>
      <c r="J212" s="41">
        <f t="shared" si="1"/>
        <v>732008.49770599988</v>
      </c>
      <c r="K212" s="41">
        <f t="shared" si="1"/>
        <v>41046.894240000023</v>
      </c>
      <c r="L212" s="41">
        <f t="shared" si="1"/>
        <v>74376088.756793201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9986095.0175599996</v>
      </c>
      <c r="G216" s="18">
        <v>5344801.7092199996</v>
      </c>
      <c r="H216" s="18">
        <v>118320.52349000002</v>
      </c>
      <c r="I216" s="18">
        <v>123873.96999999999</v>
      </c>
      <c r="J216" s="18">
        <v>68757.919999999998</v>
      </c>
      <c r="K216" s="18">
        <v>0</v>
      </c>
      <c r="L216" s="19">
        <f>SUM(F216:K216)</f>
        <v>15641849.14027</v>
      </c>
      <c r="M216" s="8"/>
      <c r="N216" s="265"/>
    </row>
    <row r="217" spans="1:14" s="3" customFormat="1" ht="12.2" customHeight="1" x14ac:dyDescent="0.15">
      <c r="A217" s="1" t="s">
        <v>439</v>
      </c>
      <c r="B217" s="2" t="s">
        <v>346</v>
      </c>
      <c r="C217" s="2" t="s">
        <v>291</v>
      </c>
      <c r="D217" s="2" t="s">
        <v>431</v>
      </c>
      <c r="E217" s="6">
        <v>1200</v>
      </c>
      <c r="F217" s="18">
        <v>3462845.4161345996</v>
      </c>
      <c r="G217" s="18">
        <v>1455936.4489356999</v>
      </c>
      <c r="H217" s="18">
        <v>1218397.4167595999</v>
      </c>
      <c r="I217" s="18">
        <v>19125.602940500004</v>
      </c>
      <c r="J217" s="18">
        <v>534.208122</v>
      </c>
      <c r="K217" s="18">
        <v>0</v>
      </c>
      <c r="L217" s="19">
        <f>SUM(F217:K217)</f>
        <v>6156839.0928923991</v>
      </c>
      <c r="M217" s="8"/>
      <c r="N217" s="265"/>
    </row>
    <row r="218" spans="1:14" s="3" customFormat="1" ht="12.2" customHeight="1" x14ac:dyDescent="0.15">
      <c r="A218" s="1" t="s">
        <v>440</v>
      </c>
      <c r="B218" s="2" t="s">
        <v>346</v>
      </c>
      <c r="C218" s="2" t="s">
        <v>292</v>
      </c>
      <c r="D218" s="2" t="s">
        <v>431</v>
      </c>
      <c r="E218" s="6">
        <v>1300</v>
      </c>
      <c r="F218" s="18">
        <v>814001.25</v>
      </c>
      <c r="G218" s="18">
        <v>392124.62</v>
      </c>
      <c r="H218" s="18">
        <v>572</v>
      </c>
      <c r="I218" s="18">
        <v>28383.340000000004</v>
      </c>
      <c r="J218" s="18">
        <v>2193</v>
      </c>
      <c r="K218" s="18">
        <v>0</v>
      </c>
      <c r="L218" s="19">
        <f>SUM(F218:K218)</f>
        <v>1237274.2100000002</v>
      </c>
      <c r="M218" s="8"/>
      <c r="N218" s="265"/>
    </row>
    <row r="219" spans="1:14" s="3" customFormat="1" ht="12.2" customHeight="1" x14ac:dyDescent="0.15">
      <c r="A219" s="1" t="s">
        <v>441</v>
      </c>
      <c r="B219" s="2" t="s">
        <v>346</v>
      </c>
      <c r="C219" s="2" t="s">
        <v>293</v>
      </c>
      <c r="D219" s="2" t="s">
        <v>431</v>
      </c>
      <c r="E219" s="6">
        <v>1400</v>
      </c>
      <c r="F219" s="18">
        <v>138153.97507000001</v>
      </c>
      <c r="G219" s="18">
        <v>13892.917149999999</v>
      </c>
      <c r="H219" s="18">
        <v>45396.514999999999</v>
      </c>
      <c r="I219" s="18">
        <v>9344.6912699999993</v>
      </c>
      <c r="J219" s="18">
        <v>6000</v>
      </c>
      <c r="K219" s="18">
        <v>0</v>
      </c>
      <c r="L219" s="19">
        <f>SUM(F219:K219)</f>
        <v>212788.09849</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2191398.4357099999</v>
      </c>
      <c r="G221" s="18">
        <v>1175673.0728</v>
      </c>
      <c r="H221" s="18">
        <v>325066.30422999995</v>
      </c>
      <c r="I221" s="18">
        <v>7236.4093199999998</v>
      </c>
      <c r="J221" s="18">
        <v>1826.0447399999998</v>
      </c>
      <c r="K221" s="18">
        <v>0</v>
      </c>
      <c r="L221" s="19">
        <f t="shared" ref="L221:L227" si="2">SUM(F221:K221)</f>
        <v>3701200.2667999999</v>
      </c>
      <c r="M221" s="8"/>
      <c r="N221" s="265"/>
    </row>
    <row r="222" spans="1:14" s="3" customFormat="1" ht="12.2" customHeight="1" x14ac:dyDescent="0.15">
      <c r="A222" s="1" t="s">
        <v>443</v>
      </c>
      <c r="B222" s="2" t="s">
        <v>346</v>
      </c>
      <c r="C222" s="2" t="s">
        <v>295</v>
      </c>
      <c r="D222" s="2" t="s">
        <v>431</v>
      </c>
      <c r="E222" s="6">
        <v>2200</v>
      </c>
      <c r="F222" s="18">
        <v>445654.11391000001</v>
      </c>
      <c r="G222" s="18">
        <v>226548.71859999999</v>
      </c>
      <c r="H222" s="18">
        <v>48637.606410000008</v>
      </c>
      <c r="I222" s="18">
        <v>150396.88465000002</v>
      </c>
      <c r="J222" s="18">
        <v>292709.64383999992</v>
      </c>
      <c r="K222" s="18">
        <v>0</v>
      </c>
      <c r="L222" s="19">
        <f t="shared" si="2"/>
        <v>1163946.96741</v>
      </c>
      <c r="M222" s="8"/>
      <c r="N222" s="265"/>
    </row>
    <row r="223" spans="1:14" s="3" customFormat="1" ht="12.2" customHeight="1" x14ac:dyDescent="0.15">
      <c r="A223" s="1" t="s">
        <v>444</v>
      </c>
      <c r="B223" s="2" t="s">
        <v>346</v>
      </c>
      <c r="C223" s="2" t="s">
        <v>296</v>
      </c>
      <c r="D223" s="2" t="s">
        <v>431</v>
      </c>
      <c r="E223" s="6">
        <v>2300</v>
      </c>
      <c r="F223" s="18">
        <v>448420.36508999998</v>
      </c>
      <c r="G223" s="18">
        <v>183778.16364000004</v>
      </c>
      <c r="H223" s="18">
        <v>169393.41098999997</v>
      </c>
      <c r="I223" s="18">
        <v>5025.1790700000001</v>
      </c>
      <c r="J223" s="18">
        <v>2954.9639099999995</v>
      </c>
      <c r="K223" s="18">
        <v>119400.83064</v>
      </c>
      <c r="L223" s="19">
        <f t="shared" si="2"/>
        <v>928972.91333999997</v>
      </c>
      <c r="M223" s="8"/>
      <c r="N223" s="265"/>
    </row>
    <row r="224" spans="1:14" s="3" customFormat="1" ht="12.2" customHeight="1" x14ac:dyDescent="0.15">
      <c r="A224" s="1" t="s">
        <v>445</v>
      </c>
      <c r="B224" s="2" t="s">
        <v>346</v>
      </c>
      <c r="C224" s="2" t="s">
        <v>297</v>
      </c>
      <c r="D224" s="2" t="s">
        <v>431</v>
      </c>
      <c r="E224" s="6">
        <v>2400</v>
      </c>
      <c r="F224" s="18">
        <v>994703.77516000008</v>
      </c>
      <c r="G224" s="18">
        <v>413609.26532000001</v>
      </c>
      <c r="H224" s="18">
        <v>1236.68</v>
      </c>
      <c r="I224" s="18">
        <v>318.95999999999998</v>
      </c>
      <c r="J224" s="18">
        <v>0</v>
      </c>
      <c r="K224" s="18">
        <v>0</v>
      </c>
      <c r="L224" s="19">
        <f t="shared" si="2"/>
        <v>1409868.6804799999</v>
      </c>
      <c r="M224" s="8"/>
      <c r="N224" s="265"/>
    </row>
    <row r="225" spans="1:14" s="3" customFormat="1" ht="12.2" customHeight="1" x14ac:dyDescent="0.15">
      <c r="A225" s="1" t="s">
        <v>446</v>
      </c>
      <c r="B225" s="2" t="s">
        <v>346</v>
      </c>
      <c r="C225" s="2" t="s">
        <v>298</v>
      </c>
      <c r="D225" s="2" t="s">
        <v>431</v>
      </c>
      <c r="E225" s="6">
        <v>2500</v>
      </c>
      <c r="F225" s="18">
        <v>378611.09331000003</v>
      </c>
      <c r="G225" s="18">
        <v>59053.197780000017</v>
      </c>
      <c r="H225" s="18">
        <v>4708.3649999999998</v>
      </c>
      <c r="I225" s="18">
        <v>0</v>
      </c>
      <c r="J225" s="18">
        <v>0</v>
      </c>
      <c r="K225" s="18">
        <v>-78409.415160000004</v>
      </c>
      <c r="L225" s="19">
        <f t="shared" si="2"/>
        <v>363963.24093000009</v>
      </c>
      <c r="M225" s="8"/>
      <c r="N225" s="265"/>
    </row>
    <row r="226" spans="1:14" s="3" customFormat="1" ht="12.2" customHeight="1" x14ac:dyDescent="0.15">
      <c r="A226" s="1" t="s">
        <v>447</v>
      </c>
      <c r="B226" s="2" t="s">
        <v>346</v>
      </c>
      <c r="C226" s="2" t="s">
        <v>299</v>
      </c>
      <c r="D226" s="2" t="s">
        <v>431</v>
      </c>
      <c r="E226" s="6">
        <v>2600</v>
      </c>
      <c r="F226" s="18">
        <v>1205429.45612</v>
      </c>
      <c r="G226" s="18">
        <v>627053.64067999995</v>
      </c>
      <c r="H226" s="18">
        <v>1255131.9387300001</v>
      </c>
      <c r="I226" s="18">
        <v>162888.77864999999</v>
      </c>
      <c r="J226" s="18">
        <v>18025.872630000002</v>
      </c>
      <c r="K226" s="18">
        <v>-21300</v>
      </c>
      <c r="L226" s="19">
        <f t="shared" si="2"/>
        <v>3247229.6868099999</v>
      </c>
      <c r="M226" s="8"/>
      <c r="N226" s="265"/>
    </row>
    <row r="227" spans="1:14" s="3" customFormat="1" ht="12.2" customHeight="1" x14ac:dyDescent="0.15">
      <c r="A227" s="1" t="s">
        <v>448</v>
      </c>
      <c r="B227" s="2" t="s">
        <v>346</v>
      </c>
      <c r="C227" s="2" t="s">
        <v>300</v>
      </c>
      <c r="D227" s="2" t="s">
        <v>431</v>
      </c>
      <c r="E227" s="6">
        <v>2700</v>
      </c>
      <c r="F227" s="18">
        <v>19086.118470000001</v>
      </c>
      <c r="G227" s="18">
        <v>10099.899810000001</v>
      </c>
      <c r="H227" s="18">
        <v>1683118.19355</v>
      </c>
      <c r="I227" s="18">
        <v>0</v>
      </c>
      <c r="J227" s="18">
        <v>0</v>
      </c>
      <c r="K227" s="18">
        <v>0</v>
      </c>
      <c r="L227" s="19">
        <f t="shared" si="2"/>
        <v>1712304.2118299999</v>
      </c>
      <c r="M227" s="8"/>
      <c r="N227" s="265"/>
    </row>
    <row r="228" spans="1:14" s="3" customFormat="1" ht="12.2" customHeight="1" x14ac:dyDescent="0.15">
      <c r="A228" s="1" t="s">
        <v>449</v>
      </c>
      <c r="B228" s="2" t="s">
        <v>346</v>
      </c>
      <c r="C228" s="2" t="s">
        <v>343</v>
      </c>
      <c r="D228" s="2" t="s">
        <v>431</v>
      </c>
      <c r="E228" s="6">
        <v>2800</v>
      </c>
      <c r="F228" s="18">
        <v>62557.910429999996</v>
      </c>
      <c r="G228" s="18">
        <v>21370.850189999997</v>
      </c>
      <c r="H228" s="18">
        <v>49353.5697</v>
      </c>
      <c r="I228" s="18">
        <v>0</v>
      </c>
      <c r="J228" s="18">
        <v>0</v>
      </c>
      <c r="K228" s="18">
        <v>0</v>
      </c>
      <c r="L228" s="19">
        <f>SUM(F228:K228)</f>
        <v>133282.33031999998</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20146956.926964596</v>
      </c>
      <c r="G230" s="41">
        <f>SUM(G216:G229)</f>
        <v>9923942.5041256994</v>
      </c>
      <c r="H230" s="41">
        <f>SUM(H216:H229)</f>
        <v>4919332.5238595996</v>
      </c>
      <c r="I230" s="41">
        <f>SUM(I216:I229)</f>
        <v>506593.81590050005</v>
      </c>
      <c r="J230" s="41">
        <f>SUM(J216:J229)</f>
        <v>393001.65324199991</v>
      </c>
      <c r="K230" s="41">
        <f t="shared" si="3"/>
        <v>19691.415479999996</v>
      </c>
      <c r="L230" s="41">
        <f t="shared" si="3"/>
        <v>35909518.8395724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12203380.723159999</v>
      </c>
      <c r="G234" s="18">
        <v>6584095.86142</v>
      </c>
      <c r="H234" s="18">
        <v>336067.80839000002</v>
      </c>
      <c r="I234" s="18">
        <v>191367.66999999998</v>
      </c>
      <c r="J234" s="18">
        <v>112895.45000000001</v>
      </c>
      <c r="K234" s="18">
        <v>0</v>
      </c>
      <c r="L234" s="19">
        <f>SUM(F234:K234)</f>
        <v>19427807.512969997</v>
      </c>
      <c r="M234" s="8"/>
      <c r="N234" s="265"/>
    </row>
    <row r="235" spans="1:14" s="3" customFormat="1" ht="12.2" customHeight="1" x14ac:dyDescent="0.15">
      <c r="A235" s="1" t="s">
        <v>439</v>
      </c>
      <c r="B235" s="2" t="s">
        <v>350</v>
      </c>
      <c r="C235" s="2" t="s">
        <v>291</v>
      </c>
      <c r="D235" s="2" t="s">
        <v>431</v>
      </c>
      <c r="E235" s="6">
        <v>1200</v>
      </c>
      <c r="F235" s="18">
        <v>3237335.6430075997</v>
      </c>
      <c r="G235" s="18">
        <v>1533284.9615142001</v>
      </c>
      <c r="H235" s="18">
        <v>1524416.7217575999</v>
      </c>
      <c r="I235" s="18">
        <v>19056.181143000002</v>
      </c>
      <c r="J235" s="18">
        <v>668.38273200000003</v>
      </c>
      <c r="K235" s="18">
        <v>0</v>
      </c>
      <c r="L235" s="19">
        <f>SUM(F235:K235)</f>
        <v>6314761.8901543999</v>
      </c>
      <c r="M235" s="8"/>
      <c r="N235" s="265"/>
    </row>
    <row r="236" spans="1:14" s="3" customFormat="1" ht="12.2" customHeight="1" x14ac:dyDescent="0.15">
      <c r="A236" s="1" t="s">
        <v>440</v>
      </c>
      <c r="B236" s="2" t="s">
        <v>350</v>
      </c>
      <c r="C236" s="2" t="s">
        <v>292</v>
      </c>
      <c r="D236" s="2" t="s">
        <v>431</v>
      </c>
      <c r="E236" s="6">
        <v>1300</v>
      </c>
      <c r="F236" s="18">
        <v>2852614.08</v>
      </c>
      <c r="G236" s="18">
        <v>1501866.35</v>
      </c>
      <c r="H236" s="18">
        <v>41815.82</v>
      </c>
      <c r="I236" s="18">
        <v>150000.35</v>
      </c>
      <c r="J236" s="18">
        <v>22278.870000000003</v>
      </c>
      <c r="K236" s="18">
        <v>0</v>
      </c>
      <c r="L236" s="19">
        <f>SUM(F236:K236)</f>
        <v>4568575.47</v>
      </c>
      <c r="M236" s="8"/>
      <c r="N236" s="265"/>
    </row>
    <row r="237" spans="1:14" s="3" customFormat="1" ht="12.2" customHeight="1" x14ac:dyDescent="0.15">
      <c r="A237" s="1" t="s">
        <v>441</v>
      </c>
      <c r="B237" s="2" t="s">
        <v>350</v>
      </c>
      <c r="C237" s="2" t="s">
        <v>293</v>
      </c>
      <c r="D237" s="2" t="s">
        <v>431</v>
      </c>
      <c r="E237" s="6">
        <v>1400</v>
      </c>
      <c r="F237" s="18">
        <v>506670.16576999996</v>
      </c>
      <c r="G237" s="18">
        <v>37584.948649999991</v>
      </c>
      <c r="H237" s="18">
        <v>388021.9150000001</v>
      </c>
      <c r="I237" s="18">
        <v>25391.383969999999</v>
      </c>
      <c r="J237" s="18">
        <v>132055.33000000002</v>
      </c>
      <c r="K237" s="18">
        <v>-169141.2</v>
      </c>
      <c r="L237" s="19">
        <f>SUM(F237:K237)</f>
        <v>920582.54339000001</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3845154.9528099997</v>
      </c>
      <c r="G239" s="18">
        <v>2016585.1908</v>
      </c>
      <c r="H239" s="18">
        <v>593656.91652999993</v>
      </c>
      <c r="I239" s="18">
        <v>10856.022519999999</v>
      </c>
      <c r="J239" s="18">
        <v>2940.5321399999998</v>
      </c>
      <c r="K239" s="18">
        <v>0</v>
      </c>
      <c r="L239" s="19">
        <f t="shared" ref="L239:L245" si="4">SUM(F239:K239)</f>
        <v>6469193.6147999996</v>
      </c>
      <c r="M239" s="8"/>
      <c r="N239" s="265"/>
    </row>
    <row r="240" spans="1:14" s="3" customFormat="1" ht="12.2" customHeight="1" x14ac:dyDescent="0.15">
      <c r="A240" s="1" t="s">
        <v>443</v>
      </c>
      <c r="B240" s="2" t="s">
        <v>350</v>
      </c>
      <c r="C240" s="2" t="s">
        <v>295</v>
      </c>
      <c r="D240" s="2" t="s">
        <v>431</v>
      </c>
      <c r="E240" s="6">
        <v>2200</v>
      </c>
      <c r="F240" s="18">
        <v>740592.87300999998</v>
      </c>
      <c r="G240" s="18">
        <v>338416.36459999997</v>
      </c>
      <c r="H240" s="18">
        <v>78322.530510000011</v>
      </c>
      <c r="I240" s="18">
        <v>251680.80115000001</v>
      </c>
      <c r="J240" s="18">
        <v>471358.72223999992</v>
      </c>
      <c r="K240" s="18">
        <v>0</v>
      </c>
      <c r="L240" s="19">
        <f t="shared" si="4"/>
        <v>1880371.2915099999</v>
      </c>
      <c r="M240" s="8"/>
      <c r="N240" s="265"/>
    </row>
    <row r="241" spans="1:14" s="3" customFormat="1" ht="12.2" customHeight="1" x14ac:dyDescent="0.15">
      <c r="A241" s="1" t="s">
        <v>444</v>
      </c>
      <c r="B241" s="2" t="s">
        <v>350</v>
      </c>
      <c r="C241" s="2" t="s">
        <v>296</v>
      </c>
      <c r="D241" s="2" t="s">
        <v>431</v>
      </c>
      <c r="E241" s="6">
        <v>2300</v>
      </c>
      <c r="F241" s="18">
        <v>722104.15598999988</v>
      </c>
      <c r="G241" s="18">
        <v>295943.24004000006</v>
      </c>
      <c r="H241" s="18">
        <v>272779.06088999996</v>
      </c>
      <c r="I241" s="18">
        <v>8092.189769999999</v>
      </c>
      <c r="J241" s="18">
        <v>4758.4630099999995</v>
      </c>
      <c r="K241" s="18">
        <v>192274.57704</v>
      </c>
      <c r="L241" s="19">
        <f t="shared" si="4"/>
        <v>1495951.6867399998</v>
      </c>
      <c r="M241" s="8"/>
      <c r="N241" s="265"/>
    </row>
    <row r="242" spans="1:14" s="3" customFormat="1" ht="12.2" customHeight="1" x14ac:dyDescent="0.15">
      <c r="A242" s="1" t="s">
        <v>445</v>
      </c>
      <c r="B242" s="2" t="s">
        <v>350</v>
      </c>
      <c r="C242" s="2" t="s">
        <v>297</v>
      </c>
      <c r="D242" s="2" t="s">
        <v>431</v>
      </c>
      <c r="E242" s="6">
        <v>2400</v>
      </c>
      <c r="F242" s="18">
        <v>1232930.8167599998</v>
      </c>
      <c r="G242" s="18">
        <v>627787.61852000002</v>
      </c>
      <c r="H242" s="18">
        <v>3448.48</v>
      </c>
      <c r="I242" s="18">
        <v>0</v>
      </c>
      <c r="J242" s="18">
        <v>0</v>
      </c>
      <c r="K242" s="18">
        <v>0</v>
      </c>
      <c r="L242" s="19">
        <f t="shared" si="4"/>
        <v>1864166.9152799998</v>
      </c>
      <c r="M242" s="8"/>
      <c r="N242" s="265"/>
    </row>
    <row r="243" spans="1:14" s="3" customFormat="1" ht="12.2" customHeight="1" x14ac:dyDescent="0.15">
      <c r="A243" s="1" t="s">
        <v>446</v>
      </c>
      <c r="B243" s="2" t="s">
        <v>350</v>
      </c>
      <c r="C243" s="2" t="s">
        <v>298</v>
      </c>
      <c r="D243" s="2" t="s">
        <v>431</v>
      </c>
      <c r="E243" s="6">
        <v>2500</v>
      </c>
      <c r="F243" s="18">
        <v>609688.28640999994</v>
      </c>
      <c r="G243" s="18">
        <v>95095.055580000015</v>
      </c>
      <c r="H243" s="18">
        <v>7582.0149999999994</v>
      </c>
      <c r="I243" s="18">
        <v>0</v>
      </c>
      <c r="J243" s="18">
        <v>0</v>
      </c>
      <c r="K243" s="18">
        <v>-126264.92676</v>
      </c>
      <c r="L243" s="19">
        <f t="shared" si="4"/>
        <v>586100.43023000006</v>
      </c>
      <c r="M243" s="8"/>
      <c r="N243" s="265"/>
    </row>
    <row r="244" spans="1:14" s="3" customFormat="1" ht="12.2" customHeight="1" x14ac:dyDescent="0.15">
      <c r="A244" s="1" t="s">
        <v>447</v>
      </c>
      <c r="B244" s="2" t="s">
        <v>350</v>
      </c>
      <c r="C244" s="2" t="s">
        <v>299</v>
      </c>
      <c r="D244" s="2" t="s">
        <v>431</v>
      </c>
      <c r="E244" s="6">
        <v>2600</v>
      </c>
      <c r="F244" s="18">
        <v>2362301.85732</v>
      </c>
      <c r="G244" s="18">
        <v>1230268.4274800001</v>
      </c>
      <c r="H244" s="18">
        <v>2021174.90603</v>
      </c>
      <c r="I244" s="18">
        <v>262304.46515</v>
      </c>
      <c r="J244" s="18">
        <v>543851.51893000002</v>
      </c>
      <c r="K244" s="18">
        <v>-34300</v>
      </c>
      <c r="L244" s="19">
        <f t="shared" si="4"/>
        <v>6385601.1749099996</v>
      </c>
      <c r="M244" s="8"/>
      <c r="N244" s="265"/>
    </row>
    <row r="245" spans="1:14" s="3" customFormat="1" ht="12.2" customHeight="1" x14ac:dyDescent="0.15">
      <c r="A245" s="1" t="s">
        <v>448</v>
      </c>
      <c r="B245" s="2" t="s">
        <v>350</v>
      </c>
      <c r="C245" s="2" t="s">
        <v>300</v>
      </c>
      <c r="D245" s="2" t="s">
        <v>431</v>
      </c>
      <c r="E245" s="6">
        <v>2700</v>
      </c>
      <c r="F245" s="18">
        <v>30734.923170000002</v>
      </c>
      <c r="G245" s="18">
        <v>16264.157910000002</v>
      </c>
      <c r="H245" s="18">
        <v>2710373.4290499995</v>
      </c>
      <c r="I245" s="18">
        <v>0</v>
      </c>
      <c r="J245" s="18">
        <v>0</v>
      </c>
      <c r="K245" s="18">
        <v>0</v>
      </c>
      <c r="L245" s="19">
        <f t="shared" si="4"/>
        <v>2757372.5101299994</v>
      </c>
      <c r="M245" s="8"/>
      <c r="N245" s="265"/>
    </row>
    <row r="246" spans="1:14" s="3" customFormat="1" ht="12.2" customHeight="1" x14ac:dyDescent="0.15">
      <c r="A246" s="1" t="s">
        <v>449</v>
      </c>
      <c r="B246" s="2" t="s">
        <v>350</v>
      </c>
      <c r="C246" s="2" t="s">
        <v>343</v>
      </c>
      <c r="D246" s="2" t="s">
        <v>431</v>
      </c>
      <c r="E246" s="6">
        <v>2800</v>
      </c>
      <c r="F246" s="18">
        <v>100738.79472999999</v>
      </c>
      <c r="G246" s="18">
        <v>34414.092090000006</v>
      </c>
      <c r="H246" s="18">
        <v>79475.46669999999</v>
      </c>
      <c r="I246" s="18">
        <v>0</v>
      </c>
      <c r="J246" s="18">
        <v>0</v>
      </c>
      <c r="K246" s="18">
        <v>0</v>
      </c>
      <c r="L246" s="19">
        <f>SUM(F246:K246)</f>
        <v>214628.35352</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28444247.272137597</v>
      </c>
      <c r="G248" s="41">
        <f t="shared" si="5"/>
        <v>14311606.2686042</v>
      </c>
      <c r="H248" s="41">
        <f t="shared" si="5"/>
        <v>8057135.0698575992</v>
      </c>
      <c r="I248" s="41">
        <f t="shared" si="5"/>
        <v>918749.06370300008</v>
      </c>
      <c r="J248" s="41">
        <f t="shared" si="5"/>
        <v>1290807.2690519998</v>
      </c>
      <c r="K248" s="41">
        <f t="shared" si="5"/>
        <v>-137431.54972000001</v>
      </c>
      <c r="L248" s="41">
        <f t="shared" si="5"/>
        <v>52885113.393634401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97654.89</v>
      </c>
      <c r="G252" s="18">
        <v>33164.730000000003</v>
      </c>
      <c r="H252" s="18">
        <v>0</v>
      </c>
      <c r="I252" s="18">
        <v>0</v>
      </c>
      <c r="J252" s="18">
        <v>0</v>
      </c>
      <c r="K252" s="18">
        <v>0</v>
      </c>
      <c r="L252" s="19">
        <f t="shared" si="6"/>
        <v>130819.62</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97654.89</v>
      </c>
      <c r="G257" s="41">
        <f t="shared" si="7"/>
        <v>33164.730000000003</v>
      </c>
      <c r="H257" s="41">
        <f t="shared" si="7"/>
        <v>0</v>
      </c>
      <c r="I257" s="41">
        <f t="shared" si="7"/>
        <v>0</v>
      </c>
      <c r="J257" s="41">
        <f t="shared" si="7"/>
        <v>0</v>
      </c>
      <c r="K257" s="41">
        <f t="shared" si="7"/>
        <v>0</v>
      </c>
      <c r="L257" s="41">
        <f>SUM(F257:K257)</f>
        <v>130819.62</v>
      </c>
      <c r="M257" s="8"/>
      <c r="N257" s="265"/>
    </row>
    <row r="258" spans="1:14" s="3" customFormat="1" ht="12.2" customHeight="1" thickTop="1" x14ac:dyDescent="0.15">
      <c r="A258" s="38" t="s">
        <v>462</v>
      </c>
      <c r="B258" s="40">
        <v>10</v>
      </c>
      <c r="C258" s="40">
        <v>8</v>
      </c>
      <c r="D258" s="39" t="s">
        <v>431</v>
      </c>
      <c r="E258" s="40"/>
      <c r="F258" s="41">
        <f t="shared" ref="F258:L258" si="8">F212+F230+F248+F257</f>
        <v>90820727.659999982</v>
      </c>
      <c r="G258" s="41">
        <f t="shared" si="8"/>
        <v>44558263.04999999</v>
      </c>
      <c r="H258" s="41">
        <f t="shared" si="8"/>
        <v>23150938.229999997</v>
      </c>
      <c r="I258" s="41">
        <f t="shared" si="8"/>
        <v>2432487.4900000002</v>
      </c>
      <c r="J258" s="41">
        <f t="shared" si="8"/>
        <v>2415817.4199999995</v>
      </c>
      <c r="K258" s="41">
        <f t="shared" si="8"/>
        <v>-76693.239999999991</v>
      </c>
      <c r="L258" s="41">
        <f t="shared" si="8"/>
        <v>163301540.61000001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5860000</v>
      </c>
      <c r="L261" s="19">
        <f>SUM(F261:K261)</f>
        <v>5860000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1531796</v>
      </c>
      <c r="L262" s="19">
        <f>SUM(F262:K262)</f>
        <v>1531796</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7391796</v>
      </c>
      <c r="L271" s="41">
        <f t="shared" si="9"/>
        <v>7391796</v>
      </c>
      <c r="M271" s="8"/>
      <c r="N271" s="265"/>
    </row>
    <row r="272" spans="1:14" s="34" customFormat="1" ht="12.2" customHeight="1" thickTop="1" x14ac:dyDescent="0.2">
      <c r="A272" s="43" t="s">
        <v>464</v>
      </c>
      <c r="B272" s="40">
        <v>10</v>
      </c>
      <c r="C272" s="40">
        <v>18</v>
      </c>
      <c r="D272" s="39" t="s">
        <v>431</v>
      </c>
      <c r="E272" s="40"/>
      <c r="F272" s="42">
        <f t="shared" ref="F272:L272" si="11">F258+F271</f>
        <v>90820727.659999982</v>
      </c>
      <c r="G272" s="42">
        <f t="shared" si="11"/>
        <v>44558263.04999999</v>
      </c>
      <c r="H272" s="42">
        <f t="shared" si="11"/>
        <v>23150938.229999997</v>
      </c>
      <c r="I272" s="42">
        <f t="shared" si="11"/>
        <v>2432487.4900000002</v>
      </c>
      <c r="J272" s="42">
        <f t="shared" si="11"/>
        <v>2415817.4199999995</v>
      </c>
      <c r="K272" s="42">
        <f t="shared" si="11"/>
        <v>7315102.7599999998</v>
      </c>
      <c r="L272" s="42">
        <f t="shared" si="11"/>
        <v>170693336.61000001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1236290.8280799999</v>
      </c>
      <c r="G277" s="18">
        <v>229658.89159999997</v>
      </c>
      <c r="H277" s="18">
        <v>143129.53608000002</v>
      </c>
      <c r="I277" s="18">
        <v>92338.309999999983</v>
      </c>
      <c r="J277" s="18">
        <v>5647.9390000000003</v>
      </c>
      <c r="K277" s="18">
        <v>0</v>
      </c>
      <c r="L277" s="19">
        <f>SUM(F277:K277)</f>
        <v>1707065.5047599999</v>
      </c>
      <c r="M277" s="8"/>
      <c r="N277" s="265"/>
    </row>
    <row r="278" spans="1:14" s="3" customFormat="1" ht="12.2" customHeight="1" x14ac:dyDescent="0.15">
      <c r="A278" s="1" t="s">
        <v>439</v>
      </c>
      <c r="B278" s="2" t="s">
        <v>357</v>
      </c>
      <c r="C278" s="2" t="s">
        <v>291</v>
      </c>
      <c r="D278" s="2" t="s">
        <v>431</v>
      </c>
      <c r="E278" s="6">
        <v>1200</v>
      </c>
      <c r="F278" s="18">
        <v>1433398.0008861001</v>
      </c>
      <c r="G278" s="18">
        <v>654418.2982661</v>
      </c>
      <c r="H278" s="18">
        <v>541917.0448109</v>
      </c>
      <c r="I278" s="18">
        <v>126547.9439823</v>
      </c>
      <c r="J278" s="18">
        <v>79316.787644399999</v>
      </c>
      <c r="K278" s="18">
        <v>0</v>
      </c>
      <c r="L278" s="19">
        <f>SUM(F278:K278)</f>
        <v>2835598.0755897998</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889573.81</v>
      </c>
      <c r="G280" s="18">
        <v>110819.72</v>
      </c>
      <c r="H280" s="18">
        <v>133823.24</v>
      </c>
      <c r="I280" s="18">
        <v>193142.91</v>
      </c>
      <c r="J280" s="18">
        <v>169644.19</v>
      </c>
      <c r="K280" s="18">
        <v>0</v>
      </c>
      <c r="L280" s="19">
        <f>SUM(F280:K280)</f>
        <v>1497003.8699999999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383513.52468849998</v>
      </c>
      <c r="G282" s="18">
        <v>150372.50360969998</v>
      </c>
      <c r="H282" s="18">
        <v>222251.36006270003</v>
      </c>
      <c r="I282" s="18">
        <v>18532.0836872</v>
      </c>
      <c r="J282" s="18">
        <v>29136.949987500004</v>
      </c>
      <c r="K282" s="18">
        <v>0</v>
      </c>
      <c r="L282" s="19">
        <f t="shared" ref="L282:L288" si="12">SUM(F282:K282)</f>
        <v>803806.42203559994</v>
      </c>
      <c r="M282" s="8"/>
      <c r="N282" s="265"/>
    </row>
    <row r="283" spans="1:14" s="3" customFormat="1" ht="12.2" customHeight="1" x14ac:dyDescent="0.15">
      <c r="A283" s="1" t="s">
        <v>443</v>
      </c>
      <c r="B283" s="2" t="s">
        <v>357</v>
      </c>
      <c r="C283" s="2" t="s">
        <v>295</v>
      </c>
      <c r="D283" s="2" t="s">
        <v>431</v>
      </c>
      <c r="E283" s="6">
        <v>2200</v>
      </c>
      <c r="F283" s="18">
        <v>665234.66544000001</v>
      </c>
      <c r="G283" s="18">
        <v>261938.14796000003</v>
      </c>
      <c r="H283" s="18">
        <v>212378.94099999996</v>
      </c>
      <c r="I283" s="18">
        <v>73533.046759999997</v>
      </c>
      <c r="J283" s="18">
        <v>50247.538</v>
      </c>
      <c r="K283" s="18">
        <v>0</v>
      </c>
      <c r="L283" s="19">
        <f t="shared" si="12"/>
        <v>1263332.33916</v>
      </c>
      <c r="M283" s="8"/>
      <c r="N283" s="265"/>
    </row>
    <row r="284" spans="1:14" s="3" customFormat="1" ht="12.2" customHeight="1" x14ac:dyDescent="0.15">
      <c r="A284" s="1" t="s">
        <v>444</v>
      </c>
      <c r="B284" s="2" t="s">
        <v>357</v>
      </c>
      <c r="C284" s="2" t="s">
        <v>296</v>
      </c>
      <c r="D284" s="2" t="s">
        <v>431</v>
      </c>
      <c r="E284" s="6">
        <v>2300</v>
      </c>
      <c r="F284" s="18">
        <v>0</v>
      </c>
      <c r="G284" s="18">
        <v>0</v>
      </c>
      <c r="H284" s="18">
        <v>1998</v>
      </c>
      <c r="I284" s="18">
        <v>0</v>
      </c>
      <c r="J284" s="18">
        <v>0</v>
      </c>
      <c r="K284" s="18">
        <v>0</v>
      </c>
      <c r="L284" s="19">
        <f t="shared" si="12"/>
        <v>1998</v>
      </c>
      <c r="M284" s="8"/>
      <c r="N284" s="265"/>
    </row>
    <row r="285" spans="1:14" s="3" customFormat="1" ht="12.2" customHeight="1" x14ac:dyDescent="0.15">
      <c r="A285" s="1" t="s">
        <v>445</v>
      </c>
      <c r="B285" s="2" t="s">
        <v>357</v>
      </c>
      <c r="C285" s="2" t="s">
        <v>297</v>
      </c>
      <c r="D285" s="2" t="s">
        <v>431</v>
      </c>
      <c r="E285" s="6">
        <v>2400</v>
      </c>
      <c r="F285" s="18">
        <v>58720.939999999995</v>
      </c>
      <c r="G285" s="18">
        <v>31555.63</v>
      </c>
      <c r="H285" s="18">
        <v>554614.1</v>
      </c>
      <c r="I285" s="18">
        <v>0</v>
      </c>
      <c r="J285" s="18">
        <v>73834.58</v>
      </c>
      <c r="K285" s="18">
        <v>0</v>
      </c>
      <c r="L285" s="19">
        <f t="shared" si="12"/>
        <v>718725.24999999988</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163424.57184000002</v>
      </c>
      <c r="L286" s="19">
        <f t="shared" si="12"/>
        <v>163424.57184000002</v>
      </c>
      <c r="M286" s="8"/>
      <c r="N286" s="265"/>
    </row>
    <row r="287" spans="1:14" s="3" customFormat="1" ht="12.2" customHeight="1" x14ac:dyDescent="0.15">
      <c r="A287" s="1" t="s">
        <v>447</v>
      </c>
      <c r="B287" s="2" t="s">
        <v>357</v>
      </c>
      <c r="C287" s="2" t="s">
        <v>299</v>
      </c>
      <c r="D287" s="2" t="s">
        <v>431</v>
      </c>
      <c r="E287" s="6">
        <v>2600</v>
      </c>
      <c r="F287" s="18">
        <v>33300</v>
      </c>
      <c r="G287" s="18">
        <v>0</v>
      </c>
      <c r="H287" s="18">
        <v>15657.105000000001</v>
      </c>
      <c r="I287" s="18">
        <v>41511.664560000005</v>
      </c>
      <c r="J287" s="18">
        <v>37787.0196</v>
      </c>
      <c r="K287" s="18">
        <v>11100</v>
      </c>
      <c r="L287" s="19">
        <f t="shared" si="12"/>
        <v>139355.78916000001</v>
      </c>
      <c r="M287" s="8"/>
      <c r="N287" s="265"/>
    </row>
    <row r="288" spans="1:14" s="3" customFormat="1" ht="12.2" customHeight="1" x14ac:dyDescent="0.15">
      <c r="A288" s="1" t="s">
        <v>448</v>
      </c>
      <c r="B288" s="2" t="s">
        <v>357</v>
      </c>
      <c r="C288" s="2" t="s">
        <v>300</v>
      </c>
      <c r="D288" s="2" t="s">
        <v>431</v>
      </c>
      <c r="E288" s="6">
        <v>2700</v>
      </c>
      <c r="F288" s="18">
        <v>0</v>
      </c>
      <c r="G288" s="18">
        <v>0</v>
      </c>
      <c r="H288" s="18">
        <v>55640.302945099997</v>
      </c>
      <c r="I288" s="18">
        <v>0</v>
      </c>
      <c r="J288" s="18">
        <v>0</v>
      </c>
      <c r="K288" s="18">
        <v>0</v>
      </c>
      <c r="L288" s="19">
        <f t="shared" si="12"/>
        <v>55640.302945099997</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4700031.7690946003</v>
      </c>
      <c r="G291" s="42">
        <f t="shared" si="13"/>
        <v>1438763.1914357997</v>
      </c>
      <c r="H291" s="42">
        <f t="shared" si="13"/>
        <v>1881409.6298986997</v>
      </c>
      <c r="I291" s="42">
        <f t="shared" si="13"/>
        <v>545605.95898949995</v>
      </c>
      <c r="J291" s="42">
        <f t="shared" si="13"/>
        <v>445615.00423189998</v>
      </c>
      <c r="K291" s="42">
        <f t="shared" si="13"/>
        <v>174524.57184000002</v>
      </c>
      <c r="L291" s="41">
        <f t="shared" si="13"/>
        <v>9185950.1254904978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65035.677660000008</v>
      </c>
      <c r="G296" s="18">
        <v>21310.948199999999</v>
      </c>
      <c r="H296" s="18">
        <v>68663.493660000007</v>
      </c>
      <c r="I296" s="18">
        <v>24218.1</v>
      </c>
      <c r="J296" s="18">
        <v>12562.834249999998</v>
      </c>
      <c r="K296" s="18">
        <v>0</v>
      </c>
      <c r="L296" s="19">
        <f>SUM(F296:K296)</f>
        <v>191791.05377</v>
      </c>
      <c r="M296" s="8"/>
      <c r="N296" s="265"/>
    </row>
    <row r="297" spans="1:14" s="3" customFormat="1" ht="12.2" customHeight="1" x14ac:dyDescent="0.15">
      <c r="A297" s="1" t="s">
        <v>439</v>
      </c>
      <c r="B297" s="2" t="s">
        <v>358</v>
      </c>
      <c r="C297" s="2" t="s">
        <v>291</v>
      </c>
      <c r="D297" s="2" t="s">
        <v>431</v>
      </c>
      <c r="E297" s="6">
        <v>1200</v>
      </c>
      <c r="F297" s="18">
        <v>586978.3638876999</v>
      </c>
      <c r="G297" s="18">
        <v>189950.25854770001</v>
      </c>
      <c r="H297" s="18">
        <v>257373.87344130001</v>
      </c>
      <c r="I297" s="18">
        <v>43539.286331099996</v>
      </c>
      <c r="J297" s="18">
        <v>26729.7692508</v>
      </c>
      <c r="K297" s="18">
        <v>0</v>
      </c>
      <c r="L297" s="19">
        <f>SUM(F297:K297)</f>
        <v>1104571.5514585997</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50564.460544499998</v>
      </c>
      <c r="G301" s="18">
        <v>15180.180012899998</v>
      </c>
      <c r="H301" s="18">
        <v>105554.3352339</v>
      </c>
      <c r="I301" s="18">
        <v>8801.4839304000016</v>
      </c>
      <c r="J301" s="18">
        <v>13838.0767875</v>
      </c>
      <c r="K301" s="18">
        <v>0</v>
      </c>
      <c r="L301" s="19">
        <f t="shared" ref="L301:L307" si="14">SUM(F301:K301)</f>
        <v>193938.5365092</v>
      </c>
      <c r="M301" s="8"/>
      <c r="N301" s="265"/>
    </row>
    <row r="302" spans="1:14" s="3" customFormat="1" ht="12.2" customHeight="1" x14ac:dyDescent="0.15">
      <c r="A302" s="1" t="s">
        <v>443</v>
      </c>
      <c r="B302" s="2" t="s">
        <v>358</v>
      </c>
      <c r="C302" s="2" t="s">
        <v>295</v>
      </c>
      <c r="D302" s="2" t="s">
        <v>431</v>
      </c>
      <c r="E302" s="6">
        <v>2200</v>
      </c>
      <c r="F302" s="18">
        <v>169055.49288000001</v>
      </c>
      <c r="G302" s="18">
        <v>60376.892670000001</v>
      </c>
      <c r="H302" s="18">
        <v>49018.275750000001</v>
      </c>
      <c r="I302" s="18">
        <v>25978.50027</v>
      </c>
      <c r="J302" s="18">
        <v>16854.583500000001</v>
      </c>
      <c r="K302" s="18">
        <v>0</v>
      </c>
      <c r="L302" s="19">
        <f t="shared" si="14"/>
        <v>321283.74507000006</v>
      </c>
      <c r="M302" s="8"/>
      <c r="N302" s="265"/>
    </row>
    <row r="303" spans="1:14" s="3" customFormat="1" ht="12.2" customHeight="1" x14ac:dyDescent="0.15">
      <c r="A303" s="1" t="s">
        <v>444</v>
      </c>
      <c r="B303" s="2" t="s">
        <v>358</v>
      </c>
      <c r="C303" s="2" t="s">
        <v>296</v>
      </c>
      <c r="D303" s="2" t="s">
        <v>431</v>
      </c>
      <c r="E303" s="6">
        <v>2300</v>
      </c>
      <c r="F303" s="18">
        <v>0</v>
      </c>
      <c r="G303" s="18">
        <v>0</v>
      </c>
      <c r="H303" s="18">
        <v>958.5</v>
      </c>
      <c r="I303" s="18">
        <v>0</v>
      </c>
      <c r="J303" s="18">
        <v>0</v>
      </c>
      <c r="K303" s="18">
        <v>0</v>
      </c>
      <c r="L303" s="19">
        <f t="shared" si="14"/>
        <v>958.5</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78399.625679999997</v>
      </c>
      <c r="L305" s="19">
        <f t="shared" si="14"/>
        <v>78399.625679999997</v>
      </c>
      <c r="M305" s="8"/>
      <c r="N305" s="265"/>
    </row>
    <row r="306" spans="1:14" s="3" customFormat="1" ht="12.2" customHeight="1" x14ac:dyDescent="0.15">
      <c r="A306" s="1" t="s">
        <v>447</v>
      </c>
      <c r="B306" s="2" t="s">
        <v>358</v>
      </c>
      <c r="C306" s="2" t="s">
        <v>299</v>
      </c>
      <c r="D306" s="2" t="s">
        <v>431</v>
      </c>
      <c r="E306" s="6">
        <v>2600</v>
      </c>
      <c r="F306" s="18">
        <v>15975</v>
      </c>
      <c r="G306" s="18">
        <v>0</v>
      </c>
      <c r="H306" s="18">
        <v>7511.1787500000009</v>
      </c>
      <c r="I306" s="18">
        <v>19914.37962</v>
      </c>
      <c r="J306" s="18">
        <v>18127.556700000001</v>
      </c>
      <c r="K306" s="18">
        <v>5325</v>
      </c>
      <c r="L306" s="19">
        <f t="shared" si="14"/>
        <v>66853.11507</v>
      </c>
      <c r="M306" s="8"/>
      <c r="N306" s="265"/>
    </row>
    <row r="307" spans="1:14" s="3" customFormat="1" ht="12.2" customHeight="1" x14ac:dyDescent="0.15">
      <c r="A307" s="1" t="s">
        <v>448</v>
      </c>
      <c r="B307" s="2" t="s">
        <v>358</v>
      </c>
      <c r="C307" s="2" t="s">
        <v>300</v>
      </c>
      <c r="D307" s="2" t="s">
        <v>431</v>
      </c>
      <c r="E307" s="6">
        <v>2700</v>
      </c>
      <c r="F307" s="18">
        <v>0</v>
      </c>
      <c r="G307" s="18">
        <v>0</v>
      </c>
      <c r="H307" s="18">
        <v>26425.373450700001</v>
      </c>
      <c r="I307" s="18">
        <v>0</v>
      </c>
      <c r="J307" s="18">
        <v>0</v>
      </c>
      <c r="K307" s="18">
        <v>0</v>
      </c>
      <c r="L307" s="19">
        <f t="shared" si="14"/>
        <v>26425.373450700001</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887608.99497220002</v>
      </c>
      <c r="G310" s="42">
        <f t="shared" si="15"/>
        <v>286818.2794306</v>
      </c>
      <c r="H310" s="42">
        <f t="shared" si="15"/>
        <v>515505.03028590011</v>
      </c>
      <c r="I310" s="42">
        <f t="shared" si="15"/>
        <v>122451.75015149999</v>
      </c>
      <c r="J310" s="42">
        <f t="shared" si="15"/>
        <v>88112.8204883</v>
      </c>
      <c r="K310" s="42">
        <f t="shared" si="15"/>
        <v>83724.625679999997</v>
      </c>
      <c r="L310" s="41">
        <f t="shared" si="15"/>
        <v>1984221.5010084999</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104728.81426</v>
      </c>
      <c r="G315" s="18">
        <v>34317.6302</v>
      </c>
      <c r="H315" s="18">
        <v>110570.79026000001</v>
      </c>
      <c r="I315" s="18">
        <v>38999.100000000006</v>
      </c>
      <c r="J315" s="18">
        <v>52589.876749999996</v>
      </c>
      <c r="K315" s="18">
        <v>0</v>
      </c>
      <c r="L315" s="19">
        <f>SUM(F315:K315)</f>
        <v>341206.21147000004</v>
      </c>
      <c r="M315" s="8"/>
      <c r="N315" s="265"/>
    </row>
    <row r="316" spans="1:14" s="3" customFormat="1" ht="12.2" customHeight="1" x14ac:dyDescent="0.15">
      <c r="A316" s="1" t="s">
        <v>439</v>
      </c>
      <c r="B316" s="2" t="s">
        <v>359</v>
      </c>
      <c r="C316" s="2" t="s">
        <v>291</v>
      </c>
      <c r="D316" s="2" t="s">
        <v>431</v>
      </c>
      <c r="E316" s="6">
        <v>1200</v>
      </c>
      <c r="F316" s="18">
        <v>923666.89522619988</v>
      </c>
      <c r="G316" s="18">
        <v>392555.36318620003</v>
      </c>
      <c r="H316" s="18">
        <v>322817.29174779996</v>
      </c>
      <c r="I316" s="18">
        <v>54474.849686599991</v>
      </c>
      <c r="J316" s="18">
        <v>33443.363104800002</v>
      </c>
      <c r="K316" s="18">
        <v>0</v>
      </c>
      <c r="L316" s="19">
        <f>SUM(F316:K316)</f>
        <v>1726957.7629515999</v>
      </c>
      <c r="M316" s="8"/>
      <c r="N316" s="265"/>
    </row>
    <row r="317" spans="1:14" s="3" customFormat="1" ht="12.2" customHeight="1" x14ac:dyDescent="0.15">
      <c r="A317" s="1" t="s">
        <v>440</v>
      </c>
      <c r="B317" s="2" t="s">
        <v>359</v>
      </c>
      <c r="C317" s="2" t="s">
        <v>292</v>
      </c>
      <c r="D317" s="2" t="s">
        <v>431</v>
      </c>
      <c r="E317" s="6">
        <v>1300</v>
      </c>
      <c r="F317" s="18">
        <v>45055.49</v>
      </c>
      <c r="G317" s="18">
        <v>18664.3</v>
      </c>
      <c r="H317" s="18">
        <v>31141.93</v>
      </c>
      <c r="I317" s="18">
        <v>104289.25000000001</v>
      </c>
      <c r="J317" s="18">
        <v>207830.21000000002</v>
      </c>
      <c r="K317" s="18">
        <v>0</v>
      </c>
      <c r="L317" s="19">
        <f>SUM(F317:K317)</f>
        <v>406981.18000000005</v>
      </c>
      <c r="M317" s="8"/>
      <c r="N317" s="265"/>
    </row>
    <row r="318" spans="1:14" s="3" customFormat="1" ht="12.2" customHeight="1" x14ac:dyDescent="0.15">
      <c r="A318" s="1" t="s">
        <v>441</v>
      </c>
      <c r="B318" s="2" t="s">
        <v>359</v>
      </c>
      <c r="C318" s="2" t="s">
        <v>293</v>
      </c>
      <c r="D318" s="2" t="s">
        <v>431</v>
      </c>
      <c r="E318" s="6">
        <v>1400</v>
      </c>
      <c r="F318" s="18">
        <v>80910</v>
      </c>
      <c r="G318" s="18">
        <v>4845.5200000000004</v>
      </c>
      <c r="H318" s="18">
        <v>880</v>
      </c>
      <c r="I318" s="18">
        <v>6483.37</v>
      </c>
      <c r="J318" s="18">
        <v>0</v>
      </c>
      <c r="K318" s="18">
        <v>151306.98000000001</v>
      </c>
      <c r="L318" s="19">
        <f>SUM(F318:K318)</f>
        <v>244425.87</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97166.584767000008</v>
      </c>
      <c r="G320" s="18">
        <v>39127.916377399997</v>
      </c>
      <c r="H320" s="18">
        <v>132065.93470340001</v>
      </c>
      <c r="I320" s="18">
        <v>11012.112382399999</v>
      </c>
      <c r="J320" s="18">
        <v>17313.723225000002</v>
      </c>
      <c r="K320" s="18">
        <v>0</v>
      </c>
      <c r="L320" s="19">
        <f t="shared" ref="L320:L326" si="16">SUM(F320:K320)</f>
        <v>296686.27145520004</v>
      </c>
      <c r="M320" s="8"/>
      <c r="N320" s="265"/>
    </row>
    <row r="321" spans="1:14" s="3" customFormat="1" ht="12.2" customHeight="1" x14ac:dyDescent="0.15">
      <c r="A321" s="1" t="s">
        <v>443</v>
      </c>
      <c r="B321" s="2" t="s">
        <v>359</v>
      </c>
      <c r="C321" s="2" t="s">
        <v>295</v>
      </c>
      <c r="D321" s="2" t="s">
        <v>431</v>
      </c>
      <c r="E321" s="6">
        <v>2200</v>
      </c>
      <c r="F321" s="18">
        <v>272234.90168000001</v>
      </c>
      <c r="G321" s="18">
        <v>97226.639370000019</v>
      </c>
      <c r="H321" s="18">
        <v>104800.83325</v>
      </c>
      <c r="I321" s="18">
        <v>41833.92297</v>
      </c>
      <c r="J321" s="18">
        <v>27141.4185</v>
      </c>
      <c r="K321" s="18">
        <v>0</v>
      </c>
      <c r="L321" s="19">
        <f t="shared" si="16"/>
        <v>543237.71577000001</v>
      </c>
      <c r="M321" s="8"/>
      <c r="N321" s="265"/>
    </row>
    <row r="322" spans="1:14" s="3" customFormat="1" ht="12.2" customHeight="1" x14ac:dyDescent="0.15">
      <c r="A322" s="1" t="s">
        <v>444</v>
      </c>
      <c r="B322" s="2" t="s">
        <v>359</v>
      </c>
      <c r="C322" s="2" t="s">
        <v>296</v>
      </c>
      <c r="D322" s="2" t="s">
        <v>431</v>
      </c>
      <c r="E322" s="6">
        <v>2300</v>
      </c>
      <c r="F322" s="18">
        <v>0</v>
      </c>
      <c r="G322" s="18">
        <v>0</v>
      </c>
      <c r="H322" s="18">
        <v>1543.5</v>
      </c>
      <c r="I322" s="18">
        <v>0</v>
      </c>
      <c r="J322" s="18">
        <v>0</v>
      </c>
      <c r="K322" s="18">
        <v>0</v>
      </c>
      <c r="L322" s="19">
        <f t="shared" si="16"/>
        <v>1543.5</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126249.16248</v>
      </c>
      <c r="L324" s="19">
        <f t="shared" si="16"/>
        <v>126249.16248</v>
      </c>
      <c r="M324" s="8"/>
      <c r="N324" s="265"/>
    </row>
    <row r="325" spans="1:14" s="3" customFormat="1" ht="12.2" customHeight="1" x14ac:dyDescent="0.15">
      <c r="A325" s="1" t="s">
        <v>447</v>
      </c>
      <c r="B325" s="2" t="s">
        <v>359</v>
      </c>
      <c r="C325" s="2" t="s">
        <v>299</v>
      </c>
      <c r="D325" s="2" t="s">
        <v>431</v>
      </c>
      <c r="E325" s="6">
        <v>2600</v>
      </c>
      <c r="F325" s="18">
        <v>25725</v>
      </c>
      <c r="G325" s="18">
        <v>0</v>
      </c>
      <c r="H325" s="18">
        <v>12095.466249999999</v>
      </c>
      <c r="I325" s="18">
        <v>32068.695820000001</v>
      </c>
      <c r="J325" s="18">
        <v>29191.323699999997</v>
      </c>
      <c r="K325" s="18">
        <v>8575</v>
      </c>
      <c r="L325" s="19">
        <f t="shared" si="16"/>
        <v>107655.48576999998</v>
      </c>
      <c r="M325" s="8"/>
      <c r="N325" s="265"/>
    </row>
    <row r="326" spans="1:14" s="3" customFormat="1" ht="12.2" customHeight="1" x14ac:dyDescent="0.15">
      <c r="A326" s="1" t="s">
        <v>448</v>
      </c>
      <c r="B326" s="2" t="s">
        <v>359</v>
      </c>
      <c r="C326" s="2" t="s">
        <v>300</v>
      </c>
      <c r="D326" s="2" t="s">
        <v>431</v>
      </c>
      <c r="E326" s="6">
        <v>2700</v>
      </c>
      <c r="F326" s="18">
        <v>0</v>
      </c>
      <c r="G326" s="18">
        <v>0</v>
      </c>
      <c r="H326" s="18">
        <v>35055.063604199997</v>
      </c>
      <c r="I326" s="18">
        <v>0</v>
      </c>
      <c r="J326" s="18">
        <v>0</v>
      </c>
      <c r="K326" s="18">
        <v>0</v>
      </c>
      <c r="L326" s="19">
        <f t="shared" si="16"/>
        <v>35055.063604199997</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1549487.6859332002</v>
      </c>
      <c r="G329" s="42">
        <f t="shared" si="17"/>
        <v>586737.36913360003</v>
      </c>
      <c r="H329" s="42">
        <f t="shared" si="17"/>
        <v>750970.80981540016</v>
      </c>
      <c r="I329" s="42">
        <f t="shared" si="17"/>
        <v>289161.30085900001</v>
      </c>
      <c r="J329" s="42">
        <f t="shared" si="17"/>
        <v>367509.91527980001</v>
      </c>
      <c r="K329" s="42">
        <f t="shared" si="17"/>
        <v>286131.14248000004</v>
      </c>
      <c r="L329" s="41">
        <f t="shared" si="17"/>
        <v>3829998.2235010001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35865.14</v>
      </c>
      <c r="G333" s="18">
        <v>2556.6999999999998</v>
      </c>
      <c r="H333" s="18">
        <v>46576.79</v>
      </c>
      <c r="I333" s="18">
        <v>1403.63</v>
      </c>
      <c r="J333" s="18">
        <v>0</v>
      </c>
      <c r="K333" s="18">
        <v>0</v>
      </c>
      <c r="L333" s="19">
        <f t="shared" ref="L333:L338" si="18">SUM(F333:K333)</f>
        <v>86402.260000000009</v>
      </c>
      <c r="M333" s="8"/>
      <c r="N333" s="265"/>
    </row>
    <row r="334" spans="1:14" s="3" customFormat="1" ht="12.2" customHeight="1" x14ac:dyDescent="0.15">
      <c r="A334" s="1" t="s">
        <v>353</v>
      </c>
      <c r="B334" s="6">
        <v>14</v>
      </c>
      <c r="C334" s="2" t="s">
        <v>309</v>
      </c>
      <c r="D334" s="2" t="s">
        <v>431</v>
      </c>
      <c r="E334" s="6">
        <v>1600</v>
      </c>
      <c r="F334" s="18">
        <v>149691.96</v>
      </c>
      <c r="G334" s="18">
        <v>17286.169999999998</v>
      </c>
      <c r="H334" s="18">
        <v>4976.28</v>
      </c>
      <c r="I334" s="18">
        <v>5660.02</v>
      </c>
      <c r="J334" s="18">
        <v>0</v>
      </c>
      <c r="K334" s="18">
        <v>0</v>
      </c>
      <c r="L334" s="19">
        <f t="shared" si="18"/>
        <v>177614.43</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636525.25</v>
      </c>
      <c r="I337" s="18">
        <v>0</v>
      </c>
      <c r="J337" s="18">
        <v>0</v>
      </c>
      <c r="K337" s="18">
        <v>0</v>
      </c>
      <c r="L337" s="19">
        <f t="shared" si="18"/>
        <v>636525.25</v>
      </c>
      <c r="M337" s="8"/>
      <c r="N337" s="265"/>
    </row>
    <row r="338" spans="1:43" s="3" customFormat="1" ht="12.2" customHeight="1" thickTop="1" thickBot="1" x14ac:dyDescent="0.2">
      <c r="A338" s="50" t="s">
        <v>467</v>
      </c>
      <c r="B338" s="40">
        <v>14</v>
      </c>
      <c r="C338" s="51">
        <v>6</v>
      </c>
      <c r="D338" s="48" t="s">
        <v>431</v>
      </c>
      <c r="E338" s="51"/>
      <c r="F338" s="41">
        <f t="shared" ref="F338:K338" si="19">SUM(F333:F337)</f>
        <v>185557.09999999998</v>
      </c>
      <c r="G338" s="41">
        <f t="shared" si="19"/>
        <v>19842.87</v>
      </c>
      <c r="H338" s="41">
        <f t="shared" si="19"/>
        <v>688078.32</v>
      </c>
      <c r="I338" s="41">
        <f t="shared" si="19"/>
        <v>7063.6500000000005</v>
      </c>
      <c r="J338" s="41">
        <f t="shared" si="19"/>
        <v>0</v>
      </c>
      <c r="K338" s="41">
        <f t="shared" si="19"/>
        <v>0</v>
      </c>
      <c r="L338" s="41">
        <f t="shared" si="18"/>
        <v>900541.94</v>
      </c>
      <c r="M338" s="8"/>
      <c r="N338" s="265"/>
    </row>
    <row r="339" spans="1:43" s="3" customFormat="1" ht="12.2" customHeight="1" thickTop="1" x14ac:dyDescent="0.15">
      <c r="A339" s="38" t="s">
        <v>468</v>
      </c>
      <c r="B339" s="40">
        <v>14</v>
      </c>
      <c r="C339" s="40">
        <v>7</v>
      </c>
      <c r="D339" s="39" t="s">
        <v>431</v>
      </c>
      <c r="E339" s="40"/>
      <c r="F339" s="41">
        <f t="shared" ref="F339:L339" si="20">F291+F310+F329+F338</f>
        <v>7322685.5500000007</v>
      </c>
      <c r="G339" s="41">
        <f t="shared" si="20"/>
        <v>2332161.71</v>
      </c>
      <c r="H339" s="41">
        <f t="shared" si="20"/>
        <v>3835963.79</v>
      </c>
      <c r="I339" s="41">
        <f t="shared" si="20"/>
        <v>964282.66</v>
      </c>
      <c r="J339" s="41">
        <f t="shared" si="20"/>
        <v>901237.74</v>
      </c>
      <c r="K339" s="41">
        <f t="shared" si="20"/>
        <v>544380.34000000008</v>
      </c>
      <c r="L339" s="41">
        <f t="shared" si="20"/>
        <v>15900711.789999997</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7322685.5500000007</v>
      </c>
      <c r="G353" s="41">
        <f>G339</f>
        <v>2332161.71</v>
      </c>
      <c r="H353" s="41">
        <f>H339</f>
        <v>3835963.79</v>
      </c>
      <c r="I353" s="41">
        <f>I339</f>
        <v>964282.66</v>
      </c>
      <c r="J353" s="41">
        <f>J339</f>
        <v>901237.74</v>
      </c>
      <c r="K353" s="47">
        <f>K339+K352</f>
        <v>544380.34000000008</v>
      </c>
      <c r="L353" s="41">
        <f>L339+L352</f>
        <v>15900711.789999997</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783968.696</v>
      </c>
      <c r="G359" s="18">
        <v>328287.26428000006</v>
      </c>
      <c r="H359" s="18">
        <v>44249.830839999995</v>
      </c>
      <c r="I359" s="18">
        <v>1198489.5027200002</v>
      </c>
      <c r="J359" s="18">
        <v>583.42128000000002</v>
      </c>
      <c r="K359" s="18">
        <v>0</v>
      </c>
      <c r="L359" s="13">
        <f>SUM(F359:K359)</f>
        <v>2355578.7151200003</v>
      </c>
      <c r="M359" s="8"/>
      <c r="N359" s="265"/>
    </row>
    <row r="360" spans="1:22" s="3" customFormat="1" ht="12.2" customHeight="1" x14ac:dyDescent="0.15">
      <c r="A360" s="1" t="s">
        <v>542</v>
      </c>
      <c r="B360" s="2" t="s">
        <v>366</v>
      </c>
      <c r="C360" s="6">
        <v>2</v>
      </c>
      <c r="D360" s="2" t="s">
        <v>431</v>
      </c>
      <c r="E360" s="6"/>
      <c r="F360" s="18">
        <v>443780.68449999997</v>
      </c>
      <c r="G360" s="18">
        <v>144769.14880999998</v>
      </c>
      <c r="H360" s="18">
        <v>20730.909930000002</v>
      </c>
      <c r="I360" s="18">
        <v>489549.65644000005</v>
      </c>
      <c r="J360" s="18">
        <v>465.66155999999995</v>
      </c>
      <c r="K360" s="18">
        <v>0</v>
      </c>
      <c r="L360" s="19">
        <f>SUM(F360:K360)</f>
        <v>1099296.0612399997</v>
      </c>
      <c r="M360" s="8"/>
      <c r="N360" s="265"/>
    </row>
    <row r="361" spans="1:22" s="3" customFormat="1" ht="12.2" customHeight="1" x14ac:dyDescent="0.15">
      <c r="A361" s="3" t="s">
        <v>543</v>
      </c>
      <c r="B361" s="2" t="s">
        <v>366</v>
      </c>
      <c r="C361" s="6">
        <v>3</v>
      </c>
      <c r="D361" s="2" t="s">
        <v>431</v>
      </c>
      <c r="E361" s="6"/>
      <c r="F361" s="18">
        <v>551103.62949999992</v>
      </c>
      <c r="G361" s="18">
        <v>294177.98690999998</v>
      </c>
      <c r="H361" s="18">
        <v>32883.539229999995</v>
      </c>
      <c r="I361" s="18">
        <v>771957.30084000004</v>
      </c>
      <c r="J361" s="18">
        <v>21826.617159999998</v>
      </c>
      <c r="K361" s="18">
        <v>0</v>
      </c>
      <c r="L361" s="19">
        <f>SUM(F361:K361)</f>
        <v>1671949.0736399998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1778853.0099999998</v>
      </c>
      <c r="G363" s="47">
        <f t="shared" si="22"/>
        <v>767234.4</v>
      </c>
      <c r="H363" s="47">
        <f t="shared" si="22"/>
        <v>97864.28</v>
      </c>
      <c r="I363" s="47">
        <f t="shared" si="22"/>
        <v>2459996.4600000004</v>
      </c>
      <c r="J363" s="47">
        <f t="shared" si="22"/>
        <v>22875.699999999997</v>
      </c>
      <c r="K363" s="47">
        <f t="shared" si="22"/>
        <v>0</v>
      </c>
      <c r="L363" s="47">
        <f t="shared" si="22"/>
        <v>5126823.8499999996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1017351.72</v>
      </c>
      <c r="G368" s="18">
        <v>417820.41</v>
      </c>
      <c r="H368" s="18">
        <v>667393.16</v>
      </c>
      <c r="I368" s="56">
        <f>SUM(F368:H368)</f>
        <v>2102565.29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181137.78</v>
      </c>
      <c r="G369" s="63">
        <v>71729.240000000005</v>
      </c>
      <c r="H369" s="63">
        <f>104564.14+0.01</f>
        <v>104564.15</v>
      </c>
      <c r="I369" s="56">
        <f>SUM(F369:H369)</f>
        <v>357431.17000000004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1198489.5</v>
      </c>
      <c r="G370" s="47">
        <f>SUM(G368:G369)</f>
        <v>489549.64999999997</v>
      </c>
      <c r="H370" s="47">
        <f>SUM(H368:H369)</f>
        <v>771957.31</v>
      </c>
      <c r="I370" s="47">
        <f>SUM(I368:I369)</f>
        <v>2459996.46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v>26546362.309999999</v>
      </c>
      <c r="L379" s="13">
        <f t="shared" si="23"/>
        <v>26546362.309999999</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26546362.309999999</v>
      </c>
      <c r="L383" s="47">
        <f t="shared" si="24"/>
        <v>26546362.309999999</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1194.81</v>
      </c>
      <c r="I393" s="18"/>
      <c r="J393" s="24" t="s">
        <v>288</v>
      </c>
      <c r="K393" s="24" t="s">
        <v>288</v>
      </c>
      <c r="L393" s="56">
        <f t="shared" si="25"/>
        <v>1194.81</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1194.81</v>
      </c>
      <c r="I394" s="65">
        <f>SUM(I388:I393)</f>
        <v>0</v>
      </c>
      <c r="J394" s="45" t="s">
        <v>288</v>
      </c>
      <c r="K394" s="45" t="s">
        <v>288</v>
      </c>
      <c r="L394" s="47">
        <f>SUM(L388:L393)</f>
        <v>1194.81</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1361.99</v>
      </c>
      <c r="I401" s="18">
        <v>250000.74</v>
      </c>
      <c r="J401" s="24" t="s">
        <v>288</v>
      </c>
      <c r="K401" s="24" t="s">
        <v>288</v>
      </c>
      <c r="L401" s="56">
        <f t="shared" si="26"/>
        <v>251362.72999999998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1361.99</v>
      </c>
      <c r="I402" s="47">
        <f>SUM(I396:I401)</f>
        <v>250000.74</v>
      </c>
      <c r="J402" s="45" t="s">
        <v>288</v>
      </c>
      <c r="K402" s="45" t="s">
        <v>288</v>
      </c>
      <c r="L402" s="47">
        <f>SUM(L396:L401)</f>
        <v>251362.72999999998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t="s">
        <v>1803</v>
      </c>
      <c r="B404" s="2" t="s">
        <v>381</v>
      </c>
      <c r="C404" s="6">
        <v>15</v>
      </c>
      <c r="D404" s="2" t="s">
        <v>432</v>
      </c>
      <c r="E404" s="6"/>
      <c r="F404" s="18"/>
      <c r="G404" s="18"/>
      <c r="H404" s="18">
        <f>163670.53+599669.47-1592612.53</f>
        <v>-829272.53</v>
      </c>
      <c r="I404" s="18">
        <v>124888.12</v>
      </c>
      <c r="J404" s="24" t="s">
        <v>288</v>
      </c>
      <c r="K404" s="24" t="s">
        <v>288</v>
      </c>
      <c r="L404" s="56">
        <f>SUM(F404:K404)</f>
        <v>-704384.41</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-829272.53</v>
      </c>
      <c r="I408" s="47">
        <f>SUM(I404:I407)</f>
        <v>124888.12</v>
      </c>
      <c r="J408" s="49" t="s">
        <v>288</v>
      </c>
      <c r="K408" s="49" t="s">
        <v>288</v>
      </c>
      <c r="L408" s="47">
        <f>SUM(L404:L407)</f>
        <v>-704384.41</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-826715.73</v>
      </c>
      <c r="I409" s="47">
        <f>I394+I402+I408</f>
        <v>374888.86</v>
      </c>
      <c r="J409" s="24" t="s">
        <v>288</v>
      </c>
      <c r="K409" s="24" t="s">
        <v>288</v>
      </c>
      <c r="L409" s="47">
        <f>L394+L402+L408</f>
        <v>-451826.87000000005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v>74707.509999999995</v>
      </c>
      <c r="K419" s="18"/>
      <c r="L419" s="56">
        <f t="shared" si="27"/>
        <v>74707.509999999995</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74707.509999999995</v>
      </c>
      <c r="K420" s="139">
        <f t="shared" si="28"/>
        <v>0</v>
      </c>
      <c r="L420" s="47">
        <f t="shared" si="28"/>
        <v>74707.509999999995</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f>70+1197.96</f>
        <v>1267.96</v>
      </c>
      <c r="I427" s="18">
        <f>56090.86+1401.66+2000</f>
        <v>59492.520000000004</v>
      </c>
      <c r="J427" s="18">
        <f>6197.86+4860+610+11233.44</f>
        <v>22901.300000000003</v>
      </c>
      <c r="K427" s="18">
        <v>100000</v>
      </c>
      <c r="L427" s="56">
        <f t="shared" si="29"/>
        <v>183661.78</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1267.96</v>
      </c>
      <c r="I428" s="47">
        <f t="shared" si="30"/>
        <v>59492.520000000004</v>
      </c>
      <c r="J428" s="47">
        <f t="shared" si="30"/>
        <v>22901.300000000003</v>
      </c>
      <c r="K428" s="47">
        <f t="shared" si="30"/>
        <v>100000</v>
      </c>
      <c r="L428" s="47">
        <f t="shared" si="30"/>
        <v>183661.78</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t="s">
        <v>1803</v>
      </c>
      <c r="B430" s="6">
        <v>17</v>
      </c>
      <c r="C430" s="6">
        <v>15</v>
      </c>
      <c r="D430" s="2" t="s">
        <v>432</v>
      </c>
      <c r="E430" s="6"/>
      <c r="F430" s="18"/>
      <c r="G430" s="18"/>
      <c r="H430" s="18">
        <f>44279.03+515.74+173671</f>
        <v>218465.77</v>
      </c>
      <c r="I430" s="18"/>
      <c r="J430" s="18"/>
      <c r="K430" s="18"/>
      <c r="L430" s="56">
        <f>SUM(F430:K430)</f>
        <v>218465.77</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218465.77</v>
      </c>
      <c r="I434" s="47">
        <f t="shared" si="31"/>
        <v>0</v>
      </c>
      <c r="J434" s="47">
        <f t="shared" si="31"/>
        <v>0</v>
      </c>
      <c r="K434" s="47">
        <f t="shared" si="31"/>
        <v>0</v>
      </c>
      <c r="L434" s="47">
        <f t="shared" si="31"/>
        <v>218465.77</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219733.72999999998</v>
      </c>
      <c r="I435" s="47">
        <f t="shared" si="32"/>
        <v>59492.520000000004</v>
      </c>
      <c r="J435" s="47">
        <f t="shared" si="32"/>
        <v>97608.81</v>
      </c>
      <c r="K435" s="47">
        <f t="shared" si="32"/>
        <v>100000</v>
      </c>
      <c r="L435" s="47">
        <f t="shared" si="32"/>
        <v>476835.05999999994</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f>989876.16</f>
        <v>989876.16</v>
      </c>
      <c r="G440" s="18">
        <f>109561.14+990002.3</f>
        <v>1099563.44</v>
      </c>
      <c r="H440" s="18">
        <v>136351.70000000001</v>
      </c>
      <c r="I440" s="56">
        <f t="shared" ref="I440:I446" si="33">SUM(F440:H440)</f>
        <v>2225791.3000000003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4"/>
      <c r="G441" s="18"/>
      <c r="H441" s="18">
        <f>518636.66+4051791.92+2581331.06</f>
        <v>7151759.6400000006</v>
      </c>
      <c r="I441" s="56">
        <f t="shared" si="33"/>
        <v>7151759.6400000006</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14161.41</v>
      </c>
      <c r="H442" s="18"/>
      <c r="I442" s="56">
        <f t="shared" si="33"/>
        <v>14161.41</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989876.16</v>
      </c>
      <c r="G447" s="13">
        <f>SUM(G440:G446)</f>
        <v>1113724.8499999999</v>
      </c>
      <c r="H447" s="13">
        <f>SUM(H440:H446)</f>
        <v>7288111.3400000008</v>
      </c>
      <c r="I447" s="13">
        <f>SUM(I440:I446)</f>
        <v>9391712.3500000015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8187.51</v>
      </c>
      <c r="G449" s="18"/>
      <c r="H449" s="18">
        <v>168821.74</v>
      </c>
      <c r="I449" s="56">
        <f>SUM(F449:H449)</f>
        <v>177009.25</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8187.51</v>
      </c>
      <c r="G453" s="72">
        <f>SUM(G449:G452)</f>
        <v>0</v>
      </c>
      <c r="H453" s="72">
        <f>SUM(H449:H452)</f>
        <v>168821.74</v>
      </c>
      <c r="I453" s="72">
        <f>SUM(I449:I452)</f>
        <v>177009.25</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17442.990000000002</v>
      </c>
      <c r="G455" s="18">
        <v>4203.45</v>
      </c>
      <c r="H455" s="18"/>
      <c r="I455" s="56">
        <f t="shared" ref="I455:I460" si="34">SUM(F455:H455)</f>
        <v>21646.440000000002</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v>6686618.7800000003</v>
      </c>
      <c r="I458" s="56">
        <f t="shared" si="34"/>
        <v>6686618.7800000003</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f>1355521-922850.18</f>
        <v>432670.81999999995</v>
      </c>
      <c r="I459" s="56">
        <f t="shared" si="34"/>
        <v>432670.81999999995</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1037758.36-73512.7</f>
        <v>964245.66</v>
      </c>
      <c r="G460" s="18">
        <f>1041820.45+67700.95</f>
        <v>1109521.3999999999</v>
      </c>
      <c r="H460" s="18"/>
      <c r="I460" s="56">
        <f t="shared" si="34"/>
        <v>2073767.06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981688.65</v>
      </c>
      <c r="G461" s="83">
        <f>SUM(G455:G460)</f>
        <v>1113724.8499999999</v>
      </c>
      <c r="H461" s="83">
        <f>SUM(H455:H460)</f>
        <v>7119289.6000000006</v>
      </c>
      <c r="I461" s="83">
        <f>SUM(I455:I460)</f>
        <v>9214703.1000000015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989876.16</v>
      </c>
      <c r="G462" s="42">
        <f>G453+G461</f>
        <v>1113724.8499999999</v>
      </c>
      <c r="H462" s="42">
        <f>H453+H461</f>
        <v>7288111.3400000008</v>
      </c>
      <c r="I462" s="42">
        <f>I453+I461</f>
        <v>9391712.3500000015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0</v>
      </c>
      <c r="G466" s="18">
        <v>232552.45</v>
      </c>
      <c r="H466" s="18">
        <v>2035547.06</v>
      </c>
      <c r="I466" s="18">
        <v>-8195488.9100000001</v>
      </c>
      <c r="J466" s="18">
        <v>10143365.029999999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170693336.60999998</v>
      </c>
      <c r="G469" s="18">
        <f>G194</f>
        <v>7038333.6400000006</v>
      </c>
      <c r="H469" s="18">
        <f>H194</f>
        <v>16503304.48</v>
      </c>
      <c r="I469" s="18">
        <f>I194</f>
        <v>45000000</v>
      </c>
      <c r="J469" s="18">
        <f>J194</f>
        <v>-451826.87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170693336.60999998</v>
      </c>
      <c r="G471" s="53">
        <f>SUM(G469:G470)</f>
        <v>7038333.6400000006</v>
      </c>
      <c r="H471" s="53">
        <f>SUM(H469:H470)</f>
        <v>16503304.48</v>
      </c>
      <c r="I471" s="53">
        <f>SUM(I469:I470)</f>
        <v>45000000</v>
      </c>
      <c r="J471" s="53">
        <f>SUM(J469:J470)</f>
        <v>-451826.87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170693336.61000001</v>
      </c>
      <c r="G473" s="18">
        <f>L363</f>
        <v>5126823.8499999996</v>
      </c>
      <c r="H473" s="18">
        <v>15900711.789999999</v>
      </c>
      <c r="I473" s="18">
        <f>L383</f>
        <v>26546362.309999999</v>
      </c>
      <c r="J473" s="18">
        <f>L435</f>
        <v>476835.05999999994</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170693336.61000001</v>
      </c>
      <c r="G475" s="53">
        <f>SUM(G473:G474)</f>
        <v>5126823.8499999996</v>
      </c>
      <c r="H475" s="53">
        <f>SUM(H473:H474)</f>
        <v>15900711.789999999</v>
      </c>
      <c r="I475" s="53">
        <f>SUM(I473:I474)</f>
        <v>26546362.309999999</v>
      </c>
      <c r="J475" s="53">
        <f>SUM(J473:J474)</f>
        <v>476835.05999999994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0</v>
      </c>
      <c r="G477" s="53">
        <f>(G466+G471)- G475</f>
        <v>2144062.2400000012</v>
      </c>
      <c r="H477" s="53">
        <f>(H466+H471)- H475</f>
        <v>2638139.75</v>
      </c>
      <c r="I477" s="53">
        <f>(I466+I471)- I475</f>
        <v>10258148.780000005</v>
      </c>
      <c r="J477" s="53">
        <f>(J466+J471)- J475</f>
        <v>9214703.0999999996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t="s">
        <v>1802</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39282000</v>
      </c>
      <c r="G496" s="18"/>
      <c r="H496" s="18"/>
      <c r="I496" s="18"/>
      <c r="J496" s="18"/>
      <c r="K496" s="53">
        <f>SUM(F496:J496)</f>
        <v>39282000</v>
      </c>
      <c r="L496" s="24" t="s">
        <v>288</v>
      </c>
      <c r="N496" s="264"/>
    </row>
    <row r="497" spans="1:14" s="52" customFormat="1" ht="12.2" customHeight="1" x14ac:dyDescent="0.2">
      <c r="A497" s="22" t="s">
        <v>620</v>
      </c>
      <c r="B497" s="75">
        <v>20</v>
      </c>
      <c r="C497" s="115">
        <v>7</v>
      </c>
      <c r="D497" s="2" t="s">
        <v>432</v>
      </c>
      <c r="E497" s="115"/>
      <c r="F497" s="18">
        <v>47536500</v>
      </c>
      <c r="G497" s="18"/>
      <c r="H497" s="18"/>
      <c r="I497" s="18"/>
      <c r="J497" s="18"/>
      <c r="K497" s="53">
        <f t="shared" ref="K497:K504" si="35">SUM(F497:J497)</f>
        <v>47536500</v>
      </c>
      <c r="L497" s="24" t="s">
        <v>288</v>
      </c>
      <c r="N497" s="264"/>
    </row>
    <row r="498" spans="1:14" s="52" customFormat="1" ht="12.2" customHeight="1" x14ac:dyDescent="0.2">
      <c r="A498" s="22" t="s">
        <v>621</v>
      </c>
      <c r="B498" s="75">
        <v>20</v>
      </c>
      <c r="C498" s="115">
        <v>8</v>
      </c>
      <c r="D498" s="2" t="s">
        <v>432</v>
      </c>
      <c r="E498" s="115"/>
      <c r="F498" s="18">
        <v>8910000</v>
      </c>
      <c r="G498" s="18"/>
      <c r="H498" s="18"/>
      <c r="I498" s="18"/>
      <c r="J498" s="18"/>
      <c r="K498" s="53">
        <f t="shared" si="35"/>
        <v>8910000</v>
      </c>
      <c r="L498" s="24" t="s">
        <v>288</v>
      </c>
      <c r="N498" s="264"/>
    </row>
    <row r="499" spans="1:14" s="52" customFormat="1" ht="12.2" customHeight="1" x14ac:dyDescent="0.2">
      <c r="A499" s="199" t="s">
        <v>622</v>
      </c>
      <c r="B499" s="200">
        <v>20</v>
      </c>
      <c r="C499" s="201">
        <v>9</v>
      </c>
      <c r="D499" s="202" t="s">
        <v>432</v>
      </c>
      <c r="E499" s="201"/>
      <c r="F499" s="203">
        <v>77908500</v>
      </c>
      <c r="G499" s="203"/>
      <c r="H499" s="203"/>
      <c r="I499" s="203"/>
      <c r="J499" s="203"/>
      <c r="K499" s="204">
        <f t="shared" si="35"/>
        <v>77908500</v>
      </c>
      <c r="L499" s="205" t="s">
        <v>288</v>
      </c>
      <c r="N499" s="264"/>
    </row>
    <row r="500" spans="1:14" s="52" customFormat="1" ht="12.2" customHeight="1" thickBot="1" x14ac:dyDescent="0.25">
      <c r="A500" s="22" t="s">
        <v>623</v>
      </c>
      <c r="B500" s="75">
        <v>20</v>
      </c>
      <c r="C500" s="115">
        <v>10</v>
      </c>
      <c r="D500" s="2" t="s">
        <v>432</v>
      </c>
      <c r="E500" s="115"/>
      <c r="F500" s="18">
        <v>24551757</v>
      </c>
      <c r="G500" s="18"/>
      <c r="H500" s="18"/>
      <c r="I500" s="18"/>
      <c r="J500" s="18"/>
      <c r="K500" s="53">
        <f t="shared" si="35"/>
        <v>24551757</v>
      </c>
      <c r="L500" s="24" t="s">
        <v>288</v>
      </c>
      <c r="N500" s="264"/>
    </row>
    <row r="501" spans="1:14" s="52" customFormat="1" ht="12.2" customHeight="1" thickTop="1" x14ac:dyDescent="0.2">
      <c r="A501" s="139" t="s">
        <v>624</v>
      </c>
      <c r="B501" s="44">
        <v>20</v>
      </c>
      <c r="C501" s="194">
        <v>11</v>
      </c>
      <c r="D501" s="39" t="s">
        <v>432</v>
      </c>
      <c r="E501" s="194"/>
      <c r="F501" s="42">
        <f>SUM(F499:F500)</f>
        <v>102460257</v>
      </c>
      <c r="G501" s="42">
        <f>SUM(G499:G500)</f>
        <v>0</v>
      </c>
      <c r="H501" s="42">
        <f>SUM(H499:H500)</f>
        <v>0</v>
      </c>
      <c r="I501" s="42">
        <f>SUM(I499:I500)</f>
        <v>0</v>
      </c>
      <c r="J501" s="42">
        <f>SUM(J499:J500)</f>
        <v>0</v>
      </c>
      <c r="K501" s="42">
        <f t="shared" si="35"/>
        <v>102460257</v>
      </c>
      <c r="L501" s="45" t="s">
        <v>288</v>
      </c>
      <c r="N501" s="264"/>
    </row>
    <row r="502" spans="1:14" s="52" customFormat="1" ht="12.2" customHeight="1" x14ac:dyDescent="0.2">
      <c r="A502" s="199" t="s">
        <v>651</v>
      </c>
      <c r="B502" s="200">
        <v>20</v>
      </c>
      <c r="C502" s="201">
        <v>12</v>
      </c>
      <c r="D502" s="202" t="s">
        <v>432</v>
      </c>
      <c r="E502" s="201"/>
      <c r="F502" s="203">
        <v>4897000</v>
      </c>
      <c r="G502" s="203"/>
      <c r="H502" s="203"/>
      <c r="I502" s="203"/>
      <c r="J502" s="203"/>
      <c r="K502" s="204">
        <f t="shared" si="35"/>
        <v>4897000</v>
      </c>
      <c r="L502" s="205" t="s">
        <v>288</v>
      </c>
      <c r="N502" s="264"/>
    </row>
    <row r="503" spans="1:14" s="52" customFormat="1" ht="12.2" customHeight="1" thickBot="1" x14ac:dyDescent="0.25">
      <c r="A503" s="22" t="s">
        <v>625</v>
      </c>
      <c r="B503" s="75">
        <v>20</v>
      </c>
      <c r="C503" s="115">
        <v>13</v>
      </c>
      <c r="D503" s="2" t="s">
        <v>432</v>
      </c>
      <c r="E503" s="115"/>
      <c r="F503" s="18">
        <v>3238678</v>
      </c>
      <c r="G503" s="18"/>
      <c r="H503" s="18"/>
      <c r="I503" s="18"/>
      <c r="J503" s="18"/>
      <c r="K503" s="53">
        <f t="shared" si="35"/>
        <v>3238678</v>
      </c>
      <c r="L503" s="24" t="s">
        <v>288</v>
      </c>
      <c r="N503" s="264"/>
    </row>
    <row r="504" spans="1:14" s="52" customFormat="1" ht="12.2" customHeight="1" thickTop="1" x14ac:dyDescent="0.2">
      <c r="A504" s="139" t="s">
        <v>626</v>
      </c>
      <c r="B504" s="44">
        <v>20</v>
      </c>
      <c r="C504" s="194">
        <v>14</v>
      </c>
      <c r="D504" s="39" t="s">
        <v>432</v>
      </c>
      <c r="E504" s="194"/>
      <c r="F504" s="42">
        <f>SUM(F502:F503)</f>
        <v>8135678</v>
      </c>
      <c r="G504" s="42">
        <f>SUM(G502:G503)</f>
        <v>0</v>
      </c>
      <c r="H504" s="42">
        <f>SUM(H502:H503)</f>
        <v>0</v>
      </c>
      <c r="I504" s="42">
        <f>SUM(I502:I503)</f>
        <v>0</v>
      </c>
      <c r="J504" s="42">
        <f>SUM(J502:J503)</f>
        <v>0</v>
      </c>
      <c r="K504" s="42">
        <f t="shared" si="35"/>
        <v>8135678</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6"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9360798.5378083102</v>
      </c>
      <c r="G522" s="18">
        <v>3570361.3404190606</v>
      </c>
      <c r="H522" s="18">
        <v>725106.68006762327</v>
      </c>
      <c r="I522" s="18">
        <v>120795.72337425999</v>
      </c>
      <c r="J522" s="18">
        <v>55831.565892829996</v>
      </c>
      <c r="K522" s="18">
        <v>0</v>
      </c>
      <c r="L522" s="88">
        <f>SUM(F522:K522)</f>
        <v>13832893.847562086</v>
      </c>
      <c r="N522" s="264"/>
    </row>
    <row r="523" spans="1:14" s="52" customFormat="1" ht="12.2" customHeight="1" x14ac:dyDescent="0.2">
      <c r="A523" s="22" t="s">
        <v>634</v>
      </c>
      <c r="B523" s="105">
        <v>21</v>
      </c>
      <c r="C523" s="115">
        <v>2</v>
      </c>
      <c r="D523" s="2" t="s">
        <v>432</v>
      </c>
      <c r="E523" s="115"/>
      <c r="F523" s="18">
        <v>3216117.5834909799</v>
      </c>
      <c r="G523" s="18">
        <v>1356099.0018394799</v>
      </c>
      <c r="H523" s="18">
        <v>1293141.9383884801</v>
      </c>
      <c r="I523" s="18">
        <v>24379.172521079996</v>
      </c>
      <c r="J523" s="18">
        <v>11850.74642114</v>
      </c>
      <c r="K523" s="18">
        <v>0</v>
      </c>
      <c r="L523" s="88">
        <f>SUM(F523:K523)</f>
        <v>5901588.4426611597</v>
      </c>
      <c r="N523" s="264"/>
    </row>
    <row r="524" spans="1:14" s="52" customFormat="1" ht="12.2" customHeight="1" thickBot="1" x14ac:dyDescent="0.25">
      <c r="A524" s="22" t="s">
        <v>635</v>
      </c>
      <c r="B524" s="105">
        <v>21</v>
      </c>
      <c r="C524" s="115">
        <v>3</v>
      </c>
      <c r="D524" s="2" t="s">
        <v>432</v>
      </c>
      <c r="E524" s="115"/>
      <c r="F524" s="18">
        <v>3231440.6587007097</v>
      </c>
      <c r="G524" s="18">
        <v>1515816.92774146</v>
      </c>
      <c r="H524" s="18">
        <v>4189554.3220773959</v>
      </c>
      <c r="I524" s="18">
        <v>29274.644104659998</v>
      </c>
      <c r="J524" s="18">
        <v>14827.34768603</v>
      </c>
      <c r="K524" s="18">
        <v>0</v>
      </c>
      <c r="L524" s="88">
        <f>SUM(F524:K524)</f>
        <v>8980913.9003102556</v>
      </c>
      <c r="N524" s="264"/>
    </row>
    <row r="525" spans="1:14" s="52" customFormat="1" ht="12.2" customHeight="1" thickTop="1" x14ac:dyDescent="0.2">
      <c r="A525" s="139" t="s">
        <v>63</v>
      </c>
      <c r="B525" s="107">
        <v>21</v>
      </c>
      <c r="C525" s="194">
        <v>4</v>
      </c>
      <c r="D525" s="195" t="s">
        <v>432</v>
      </c>
      <c r="E525" s="194"/>
      <c r="F525" s="108">
        <f>SUM(F522:F524)</f>
        <v>15808356.779999999</v>
      </c>
      <c r="G525" s="108">
        <f t="shared" ref="G525:L525" si="36">SUM(G522:G524)</f>
        <v>6442277.2700000014</v>
      </c>
      <c r="H525" s="108">
        <f t="shared" si="36"/>
        <v>6207802.9405334992</v>
      </c>
      <c r="I525" s="108">
        <f t="shared" si="36"/>
        <v>174449.53999999998</v>
      </c>
      <c r="J525" s="108">
        <f t="shared" si="36"/>
        <v>82509.66</v>
      </c>
      <c r="K525" s="108">
        <f t="shared" si="36"/>
        <v>0</v>
      </c>
      <c r="L525" s="89">
        <f t="shared" si="36"/>
        <v>28715396.1905335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2085023.6859200001</v>
      </c>
      <c r="G527" s="18">
        <v>1011849.73696</v>
      </c>
      <c r="H527" s="18">
        <v>900288.2496000001</v>
      </c>
      <c r="I527" s="18">
        <v>9740.0769600000003</v>
      </c>
      <c r="J527" s="18">
        <v>31951.842720000004</v>
      </c>
      <c r="K527" s="18">
        <v>0</v>
      </c>
      <c r="L527" s="88">
        <f>SUM(F527:K527)</f>
        <v>4038853.5921600005</v>
      </c>
      <c r="M527" s="8"/>
      <c r="N527" s="265"/>
    </row>
    <row r="528" spans="1:14" s="3" customFormat="1" ht="12.2" customHeight="1" x14ac:dyDescent="0.15">
      <c r="A528" s="22" t="s">
        <v>634</v>
      </c>
      <c r="B528" s="105">
        <v>21</v>
      </c>
      <c r="C528" s="115">
        <v>6</v>
      </c>
      <c r="D528" s="2" t="s">
        <v>432</v>
      </c>
      <c r="E528" s="115"/>
      <c r="F528" s="18">
        <v>1014651.612674</v>
      </c>
      <c r="G528" s="18">
        <v>492404.46251200006</v>
      </c>
      <c r="H528" s="18">
        <v>438114.41111999995</v>
      </c>
      <c r="I528" s="18">
        <v>4094.4630119999997</v>
      </c>
      <c r="J528" s="18">
        <v>15548.978633999999</v>
      </c>
      <c r="K528" s="18">
        <v>0</v>
      </c>
      <c r="L528" s="88">
        <f>SUM(F528:K528)</f>
        <v>1964813.9279520002</v>
      </c>
      <c r="M528" s="8"/>
      <c r="N528" s="265"/>
    </row>
    <row r="529" spans="1:14" s="3" customFormat="1" ht="12.2" customHeight="1" thickBot="1" x14ac:dyDescent="0.2">
      <c r="A529" s="22" t="s">
        <v>635</v>
      </c>
      <c r="B529" s="118">
        <v>21</v>
      </c>
      <c r="C529" s="118">
        <v>7</v>
      </c>
      <c r="D529" s="2" t="s">
        <v>432</v>
      </c>
      <c r="E529" s="118"/>
      <c r="F529" s="18">
        <v>1393910.231406</v>
      </c>
      <c r="G529" s="18">
        <v>676456.44052799989</v>
      </c>
      <c r="H529" s="18">
        <v>601873.73927999998</v>
      </c>
      <c r="I529" s="18">
        <v>5624.900028</v>
      </c>
      <c r="J529" s="18">
        <v>21360.908645999996</v>
      </c>
      <c r="K529" s="18">
        <v>0</v>
      </c>
      <c r="L529" s="88">
        <f>SUM(F529:K529)</f>
        <v>2699226.2198879998</v>
      </c>
      <c r="M529" s="8"/>
      <c r="N529" s="265"/>
    </row>
    <row r="530" spans="1:14" s="3" customFormat="1" ht="12.2" customHeight="1" thickTop="1" x14ac:dyDescent="0.15">
      <c r="A530" s="139" t="s">
        <v>65</v>
      </c>
      <c r="B530" s="107">
        <v>21</v>
      </c>
      <c r="C530" s="107">
        <v>8</v>
      </c>
      <c r="D530" s="158" t="s">
        <v>432</v>
      </c>
      <c r="E530" s="107"/>
      <c r="F530" s="89">
        <f>SUM(F527:F529)</f>
        <v>4493585.5299999993</v>
      </c>
      <c r="G530" s="89">
        <f t="shared" ref="G530:L530" si="37">SUM(G527:G529)</f>
        <v>2180710.64</v>
      </c>
      <c r="H530" s="89">
        <f t="shared" si="37"/>
        <v>1940276.4</v>
      </c>
      <c r="I530" s="89">
        <f t="shared" si="37"/>
        <v>19459.440000000002</v>
      </c>
      <c r="J530" s="89">
        <f t="shared" si="37"/>
        <v>68861.73</v>
      </c>
      <c r="K530" s="89">
        <f t="shared" si="37"/>
        <v>0</v>
      </c>
      <c r="L530" s="89">
        <f t="shared" si="37"/>
        <v>8702893.7400000002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273855.84384000005</v>
      </c>
      <c r="G532" s="18">
        <v>95679.157120000018</v>
      </c>
      <c r="H532" s="18">
        <v>35675.753599999996</v>
      </c>
      <c r="I532" s="18">
        <v>0</v>
      </c>
      <c r="J532" s="18">
        <v>0</v>
      </c>
      <c r="K532" s="18">
        <v>0</v>
      </c>
      <c r="L532" s="88">
        <f>SUM(F532:K532)</f>
        <v>405210.75456000009</v>
      </c>
      <c r="M532" s="8"/>
      <c r="N532" s="265"/>
    </row>
    <row r="533" spans="1:14" s="3" customFormat="1" ht="12.2" customHeight="1" x14ac:dyDescent="0.15">
      <c r="A533" s="22" t="s">
        <v>634</v>
      </c>
      <c r="B533" s="105">
        <v>21</v>
      </c>
      <c r="C533" s="105">
        <v>10</v>
      </c>
      <c r="D533" s="2" t="s">
        <v>432</v>
      </c>
      <c r="E533" s="105"/>
      <c r="F533" s="18">
        <v>133268.641248</v>
      </c>
      <c r="G533" s="18">
        <v>46561.107064000003</v>
      </c>
      <c r="H533" s="18">
        <v>17361.174919999998</v>
      </c>
      <c r="I533" s="18">
        <v>0</v>
      </c>
      <c r="J533" s="18">
        <v>0</v>
      </c>
      <c r="K533" s="18">
        <v>0</v>
      </c>
      <c r="L533" s="88">
        <f>SUM(F533:K533)</f>
        <v>197190.923232</v>
      </c>
      <c r="M533" s="8"/>
      <c r="N533" s="265"/>
    </row>
    <row r="534" spans="1:14" s="3" customFormat="1" ht="12.2" customHeight="1" thickBot="1" x14ac:dyDescent="0.2">
      <c r="A534" s="22" t="s">
        <v>635</v>
      </c>
      <c r="B534" s="105">
        <v>21</v>
      </c>
      <c r="C534" s="105">
        <v>11</v>
      </c>
      <c r="D534" s="2" t="s">
        <v>432</v>
      </c>
      <c r="E534" s="105"/>
      <c r="F534" s="18">
        <v>183082.07491200001</v>
      </c>
      <c r="G534" s="18">
        <v>63964.815816000002</v>
      </c>
      <c r="H534" s="18">
        <v>23850.471479999997</v>
      </c>
      <c r="I534" s="18">
        <v>0</v>
      </c>
      <c r="J534" s="18">
        <v>0</v>
      </c>
      <c r="K534" s="18">
        <v>0</v>
      </c>
      <c r="L534" s="88">
        <f>SUM(F534:K534)</f>
        <v>270897.36220800004</v>
      </c>
      <c r="M534" s="8"/>
      <c r="N534" s="265"/>
    </row>
    <row r="535" spans="1:14" s="3" customFormat="1" ht="12.2" customHeight="1" thickTop="1" x14ac:dyDescent="0.15">
      <c r="A535" s="139" t="s">
        <v>67</v>
      </c>
      <c r="B535" s="107">
        <v>21</v>
      </c>
      <c r="C535" s="107">
        <v>12</v>
      </c>
      <c r="D535" s="158" t="s">
        <v>432</v>
      </c>
      <c r="E535" s="107"/>
      <c r="F535" s="89">
        <f>SUM(F532:F534)</f>
        <v>590206.56000000006</v>
      </c>
      <c r="G535" s="89">
        <f t="shared" ref="G535:L535" si="38">SUM(G532:G534)</f>
        <v>206205.08000000002</v>
      </c>
      <c r="H535" s="89">
        <f t="shared" si="38"/>
        <v>76887.399999999994</v>
      </c>
      <c r="I535" s="89">
        <f t="shared" si="38"/>
        <v>0</v>
      </c>
      <c r="J535" s="89">
        <f t="shared" si="38"/>
        <v>0</v>
      </c>
      <c r="K535" s="89">
        <f t="shared" si="38"/>
        <v>0</v>
      </c>
      <c r="L535" s="89">
        <f t="shared" si="38"/>
        <v>873299.04000000015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2063309.0420919999</v>
      </c>
      <c r="I542" s="18"/>
      <c r="J542" s="18"/>
      <c r="K542" s="18"/>
      <c r="L542" s="88">
        <f>SUM(F542:K542)</f>
        <v>2063309.0420919999</v>
      </c>
      <c r="M542" s="8"/>
      <c r="N542" s="265"/>
    </row>
    <row r="543" spans="1:14" s="3" customFormat="1" ht="12.2" customHeight="1" x14ac:dyDescent="0.15">
      <c r="A543" s="22" t="s">
        <v>634</v>
      </c>
      <c r="B543" s="105">
        <v>21</v>
      </c>
      <c r="C543" s="105">
        <v>18</v>
      </c>
      <c r="D543" s="2" t="s">
        <v>432</v>
      </c>
      <c r="E543" s="105"/>
      <c r="F543" s="18"/>
      <c r="G543" s="18"/>
      <c r="H543" s="18">
        <v>982916.54307999997</v>
      </c>
      <c r="I543" s="18"/>
      <c r="J543" s="18"/>
      <c r="K543" s="18"/>
      <c r="L543" s="88">
        <f>SUM(F543:K543)</f>
        <v>982916.54307999997</v>
      </c>
      <c r="M543" s="8"/>
      <c r="N543" s="265"/>
    </row>
    <row r="544" spans="1:14" s="3" customFormat="1" ht="12.2" customHeight="1" thickBot="1" x14ac:dyDescent="0.2">
      <c r="A544" s="22" t="s">
        <v>635</v>
      </c>
      <c r="B544" s="105">
        <v>21</v>
      </c>
      <c r="C544" s="105">
        <v>19</v>
      </c>
      <c r="D544" s="2" t="s">
        <v>432</v>
      </c>
      <c r="E544" s="105"/>
      <c r="F544" s="18"/>
      <c r="G544" s="18"/>
      <c r="H544" s="18">
        <v>1031858.4456399999</v>
      </c>
      <c r="I544" s="18"/>
      <c r="J544" s="18"/>
      <c r="K544" s="18"/>
      <c r="L544" s="88">
        <f>SUM(F544:K544)</f>
        <v>1031858.4456399999</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4078084.0308119999</v>
      </c>
      <c r="I545" s="192">
        <f t="shared" si="40"/>
        <v>0</v>
      </c>
      <c r="J545" s="192">
        <f t="shared" si="40"/>
        <v>0</v>
      </c>
      <c r="K545" s="192">
        <f t="shared" si="40"/>
        <v>0</v>
      </c>
      <c r="L545" s="192">
        <f t="shared" si="40"/>
        <v>4078084.0308119999</v>
      </c>
      <c r="M545" s="8"/>
      <c r="N545" s="265"/>
    </row>
    <row r="546" spans="1:14" s="3" customFormat="1" ht="12.2" customHeight="1" thickTop="1" x14ac:dyDescent="0.15">
      <c r="A546" s="98" t="s">
        <v>72</v>
      </c>
      <c r="B546" s="107">
        <v>21</v>
      </c>
      <c r="C546" s="107">
        <v>21</v>
      </c>
      <c r="D546" s="158" t="s">
        <v>432</v>
      </c>
      <c r="E546" s="107"/>
      <c r="F546" s="89">
        <f>F525+F530+F535+F540+F545</f>
        <v>20892148.869999997</v>
      </c>
      <c r="G546" s="89">
        <f t="shared" ref="G546:L546" si="41">G525+G530+G535+G540+G545</f>
        <v>8829192.9900000021</v>
      </c>
      <c r="H546" s="89">
        <f t="shared" si="41"/>
        <v>12303050.7713455</v>
      </c>
      <c r="I546" s="89">
        <f t="shared" si="41"/>
        <v>193908.97999999998</v>
      </c>
      <c r="J546" s="89">
        <f t="shared" si="41"/>
        <v>151371.39000000001</v>
      </c>
      <c r="K546" s="89">
        <f t="shared" si="41"/>
        <v>0</v>
      </c>
      <c r="L546" s="89">
        <f t="shared" si="41"/>
        <v>42369673.0013455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13832893.847562086</v>
      </c>
      <c r="G550" s="87">
        <f>L527</f>
        <v>4038853.5921600005</v>
      </c>
      <c r="H550" s="87">
        <f>L532</f>
        <v>405210.75456000009</v>
      </c>
      <c r="I550" s="87">
        <f>L537</f>
        <v>0</v>
      </c>
      <c r="J550" s="87">
        <f>L542</f>
        <v>2063309.0420919999</v>
      </c>
      <c r="K550" s="87">
        <f>SUM(F550:J550)</f>
        <v>20340267.236374088</v>
      </c>
      <c r="L550" s="24" t="s">
        <v>288</v>
      </c>
      <c r="M550" s="8"/>
      <c r="N550" s="265"/>
    </row>
    <row r="551" spans="1:14" s="3" customFormat="1" ht="12.2" customHeight="1" x14ac:dyDescent="0.15">
      <c r="A551" s="22" t="s">
        <v>634</v>
      </c>
      <c r="B551" s="75">
        <v>21</v>
      </c>
      <c r="C551" s="75">
        <v>23</v>
      </c>
      <c r="D551" s="2" t="s">
        <v>432</v>
      </c>
      <c r="E551" s="75"/>
      <c r="F551" s="87">
        <f>L523</f>
        <v>5901588.4426611597</v>
      </c>
      <c r="G551" s="87">
        <f>L528</f>
        <v>1964813.9279520002</v>
      </c>
      <c r="H551" s="87">
        <f>L533</f>
        <v>197190.923232</v>
      </c>
      <c r="I551" s="87">
        <f>L538</f>
        <v>0</v>
      </c>
      <c r="J551" s="87">
        <f>L543</f>
        <v>982916.54307999997</v>
      </c>
      <c r="K551" s="87">
        <f>SUM(F551:J551)</f>
        <v>9046509.8369251601</v>
      </c>
      <c r="L551" s="24" t="s">
        <v>288</v>
      </c>
      <c r="M551" s="8"/>
      <c r="N551" s="265"/>
    </row>
    <row r="552" spans="1:14" s="3" customFormat="1" ht="12.2" customHeight="1" thickBot="1" x14ac:dyDescent="0.2">
      <c r="A552" s="22" t="s">
        <v>635</v>
      </c>
      <c r="B552" s="75">
        <v>21</v>
      </c>
      <c r="C552" s="75">
        <v>24</v>
      </c>
      <c r="D552" s="2" t="s">
        <v>432</v>
      </c>
      <c r="E552" s="75"/>
      <c r="F552" s="87">
        <f>L524</f>
        <v>8980913.9003102556</v>
      </c>
      <c r="G552" s="87">
        <f>L529</f>
        <v>2699226.2198879998</v>
      </c>
      <c r="H552" s="87">
        <f>L534</f>
        <v>270897.36220800004</v>
      </c>
      <c r="I552" s="87">
        <f>L539</f>
        <v>0</v>
      </c>
      <c r="J552" s="87">
        <f>L544</f>
        <v>1031858.4456399999</v>
      </c>
      <c r="K552" s="87">
        <f>SUM(F552:J552)</f>
        <v>12982895.928046254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28715396.1905335</v>
      </c>
      <c r="G553" s="89">
        <f t="shared" si="42"/>
        <v>8702893.7400000002</v>
      </c>
      <c r="H553" s="89">
        <f t="shared" si="42"/>
        <v>873299.04000000015</v>
      </c>
      <c r="I553" s="89">
        <f t="shared" si="42"/>
        <v>0</v>
      </c>
      <c r="J553" s="89">
        <f t="shared" si="42"/>
        <v>4078084.0308119999</v>
      </c>
      <c r="K553" s="89">
        <f t="shared" si="42"/>
        <v>42369673.0013455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1393610.8308750002</v>
      </c>
      <c r="G563" s="18">
        <v>725324.41649999993</v>
      </c>
      <c r="H563" s="18">
        <v>27523.991875</v>
      </c>
      <c r="I563" s="18">
        <v>14661.387625000001</v>
      </c>
      <c r="J563" s="18">
        <v>13419.647499999999</v>
      </c>
      <c r="K563" s="18">
        <v>0</v>
      </c>
      <c r="L563" s="88">
        <f>SUM(F563:K563)</f>
        <v>2174540.274375</v>
      </c>
      <c r="M563" s="8"/>
      <c r="N563" s="265"/>
    </row>
    <row r="564" spans="1:14" s="3" customFormat="1" ht="12.2" customHeight="1" x14ac:dyDescent="0.15">
      <c r="A564" s="22" t="s">
        <v>634</v>
      </c>
      <c r="B564" s="105">
        <v>22</v>
      </c>
      <c r="C564" s="115">
        <v>6</v>
      </c>
      <c r="D564" s="2" t="s">
        <v>432</v>
      </c>
      <c r="E564" s="115"/>
      <c r="F564" s="18">
        <v>570877.21309900004</v>
      </c>
      <c r="G564" s="18">
        <v>247969.19968399999</v>
      </c>
      <c r="H564" s="18">
        <v>13517.636595</v>
      </c>
      <c r="I564" s="18">
        <v>6751.9271769999996</v>
      </c>
      <c r="J564" s="18">
        <v>5734.0783799999999</v>
      </c>
      <c r="K564" s="18">
        <v>0</v>
      </c>
      <c r="L564" s="88">
        <f>SUM(F564:K564)</f>
        <v>844850.05493500002</v>
      </c>
      <c r="M564" s="8"/>
      <c r="N564" s="265"/>
    </row>
    <row r="565" spans="1:14" s="3" customFormat="1" ht="12.2" customHeight="1" thickBot="1" x14ac:dyDescent="0.2">
      <c r="A565" s="22" t="s">
        <v>635</v>
      </c>
      <c r="B565" s="105">
        <v>22</v>
      </c>
      <c r="C565" s="118">
        <v>7</v>
      </c>
      <c r="D565" s="2" t="s">
        <v>432</v>
      </c>
      <c r="E565" s="118"/>
      <c r="F565" s="18">
        <v>595252.71602599998</v>
      </c>
      <c r="G565" s="18">
        <v>350519.45381600002</v>
      </c>
      <c r="H565" s="18">
        <v>12663.721530000003</v>
      </c>
      <c r="I565" s="18">
        <v>3944.6351980000004</v>
      </c>
      <c r="J565" s="18">
        <v>5371.8541200000009</v>
      </c>
      <c r="K565" s="18">
        <v>0</v>
      </c>
      <c r="L565" s="88">
        <f>SUM(F565:K565)</f>
        <v>967752.38069000002</v>
      </c>
      <c r="M565" s="8"/>
      <c r="N565" s="265"/>
    </row>
    <row r="566" spans="1:14" s="3" customFormat="1" ht="12.2" customHeight="1" thickTop="1" x14ac:dyDescent="0.15">
      <c r="A566" s="139" t="s">
        <v>65</v>
      </c>
      <c r="B566" s="107">
        <v>22</v>
      </c>
      <c r="C566" s="107">
        <v>8</v>
      </c>
      <c r="D566" s="195" t="s">
        <v>432</v>
      </c>
      <c r="E566" s="107"/>
      <c r="F566" s="89">
        <f t="shared" ref="F566:L566" si="44">SUM(F563:F565)</f>
        <v>2559740.7600000002</v>
      </c>
      <c r="G566" s="89">
        <f t="shared" si="44"/>
        <v>1323813.0699999998</v>
      </c>
      <c r="H566" s="89">
        <f t="shared" si="44"/>
        <v>53705.35</v>
      </c>
      <c r="I566" s="89">
        <f t="shared" si="44"/>
        <v>25357.95</v>
      </c>
      <c r="J566" s="89">
        <f t="shared" si="44"/>
        <v>24525.579999999998</v>
      </c>
      <c r="K566" s="89">
        <f t="shared" si="44"/>
        <v>0</v>
      </c>
      <c r="L566" s="89">
        <f t="shared" si="44"/>
        <v>3987142.71</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2559740.7600000002</v>
      </c>
      <c r="G572" s="89">
        <f t="shared" ref="G572:L572" si="46">G561+G566+G571</f>
        <v>1323813.0699999998</v>
      </c>
      <c r="H572" s="89">
        <f t="shared" si="46"/>
        <v>53705.35</v>
      </c>
      <c r="I572" s="89">
        <f t="shared" si="46"/>
        <v>25357.95</v>
      </c>
      <c r="J572" s="89">
        <f t="shared" si="46"/>
        <v>24525.579999999998</v>
      </c>
      <c r="K572" s="89">
        <f t="shared" si="46"/>
        <v>0</v>
      </c>
      <c r="L572" s="89">
        <f t="shared" si="46"/>
        <v>3987142.71</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36610.160000000003</v>
      </c>
      <c r="G580" s="18">
        <v>6210.72</v>
      </c>
      <c r="H580" s="18">
        <v>36717.850000000006</v>
      </c>
      <c r="I580" s="87">
        <f t="shared" si="47"/>
        <v>79538.73000000001</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253796.94</v>
      </c>
      <c r="G583" s="18">
        <v>1042333.5000000001</v>
      </c>
      <c r="H583" s="18">
        <v>3742088.1500000004</v>
      </c>
      <c r="I583" s="87">
        <f t="shared" si="47"/>
        <v>5038218.5900000008</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13859.34</v>
      </c>
      <c r="I585" s="87">
        <f t="shared" si="47"/>
        <v>13859.34</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1506001.1459480003</v>
      </c>
      <c r="I592" s="18">
        <v>703746.61874999979</v>
      </c>
      <c r="J592" s="18">
        <v>1561773.7344899995</v>
      </c>
      <c r="K592" s="104">
        <f t="shared" ref="K592:K598" si="48">SUM(H592:J592)</f>
        <v>3771521.4991879994</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2063309.0420919999</v>
      </c>
      <c r="I593" s="18">
        <v>982916.54307999997</v>
      </c>
      <c r="J593" s="18">
        <v>1031858.4456399999</v>
      </c>
      <c r="K593" s="104">
        <f t="shared" si="48"/>
        <v>4078084.0308119999</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1000.33</v>
      </c>
      <c r="K594" s="104">
        <f t="shared" si="48"/>
        <v>1000.33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25641.05</v>
      </c>
      <c r="J595" s="18">
        <v>158457.15000000005</v>
      </c>
      <c r="K595" s="104">
        <f t="shared" si="48"/>
        <v>184098.20000000004</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v>4282.8499999999995</v>
      </c>
      <c r="K596" s="104">
        <f t="shared" si="48"/>
        <v>4282.8499999999995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3569310.1880400004</v>
      </c>
      <c r="I599" s="108">
        <f>SUM(I592:I598)</f>
        <v>1712304.2118299997</v>
      </c>
      <c r="J599" s="108">
        <f>SUM(J592:J598)</f>
        <v>2757372.5101299994</v>
      </c>
      <c r="K599" s="108">
        <f>SUM(K592:K598)</f>
        <v>8038986.9099999992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1041439.88599</v>
      </c>
      <c r="I605" s="18">
        <v>530015.41620999994</v>
      </c>
      <c r="J605" s="18">
        <v>1745599.8577999999</v>
      </c>
      <c r="K605" s="104">
        <f>SUM(H605:J605)</f>
        <v>3317055.1599999997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1041439.88599</v>
      </c>
      <c r="I606" s="108">
        <f>SUM(I603:I605)</f>
        <v>530015.41620999994</v>
      </c>
      <c r="J606" s="108">
        <f>SUM(J603:J605)</f>
        <v>1745599.8577999999</v>
      </c>
      <c r="K606" s="108">
        <f>SUM(K603:K605)</f>
        <v>3317055.1599999997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166670.36872000003</v>
      </c>
      <c r="G612" s="18">
        <v>9509.6571199999998</v>
      </c>
      <c r="H612" s="18">
        <v>63671.63392</v>
      </c>
      <c r="I612" s="18">
        <v>12702.549199999999</v>
      </c>
      <c r="J612" s="18">
        <v>0</v>
      </c>
      <c r="K612" s="18">
        <v>0</v>
      </c>
      <c r="L612" s="88">
        <f>SUM(F612:K612)</f>
        <v>252554.20896000002</v>
      </c>
      <c r="M612" s="8"/>
      <c r="N612" s="265"/>
    </row>
    <row r="613" spans="1:14" s="3" customFormat="1" ht="12.2" customHeight="1" x14ac:dyDescent="0.15">
      <c r="A613" s="22" t="s">
        <v>634</v>
      </c>
      <c r="B613" s="75">
        <v>23</v>
      </c>
      <c r="C613" s="75">
        <v>14</v>
      </c>
      <c r="D613" s="2" t="s">
        <v>432</v>
      </c>
      <c r="E613" s="75"/>
      <c r="F613" s="18">
        <v>49632.888630000009</v>
      </c>
      <c r="G613" s="18">
        <v>2686.4322299999999</v>
      </c>
      <c r="H613" s="18">
        <v>21514.048179999998</v>
      </c>
      <c r="I613" s="18">
        <v>3540.0730499999995</v>
      </c>
      <c r="J613" s="18">
        <v>0</v>
      </c>
      <c r="K613" s="18">
        <v>0</v>
      </c>
      <c r="L613" s="88">
        <f>SUM(F613:K613)</f>
        <v>77373.442090000011</v>
      </c>
      <c r="M613" s="8"/>
      <c r="N613" s="265"/>
    </row>
    <row r="614" spans="1:14" s="3" customFormat="1" ht="12.2" customHeight="1" thickBot="1" x14ac:dyDescent="0.2">
      <c r="A614" s="22" t="s">
        <v>645</v>
      </c>
      <c r="B614" s="75">
        <v>23</v>
      </c>
      <c r="C614" s="75">
        <v>15</v>
      </c>
      <c r="D614" s="2" t="s">
        <v>432</v>
      </c>
      <c r="E614" s="75"/>
      <c r="F614" s="18">
        <v>90372.022650000014</v>
      </c>
      <c r="G614" s="18">
        <v>4891.4806500000004</v>
      </c>
      <c r="H614" s="18">
        <v>39172.977899999998</v>
      </c>
      <c r="I614" s="18">
        <v>6445.7977499999997</v>
      </c>
      <c r="J614" s="18">
        <v>0</v>
      </c>
      <c r="K614" s="18">
        <v>0</v>
      </c>
      <c r="L614" s="88">
        <f>SUM(F614:K614)</f>
        <v>140882.27895000001</v>
      </c>
      <c r="M614" s="8"/>
      <c r="N614" s="265"/>
    </row>
    <row r="615" spans="1:14" s="3" customFormat="1" ht="12.2" customHeight="1" thickTop="1" x14ac:dyDescent="0.15">
      <c r="A615" s="98" t="s">
        <v>340</v>
      </c>
      <c r="B615" s="107">
        <v>23</v>
      </c>
      <c r="C615" s="107">
        <v>16</v>
      </c>
      <c r="D615" s="39" t="s">
        <v>432</v>
      </c>
      <c r="E615" s="107"/>
      <c r="F615" s="108">
        <f t="shared" ref="F615:L615" si="49">SUM(F612:F614)</f>
        <v>306675.28000000003</v>
      </c>
      <c r="G615" s="108">
        <f t="shared" si="49"/>
        <v>17087.57</v>
      </c>
      <c r="H615" s="108">
        <f t="shared" si="49"/>
        <v>124358.66</v>
      </c>
      <c r="I615" s="108">
        <f t="shared" si="49"/>
        <v>22688.42</v>
      </c>
      <c r="J615" s="108">
        <f t="shared" si="49"/>
        <v>0</v>
      </c>
      <c r="K615" s="108">
        <f t="shared" si="49"/>
        <v>0</v>
      </c>
      <c r="L615" s="89">
        <f t="shared" si="49"/>
        <v>470809.93000000005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2144217.98</v>
      </c>
      <c r="H619" s="109">
        <f>SUM(G52)</f>
        <v>2144217.9800000004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4324884.21</v>
      </c>
      <c r="H620" s="109">
        <f>SUM(H52)</f>
        <v>4324884.2100000009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10258148.779999999</v>
      </c>
      <c r="H621" s="109">
        <f>SUM(I52)</f>
        <v>10258148.780000001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9391712.3500000015</v>
      </c>
      <c r="H622" s="109">
        <f>SUM(J52)</f>
        <v>9391712.3499999996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2144062.2400000002</v>
      </c>
      <c r="H624" s="109">
        <f>G477</f>
        <v>2144062.2400000012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2638139.7500000005</v>
      </c>
      <c r="H625" s="109">
        <f>H477</f>
        <v>2638139.75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10258148.780000001</v>
      </c>
      <c r="H626" s="109">
        <f>I477</f>
        <v>10258148.780000005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9214703.0999999996</v>
      </c>
      <c r="H627" s="109">
        <f>J477</f>
        <v>9214703.0999999996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170693336.60999998</v>
      </c>
      <c r="H628" s="104">
        <f>SUM(F469)</f>
        <v>170693336.60999998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7038333.6400000006</v>
      </c>
      <c r="H629" s="104">
        <f>SUM(G469)</f>
        <v>7038333.6400000006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16503304.48</v>
      </c>
      <c r="H630" s="104">
        <f>SUM(H469)</f>
        <v>16503304.48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45000000</v>
      </c>
      <c r="H631" s="104">
        <f>SUM(I469)</f>
        <v>45000000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-451826.87</v>
      </c>
      <c r="H632" s="104">
        <f>SUM(J469)</f>
        <v>-451826.87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170693336.61000001</v>
      </c>
      <c r="H633" s="104">
        <f>SUM(F473)</f>
        <v>170693336.61000001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15900711.789999997</v>
      </c>
      <c r="H634" s="104">
        <f>SUM(H473)</f>
        <v>15900711.789999999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2459996.4600000004</v>
      </c>
      <c r="H635" s="104">
        <f>I370</f>
        <v>2459996.46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5126823.8499999996</v>
      </c>
      <c r="H636" s="104">
        <f>SUM(G473)</f>
        <v>5126823.8499999996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26546362.309999999</v>
      </c>
      <c r="H637" s="104">
        <f>SUM(I473)</f>
        <v>26546362.309999999</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-451826.87000000005</v>
      </c>
      <c r="H638" s="164">
        <f>SUM(J469)</f>
        <v>-451826.87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476835.05999999994</v>
      </c>
      <c r="H639" s="164">
        <f>SUM(J473)</f>
        <v>476835.05999999994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989876.16</v>
      </c>
      <c r="H640" s="104">
        <f>SUM(F462)</f>
        <v>989876.16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1113724.8499999999</v>
      </c>
      <c r="H641" s="104">
        <f>SUM(G462)</f>
        <v>1113724.8499999999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7288111.3400000008</v>
      </c>
      <c r="H642" s="104">
        <f>SUM(H462)</f>
        <v>7288111.3400000008</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9391712.3500000015</v>
      </c>
      <c r="H643" s="104">
        <f>SUM(I462)</f>
        <v>9391712.3500000015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-826715.73</v>
      </c>
      <c r="H645" s="104">
        <f>H409</f>
        <v>-826715.73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-451826.87</v>
      </c>
      <c r="H647" s="104">
        <f>L409</f>
        <v>-451826.87000000005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8038986.9099999992</v>
      </c>
      <c r="H648" s="104">
        <f>L209+L227+L245</f>
        <v>8038986.9099999992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3317055.1599999997</v>
      </c>
      <c r="H649" s="104">
        <f>(J258+J339)-(J256+J337)</f>
        <v>3317055.1599999992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3569310.1880399999</v>
      </c>
      <c r="H650" s="104">
        <f>H599</f>
        <v>3569310.1880400004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1712304.2118299999</v>
      </c>
      <c r="H651" s="104">
        <f>I599</f>
        <v>1712304.2118299997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2757372.5101299994</v>
      </c>
      <c r="H652" s="104">
        <f>J599</f>
        <v>2757372.5101299994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85917617.597403705</v>
      </c>
      <c r="G661" s="19">
        <f>(L230+L310+L360)</f>
        <v>38993036.401820906</v>
      </c>
      <c r="H661" s="19">
        <f>(L248+L329+L361)</f>
        <v>58387060.690775394</v>
      </c>
      <c r="I661" s="19">
        <f>SUM(F661:H661)</f>
        <v>183297714.69</v>
      </c>
      <c r="J661" s="13"/>
      <c r="K661" s="13"/>
      <c r="L661" s="13"/>
      <c r="M661" s="9"/>
    </row>
    <row r="662" spans="1:13" s="3" customFormat="1" ht="12.2" customHeight="1" x14ac:dyDescent="0.2">
      <c r="A662" s="1" t="s">
        <v>127</v>
      </c>
      <c r="F662" s="19">
        <f>(L359/IF(SUM(L359:L361)=0,1,SUM(L359:L361))*(SUM(G97:G110)))</f>
        <v>163237.45932534835</v>
      </c>
      <c r="G662" s="19">
        <f>(L360/IF(SUM(L359:L361)=0,1,SUM(L359:L361))*(SUM(G97:G110)))</f>
        <v>76179.282369699344</v>
      </c>
      <c r="H662" s="19">
        <f>(L361/IF(SUM(L359:L361)=0,1,SUM(L359:L361))*(SUM(G97:G110)))</f>
        <v>115863.12830495232</v>
      </c>
      <c r="I662" s="19">
        <f>SUM(F662:H662)</f>
        <v>355279.87</v>
      </c>
      <c r="J662"/>
      <c r="K662" s="13"/>
      <c r="L662" s="13"/>
      <c r="M662" s="8"/>
    </row>
    <row r="663" spans="1:13" s="3" customFormat="1" ht="12.2" customHeight="1" x14ac:dyDescent="0.2">
      <c r="A663" s="1" t="s">
        <v>128</v>
      </c>
      <c r="F663" s="19">
        <f>(L209+L288)-(J209+J288)</f>
        <v>3624950.4909850997</v>
      </c>
      <c r="G663" s="19">
        <f>(L227+L307)-(J227+J307)</f>
        <v>1738729.5852806999</v>
      </c>
      <c r="H663" s="19">
        <f>(L245+L326)-(J245+J326)</f>
        <v>2792427.5737341992</v>
      </c>
      <c r="I663" s="19">
        <f>SUM(F663:H663)</f>
        <v>8156107.6499999985</v>
      </c>
      <c r="J663"/>
      <c r="K663" s="13"/>
      <c r="L663" s="13"/>
      <c r="M663" s="9"/>
    </row>
    <row r="664" spans="1:13" s="3" customFormat="1" ht="12.2" customHeight="1" x14ac:dyDescent="0.15">
      <c r="A664" s="197" t="s">
        <v>129</v>
      </c>
      <c r="B664" s="169"/>
      <c r="C664" s="169"/>
      <c r="D664" s="169"/>
      <c r="E664" s="169"/>
      <c r="F664" s="198">
        <f>SUM(F576:F588)+SUM(H603:H605)+SUM(L612)</f>
        <v>1584401.1949499999</v>
      </c>
      <c r="G664" s="198">
        <f>SUM(G576:G588)+SUM(I603:I605)+L613</f>
        <v>1655933.0783000002</v>
      </c>
      <c r="H664" s="198">
        <f>SUM(H576:H588)+SUM(J603:J605)+L614</f>
        <v>5679147.4767500004</v>
      </c>
      <c r="I664" s="19">
        <f>SUM(F664:H664)</f>
        <v>8919481.75</v>
      </c>
      <c r="J664" s="13"/>
      <c r="K664" s="13"/>
      <c r="L664" s="13"/>
      <c r="M664" s="9"/>
    </row>
    <row r="665" spans="1:13" s="3" customFormat="1" ht="12.2" customHeight="1" x14ac:dyDescent="0.15">
      <c r="A665" s="1" t="s">
        <v>130</v>
      </c>
      <c r="F665" s="19">
        <f>F661-SUM(F662:F664)</f>
        <v>80545028.452143252</v>
      </c>
      <c r="G665" s="19">
        <f>G661-SUM(G662:G664)</f>
        <v>35522194.455870509</v>
      </c>
      <c r="H665" s="19">
        <f>H661-SUM(H662:H664)</f>
        <v>49799622.511986241</v>
      </c>
      <c r="I665" s="19">
        <f>I661-SUM(I662:I664)</f>
        <v>165866845.42000002</v>
      </c>
      <c r="J665" s="13"/>
      <c r="K665" s="13"/>
      <c r="L665" s="13"/>
      <c r="M665" s="8"/>
    </row>
    <row r="666" spans="1:13" s="3" customFormat="1" ht="12.2" customHeight="1" x14ac:dyDescent="0.2">
      <c r="A666" s="1" t="s">
        <v>131</v>
      </c>
      <c r="F666" s="245">
        <v>4366.57</v>
      </c>
      <c r="G666" s="246">
        <v>2149.35</v>
      </c>
      <c r="H666" s="246">
        <v>3359.19</v>
      </c>
      <c r="I666" s="19">
        <f>SUM(F666:H666)</f>
        <v>9875.11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18445.830000000002</v>
      </c>
      <c r="G668" s="19">
        <f>ROUND(G665/G666,2)</f>
        <v>16526.95</v>
      </c>
      <c r="H668" s="19">
        <f>ROUND(H665/H666,2)</f>
        <v>14824.89</v>
      </c>
      <c r="I668" s="19">
        <f>ROUND(I665/I666,2)</f>
        <v>16796.46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14.34</v>
      </c>
      <c r="I671" s="19">
        <f>SUM(F671:H671)</f>
        <v>14.34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18445.830000000002</v>
      </c>
      <c r="G673" s="19">
        <f>ROUND((G665+G670)/(G666+G671),2)</f>
        <v>16526.95</v>
      </c>
      <c r="H673" s="19">
        <f>ROUND((H665+H670)/(H666+H671),2)</f>
        <v>14761.87</v>
      </c>
      <c r="I673" s="19">
        <f>ROUND((I665+I670)/(I666+I671),2)</f>
        <v>16772.099999999999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cnlvaE7sjchA9t0QGieTW9VQSql+RSW6baOejQvbyfoSUO6BiFhFTpJWhiinavBu+T0MYgk3nR89ZmmyO+YPnw==" saltValue="rQOZhwdb9vCWiKd8Z/hjDQ=="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6" sqref="E16"/>
    </sheetView>
  </sheetViews>
  <sheetFormatPr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2" t="s">
        <v>1643</v>
      </c>
      <c r="D2" s="372"/>
      <c r="E2" s="372"/>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2068577.58</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669086.29</v>
      </c>
      <c r="F9" s="348" t="s">
        <v>1644</v>
      </c>
    </row>
    <row r="10" spans="2:8" x14ac:dyDescent="0.25">
      <c r="B10" s="347"/>
      <c r="C10" s="347"/>
      <c r="D10" s="347"/>
      <c r="E10" s="347"/>
      <c r="F10" s="347"/>
    </row>
    <row r="11" spans="2:8" x14ac:dyDescent="0.25">
      <c r="B11" s="347"/>
      <c r="C11" s="351" t="s">
        <v>1648</v>
      </c>
      <c r="D11" s="348" t="s">
        <v>1651</v>
      </c>
      <c r="E11" s="335">
        <v>191133.06</v>
      </c>
      <c r="F11" s="348" t="s">
        <v>1645</v>
      </c>
    </row>
    <row r="12" spans="2:8" x14ac:dyDescent="0.25">
      <c r="B12" s="347"/>
      <c r="C12" s="347"/>
      <c r="D12" s="348"/>
      <c r="E12" s="347"/>
      <c r="F12" s="347"/>
    </row>
    <row r="13" spans="2:8" x14ac:dyDescent="0.25">
      <c r="B13" s="347"/>
      <c r="C13" s="348" t="s">
        <v>1638</v>
      </c>
      <c r="D13" s="348" t="s">
        <v>1652</v>
      </c>
      <c r="E13" s="335">
        <v>500172.28</v>
      </c>
      <c r="F13" s="348" t="s">
        <v>1646</v>
      </c>
    </row>
    <row r="14" spans="2:8" x14ac:dyDescent="0.25">
      <c r="B14" s="347"/>
      <c r="C14" s="347"/>
      <c r="D14" s="348"/>
      <c r="E14" s="347"/>
      <c r="F14" s="347"/>
    </row>
    <row r="15" spans="2:8" x14ac:dyDescent="0.25">
      <c r="B15" s="347"/>
      <c r="C15" s="348" t="s">
        <v>1640</v>
      </c>
      <c r="D15" s="348" t="s">
        <v>1653</v>
      </c>
      <c r="E15" s="335">
        <v>708185.95</v>
      </c>
      <c r="F15" s="348" t="s">
        <v>1647</v>
      </c>
    </row>
    <row r="16" spans="2:8" x14ac:dyDescent="0.25">
      <c r="B16" s="347"/>
      <c r="C16" s="347"/>
      <c r="D16" s="347"/>
      <c r="E16" s="347"/>
      <c r="F16" s="347"/>
    </row>
    <row r="17" spans="2:8" x14ac:dyDescent="0.25">
      <c r="B17" s="347"/>
      <c r="C17" s="348" t="s">
        <v>1639</v>
      </c>
      <c r="D17" s="348" t="s">
        <v>1654</v>
      </c>
      <c r="E17" s="335">
        <v>0</v>
      </c>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v>0</v>
      </c>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Nashua</v>
      </c>
      <c r="C5" s="375"/>
      <c r="D5" s="375"/>
      <c r="E5" s="375"/>
      <c r="F5" s="375"/>
    </row>
    <row r="8" spans="1:9" ht="18" x14ac:dyDescent="0.25">
      <c r="A8" s="312" t="s">
        <v>1568</v>
      </c>
      <c r="F8" s="319" t="s">
        <v>1586</v>
      </c>
    </row>
    <row r="9" spans="1:9" ht="15" x14ac:dyDescent="0.2">
      <c r="A9" s="310" t="s">
        <v>1569</v>
      </c>
      <c r="B9" s="313">
        <f>'DOE25'!G97</f>
        <v>174356.05</v>
      </c>
      <c r="F9" s="310" t="s">
        <v>1582</v>
      </c>
    </row>
    <row r="10" spans="1:9" ht="15" x14ac:dyDescent="0.2">
      <c r="A10" s="310" t="s">
        <v>1570</v>
      </c>
      <c r="B10" s="313">
        <f>'DOE25'!G112-'DOE25'!G97</f>
        <v>180923.82</v>
      </c>
      <c r="F10" s="310" t="s">
        <v>1583</v>
      </c>
    </row>
    <row r="11" spans="1:9" ht="15" x14ac:dyDescent="0.2">
      <c r="A11" s="310" t="s">
        <v>1571</v>
      </c>
      <c r="B11" s="313">
        <f>'DOE25'!G140</f>
        <v>388408.95</v>
      </c>
      <c r="F11" s="310" t="s">
        <v>1584</v>
      </c>
    </row>
    <row r="12" spans="1:9" ht="15" x14ac:dyDescent="0.2">
      <c r="A12" s="310" t="s">
        <v>1572</v>
      </c>
      <c r="B12" s="313">
        <f>'DOE25'!G170</f>
        <v>6294644.8200000003</v>
      </c>
      <c r="F12" s="310" t="s">
        <v>1585</v>
      </c>
    </row>
    <row r="13" spans="1:9" ht="15" x14ac:dyDescent="0.2">
      <c r="A13" s="310" t="s">
        <v>1573</v>
      </c>
      <c r="B13" s="313">
        <f>'DOE25'!G193-'DOE25'!G180</f>
        <v>0</v>
      </c>
      <c r="F13" s="310" t="s">
        <v>1595</v>
      </c>
    </row>
    <row r="14" spans="1:9" ht="18" x14ac:dyDescent="0.25">
      <c r="A14" s="312" t="s">
        <v>732</v>
      </c>
      <c r="B14" s="314">
        <f>SUM(B9:B13)</f>
        <v>7038333.6400000006</v>
      </c>
    </row>
    <row r="16" spans="1:9" ht="18" x14ac:dyDescent="0.25">
      <c r="A16" s="312" t="s">
        <v>786</v>
      </c>
      <c r="F16" s="319" t="s">
        <v>1587</v>
      </c>
    </row>
    <row r="17" spans="1:6" ht="15" x14ac:dyDescent="0.2">
      <c r="A17" s="310" t="s">
        <v>1574</v>
      </c>
      <c r="B17" s="313">
        <f>'DOE25'!L363-'DOE25'!L362</f>
        <v>5126823.8499999996</v>
      </c>
      <c r="F17" s="310" t="s">
        <v>1588</v>
      </c>
    </row>
    <row r="18" spans="1:6" ht="15" x14ac:dyDescent="0.2">
      <c r="A18" s="310" t="s">
        <v>1575</v>
      </c>
      <c r="B18" s="323"/>
      <c r="F18" s="319" t="s">
        <v>1612</v>
      </c>
    </row>
    <row r="19" spans="1:6" ht="18" x14ac:dyDescent="0.25">
      <c r="A19" s="312" t="s">
        <v>725</v>
      </c>
      <c r="B19" s="314">
        <f>SUM(B17:B18)</f>
        <v>5126823.8499999996</v>
      </c>
    </row>
    <row r="21" spans="1:6" ht="18.75" thickBot="1" x14ac:dyDescent="0.3">
      <c r="A21" s="312" t="s">
        <v>1576</v>
      </c>
    </row>
    <row r="22" spans="1:6" ht="18.75" thickTop="1" x14ac:dyDescent="0.25">
      <c r="A22" s="312" t="s">
        <v>1577</v>
      </c>
      <c r="B22" s="318">
        <f>B14-B19</f>
        <v>1911509.790000001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232552.45</v>
      </c>
      <c r="F31" s="310" t="s">
        <v>1592</v>
      </c>
    </row>
    <row r="33" spans="1:6" ht="15" x14ac:dyDescent="0.2">
      <c r="A33" s="310" t="s">
        <v>1635</v>
      </c>
      <c r="B33" s="313">
        <f>'DOE25'!G477</f>
        <v>2144062.2400000012</v>
      </c>
      <c r="F33" s="310" t="s">
        <v>1593</v>
      </c>
    </row>
    <row r="36" spans="1:6" ht="15" x14ac:dyDescent="0.2">
      <c r="A36" s="310" t="s">
        <v>1579</v>
      </c>
      <c r="B36" s="371">
        <v>285050.38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Nashua</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43352587.979999997</v>
      </c>
      <c r="C9" s="228">
        <f>'DOE25'!G198+'DOE25'!G216+'DOE25'!G234+'DOE25'!G277+'DOE25'!G296+'DOE25'!G315</f>
        <v>22499397.189999998</v>
      </c>
    </row>
    <row r="10" spans="1:3" x14ac:dyDescent="0.2">
      <c r="A10" t="s">
        <v>775</v>
      </c>
      <c r="B10" s="239">
        <v>41304773.100000001</v>
      </c>
      <c r="C10" s="239">
        <v>21436609.420000002</v>
      </c>
    </row>
    <row r="11" spans="1:3" x14ac:dyDescent="0.2">
      <c r="A11" t="s">
        <v>776</v>
      </c>
      <c r="B11" s="239">
        <v>1092608.79</v>
      </c>
      <c r="C11" s="239">
        <v>567048.93999999994</v>
      </c>
    </row>
    <row r="12" spans="1:3" x14ac:dyDescent="0.2">
      <c r="A12" t="s">
        <v>777</v>
      </c>
      <c r="B12" s="239">
        <v>955206.09</v>
      </c>
      <c r="C12" s="239">
        <v>495738.83</v>
      </c>
    </row>
    <row r="13" spans="1:3" x14ac:dyDescent="0.2">
      <c r="A13" t="str">
        <f>IF(B9=B13,IF(C9=C13,"Check Total OK","Check Total Error"),"Check Total Error")</f>
        <v>Check Total OK</v>
      </c>
      <c r="B13" s="230">
        <f>SUM(B10:B12)</f>
        <v>43352587.980000004</v>
      </c>
      <c r="C13" s="230">
        <f>SUM(C10:C12)</f>
        <v>22499397.190000001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19521884.300000001</v>
      </c>
      <c r="C18" s="228">
        <f>'DOE25'!G199+'DOE25'!G217+'DOE25'!G235+'DOE25'!G278+'DOE25'!G297+'DOE25'!G316</f>
        <v>8014504.1599999992</v>
      </c>
    </row>
    <row r="19" spans="1:3" x14ac:dyDescent="0.2">
      <c r="A19" t="s">
        <v>775</v>
      </c>
      <c r="B19" s="239">
        <v>11234858.109999999</v>
      </c>
      <c r="C19" s="239">
        <v>4612352.7699999996</v>
      </c>
    </row>
    <row r="20" spans="1:3" x14ac:dyDescent="0.2">
      <c r="A20" t="s">
        <v>776</v>
      </c>
      <c r="B20" s="239">
        <v>7185634.4100000001</v>
      </c>
      <c r="C20" s="239">
        <v>2949986.59</v>
      </c>
    </row>
    <row r="21" spans="1:3" x14ac:dyDescent="0.2">
      <c r="A21" t="s">
        <v>777</v>
      </c>
      <c r="B21" s="239">
        <v>1101391.78</v>
      </c>
      <c r="C21" s="239">
        <v>452164.8</v>
      </c>
    </row>
    <row r="22" spans="1:3" x14ac:dyDescent="0.2">
      <c r="A22" t="str">
        <f>IF(B18=B22,IF(C18=C22,"Check Total OK","Check Total Error"),"Check Total Error")</f>
        <v>Check Total OK</v>
      </c>
      <c r="B22" s="230">
        <f>SUM(B19:B21)</f>
        <v>19521884.300000001</v>
      </c>
      <c r="C22" s="230">
        <f>SUM(C19:C21)</f>
        <v>8014504.1599999992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3711670.8200000003</v>
      </c>
      <c r="C27" s="233">
        <f>'DOE25'!G200+'DOE25'!G218+'DOE25'!G236+'DOE25'!G279+'DOE25'!G298+'DOE25'!G317</f>
        <v>1912655.2700000003</v>
      </c>
    </row>
    <row r="28" spans="1:3" x14ac:dyDescent="0.2">
      <c r="A28" t="s">
        <v>775</v>
      </c>
      <c r="B28" s="239">
        <v>3589427.71</v>
      </c>
      <c r="C28" s="239">
        <v>1849662.36</v>
      </c>
    </row>
    <row r="29" spans="1:3" x14ac:dyDescent="0.2">
      <c r="A29" t="s">
        <v>776</v>
      </c>
      <c r="B29" s="239">
        <v>20363.080000000002</v>
      </c>
      <c r="C29" s="239">
        <v>10493.27</v>
      </c>
    </row>
    <row r="30" spans="1:3" x14ac:dyDescent="0.2">
      <c r="A30" t="s">
        <v>777</v>
      </c>
      <c r="B30" s="239">
        <v>101880.03</v>
      </c>
      <c r="C30" s="239">
        <v>52499.64</v>
      </c>
    </row>
    <row r="31" spans="1:3" x14ac:dyDescent="0.2">
      <c r="A31" t="str">
        <f>IF(B27=B31,IF(C27=C31,"Check Total OK","Check Total Error"),"Check Total Error")</f>
        <v>Check Total OK</v>
      </c>
      <c r="B31" s="230">
        <f>SUM(B28:B30)</f>
        <v>3711670.82</v>
      </c>
      <c r="C31" s="230">
        <f>SUM(C28:C30)</f>
        <v>1912655.27</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1742311.6600000001</v>
      </c>
      <c r="C36" s="234">
        <f>'DOE25'!G201+'DOE25'!G219+'DOE25'!G237+'DOE25'!G280+'DOE25'!G299+'DOE25'!G318</f>
        <v>193836.62999999998</v>
      </c>
    </row>
    <row r="37" spans="1:3" x14ac:dyDescent="0.2">
      <c r="A37" t="s">
        <v>775</v>
      </c>
      <c r="B37" s="239">
        <v>831104.32</v>
      </c>
      <c r="C37" s="239">
        <v>92462.47</v>
      </c>
    </row>
    <row r="38" spans="1:3" x14ac:dyDescent="0.2">
      <c r="A38" t="s">
        <v>776</v>
      </c>
      <c r="B38" s="239">
        <v>46881.760000000002</v>
      </c>
      <c r="C38" s="239">
        <v>5215.72</v>
      </c>
    </row>
    <row r="39" spans="1:3" x14ac:dyDescent="0.2">
      <c r="A39" t="s">
        <v>777</v>
      </c>
      <c r="B39" s="239">
        <v>864325.58</v>
      </c>
      <c r="C39" s="239">
        <v>96158.44</v>
      </c>
    </row>
    <row r="40" spans="1:3" x14ac:dyDescent="0.2">
      <c r="A40" t="str">
        <f>IF(B36=B40,IF(C36=C40,"Check Total OK","Check Total Error"),"Check Total Error")</f>
        <v>Check Total OK</v>
      </c>
      <c r="B40" s="230">
        <f>SUM(B37:B39)</f>
        <v>1742311.66</v>
      </c>
      <c r="C40" s="230">
        <f>SUM(C37:C39)</f>
        <v>193836.63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10" zoomScaleNormal="11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Nashua</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101514436.70999999</v>
      </c>
      <c r="D5" s="20">
        <f>SUM('DOE25'!L198:L201)+SUM('DOE25'!L216:L219)+SUM('DOE25'!L234:L237)-F5-G5-H5</f>
        <v>100642384.27</v>
      </c>
      <c r="E5" s="242"/>
      <c r="F5" s="243">
        <v>622973.4</v>
      </c>
      <c r="G5" s="53">
        <f>SUM('DOE25'!J198:J201)+SUM('DOE25'!J216:J219)+SUM('DOE25'!J234:J237)</f>
        <v>418220.24</v>
      </c>
      <c r="H5" s="53">
        <f>SUM('DOE25'!K198:K201)+SUM('DOE25'!K216:K219)+SUM('DOE25'!K234:K237)</f>
        <v>-169141.2</v>
      </c>
      <c r="I5" s="255"/>
    </row>
    <row r="6" spans="1:9" x14ac:dyDescent="0.2">
      <c r="A6" s="32">
        <v>2100</v>
      </c>
      <c r="B6" t="s">
        <v>796</v>
      </c>
      <c r="C6" s="274">
        <f t="shared" si="0"/>
        <v>16441190.449999999</v>
      </c>
      <c r="D6" s="20">
        <f>'DOE25'!L203+'DOE25'!L221+'DOE25'!L239-F6-G6-H6</f>
        <v>15490655.869999999</v>
      </c>
      <c r="E6" s="242"/>
      <c r="F6" s="243">
        <v>941961.60000000021</v>
      </c>
      <c r="G6" s="53">
        <f>'DOE25'!J203+'DOE25'!J221+'DOE25'!J239</f>
        <v>8572.98</v>
      </c>
      <c r="H6" s="53">
        <f>'DOE25'!K203+'DOE25'!K221+'DOE25'!K239</f>
        <v>0</v>
      </c>
      <c r="I6" s="255"/>
    </row>
    <row r="7" spans="1:9" x14ac:dyDescent="0.2">
      <c r="A7" s="32">
        <v>2200</v>
      </c>
      <c r="B7" t="s">
        <v>821</v>
      </c>
      <c r="C7" s="274">
        <f t="shared" si="0"/>
        <v>6264518.8899999997</v>
      </c>
      <c r="D7" s="20">
        <f>'DOE25'!L204+'DOE25'!L222+'DOE25'!L240-F7-G7-H7</f>
        <v>3816733.58</v>
      </c>
      <c r="E7" s="242"/>
      <c r="F7" s="243">
        <v>1073561.6299999997</v>
      </c>
      <c r="G7" s="53">
        <f>'DOE25'!J204+'DOE25'!J222+'DOE25'!J240</f>
        <v>1374223.6799999997</v>
      </c>
      <c r="H7" s="53">
        <f>'DOE25'!K204+'DOE25'!K222+'DOE25'!K240</f>
        <v>0</v>
      </c>
      <c r="I7" s="255"/>
    </row>
    <row r="8" spans="1:9" x14ac:dyDescent="0.2">
      <c r="A8" s="32">
        <v>2300</v>
      </c>
      <c r="B8" t="s">
        <v>797</v>
      </c>
      <c r="C8" s="274">
        <f t="shared" si="0"/>
        <v>3519792.5599999987</v>
      </c>
      <c r="D8" s="242"/>
      <c r="E8" s="20">
        <f>'DOE25'!L205+'DOE25'!L223+'DOE25'!L241-F8-G8-H8-D9-D11</f>
        <v>2876933.5999999987</v>
      </c>
      <c r="F8" s="243">
        <v>68418.610000000015</v>
      </c>
      <c r="G8" s="53">
        <f>'DOE25'!J205+'DOE25'!J223+'DOE25'!J241</f>
        <v>13873.07</v>
      </c>
      <c r="H8" s="53">
        <f>'DOE25'!K205+'DOE25'!K223+'DOE25'!K241</f>
        <v>560567.28</v>
      </c>
      <c r="I8" s="255"/>
    </row>
    <row r="9" spans="1:9" ht="14.25" x14ac:dyDescent="0.2">
      <c r="A9" s="32">
        <v>2310</v>
      </c>
      <c r="B9" s="184" t="s">
        <v>888</v>
      </c>
      <c r="C9" s="274">
        <f t="shared" si="0"/>
        <v>65768.84</v>
      </c>
      <c r="D9" s="243">
        <v>65768.84</v>
      </c>
      <c r="E9" s="242"/>
      <c r="F9" s="252"/>
      <c r="G9" s="252"/>
      <c r="H9" s="252"/>
      <c r="I9" s="255"/>
    </row>
    <row r="10" spans="1:9" ht="14.25" x14ac:dyDescent="0.2">
      <c r="A10" s="32">
        <v>2317</v>
      </c>
      <c r="B10" s="184" t="s">
        <v>889</v>
      </c>
      <c r="C10" s="274">
        <f t="shared" si="0"/>
        <v>28688</v>
      </c>
      <c r="D10" s="242"/>
      <c r="E10" s="243">
        <v>28688</v>
      </c>
      <c r="F10" s="252"/>
      <c r="G10" s="252"/>
      <c r="H10" s="252"/>
      <c r="I10" s="255"/>
    </row>
    <row r="11" spans="1:9" ht="14.25" x14ac:dyDescent="0.2">
      <c r="A11" s="32">
        <v>2321</v>
      </c>
      <c r="B11" s="184" t="s">
        <v>890</v>
      </c>
      <c r="C11" s="274">
        <f t="shared" si="0"/>
        <v>775813.78</v>
      </c>
      <c r="D11" s="243">
        <v>775813.78</v>
      </c>
      <c r="E11" s="242"/>
      <c r="F11" s="252"/>
      <c r="G11" s="252"/>
      <c r="H11" s="252"/>
      <c r="I11" s="255"/>
    </row>
    <row r="12" spans="1:9" x14ac:dyDescent="0.2">
      <c r="A12" s="32">
        <v>2400</v>
      </c>
      <c r="B12" t="s">
        <v>711</v>
      </c>
      <c r="C12" s="274">
        <f t="shared" si="0"/>
        <v>7883636.0099999998</v>
      </c>
      <c r="D12" s="20">
        <f>'DOE25'!L206+'DOE25'!L224+'DOE25'!L242-F12-G12-H12</f>
        <v>7882161.0099999998</v>
      </c>
      <c r="E12" s="242"/>
      <c r="F12" s="243"/>
      <c r="G12" s="53">
        <f>'DOE25'!J206+'DOE25'!J224+'DOE25'!J242</f>
        <v>1475</v>
      </c>
      <c r="H12" s="53">
        <f>'DOE25'!K206+'DOE25'!K224+'DOE25'!K242</f>
        <v>0</v>
      </c>
      <c r="I12" s="255"/>
    </row>
    <row r="13" spans="1:9" x14ac:dyDescent="0.2">
      <c r="A13" s="32">
        <v>2500</v>
      </c>
      <c r="B13" t="s">
        <v>798</v>
      </c>
      <c r="C13" s="274">
        <f t="shared" si="0"/>
        <v>1708747.6100000003</v>
      </c>
      <c r="D13" s="242"/>
      <c r="E13" s="20">
        <f>'DOE25'!L207+'DOE25'!L225+'DOE25'!L243-F13-G13-H13</f>
        <v>2076866.9300000002</v>
      </c>
      <c r="F13" s="243"/>
      <c r="G13" s="53">
        <f>'DOE25'!J207+'DOE25'!J225+'DOE25'!J243</f>
        <v>0</v>
      </c>
      <c r="H13" s="53">
        <f>'DOE25'!K207+'DOE25'!K225+'DOE25'!K243</f>
        <v>-368119.31999999995</v>
      </c>
      <c r="I13" s="255"/>
    </row>
    <row r="14" spans="1:9" x14ac:dyDescent="0.2">
      <c r="A14" s="32">
        <v>2600</v>
      </c>
      <c r="B14" t="s">
        <v>819</v>
      </c>
      <c r="C14" s="274">
        <f t="shared" si="0"/>
        <v>16332090.589999998</v>
      </c>
      <c r="D14" s="20">
        <f>'DOE25'!L208+'DOE25'!L226+'DOE25'!L244-F14-G14-H14</f>
        <v>15358622.289999999</v>
      </c>
      <c r="E14" s="242"/>
      <c r="F14" s="243">
        <v>474015.85000000003</v>
      </c>
      <c r="G14" s="53">
        <f>'DOE25'!J208+'DOE25'!J226+'DOE25'!J244</f>
        <v>599452.45000000007</v>
      </c>
      <c r="H14" s="53">
        <f>'DOE25'!K208+'DOE25'!K226+'DOE25'!K244</f>
        <v>-100000</v>
      </c>
      <c r="I14" s="255"/>
    </row>
    <row r="15" spans="1:9" x14ac:dyDescent="0.2">
      <c r="A15" s="32">
        <v>2700</v>
      </c>
      <c r="B15" t="s">
        <v>799</v>
      </c>
      <c r="C15" s="274">
        <f t="shared" si="0"/>
        <v>8038986.9099999992</v>
      </c>
      <c r="D15" s="20">
        <f>'DOE25'!L209+'DOE25'!L227+'DOE25'!L245-F15-G15-H15</f>
        <v>0</v>
      </c>
      <c r="E15" s="242"/>
      <c r="F15" s="243">
        <v>8038986.9099999992</v>
      </c>
      <c r="G15" s="53">
        <f>'DOE25'!J209+'DOE25'!J227+'DOE25'!J245</f>
        <v>0</v>
      </c>
      <c r="H15" s="53">
        <f>'DOE25'!K209+'DOE25'!K227+'DOE25'!K245</f>
        <v>0</v>
      </c>
      <c r="I15" s="255"/>
    </row>
    <row r="16" spans="1:9" x14ac:dyDescent="0.2">
      <c r="A16" s="32">
        <v>2800</v>
      </c>
      <c r="B16" t="s">
        <v>800</v>
      </c>
      <c r="C16" s="274">
        <f t="shared" si="0"/>
        <v>625738.64</v>
      </c>
      <c r="D16" s="242"/>
      <c r="E16" s="20">
        <f>'DOE25'!L210+'DOE25'!L228+'DOE25'!L246-F16-G16-H16</f>
        <v>625738.64</v>
      </c>
      <c r="F16" s="243"/>
      <c r="G16" s="53">
        <f>'DOE25'!J210+'DOE25'!J228+'DOE25'!J246</f>
        <v>0</v>
      </c>
      <c r="H16" s="53">
        <f>'DOE25'!K210+'DOE25'!K228+'DOE25'!K246</f>
        <v>0</v>
      </c>
      <c r="I16" s="255"/>
    </row>
    <row r="17" spans="1:9" x14ac:dyDescent="0.2">
      <c r="A17" s="32">
        <v>1600</v>
      </c>
      <c r="B17" t="s">
        <v>801</v>
      </c>
      <c r="C17" s="274">
        <f t="shared" si="0"/>
        <v>130819.62</v>
      </c>
      <c r="D17" s="20">
        <f>'DOE25'!L252-F17-G17-H17</f>
        <v>130819.62</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636525.25</v>
      </c>
      <c r="D22" s="242"/>
      <c r="E22" s="242"/>
      <c r="F22" s="242"/>
      <c r="G22" s="53">
        <f>'DOE25'!L256+'DOE25'!L337</f>
        <v>636525.25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7391796</v>
      </c>
      <c r="D25" s="242"/>
      <c r="E25" s="242"/>
      <c r="F25" s="254"/>
      <c r="G25" s="252"/>
      <c r="H25" s="252"/>
      <c r="I25" s="253">
        <f>'DOE25'!L261+'DOE25'!L262+'DOE25'!L342+'DOE25'!L343</f>
        <v>7391796</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3024258.5599999996</v>
      </c>
      <c r="D29" s="282">
        <f>'DOE25'!L359+'DOE25'!L360+'DOE25'!L361-'DOE25'!I368-F29-G29-H29</f>
        <v>3001382.8599999994</v>
      </c>
      <c r="E29" s="242"/>
      <c r="F29" s="243"/>
      <c r="G29" s="53">
        <f>'DOE25'!J359+'DOE25'!J360+'DOE25'!J361</f>
        <v>22875.699999999997</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15177784.279999999</v>
      </c>
      <c r="D31" s="20">
        <f>'DOE25'!L291+'DOE25'!L310+'DOE25'!L329+'DOE25'!L334+'DOE25'!L335+'DOE25'!L336-F31-G31-H31</f>
        <v>12658439.409999998</v>
      </c>
      <c r="E31" s="242"/>
      <c r="F31" s="243">
        <v>1073726.79</v>
      </c>
      <c r="G31" s="53">
        <f>'DOE25'!J291+'DOE25'!J310+'DOE25'!J329+'DOE25'!J334+'DOE25'!J335+'DOE25'!J336</f>
        <v>901237.74</v>
      </c>
      <c r="H31" s="53">
        <f>'DOE25'!K291+'DOE25'!K310+'DOE25'!K329+'DOE25'!K334+'DOE25'!K335+'DOE25'!K336</f>
        <v>544380.34000000008</v>
      </c>
      <c r="I31" s="255"/>
    </row>
    <row r="32" spans="1:9" ht="12" thickBot="1" x14ac:dyDescent="0.25">
      <c r="C32" s="275"/>
      <c r="G32" s="250"/>
      <c r="H32" s="250"/>
      <c r="I32" s="257"/>
    </row>
    <row r="33" spans="1:9" ht="12" thickTop="1" x14ac:dyDescent="0.2">
      <c r="B33" t="s">
        <v>809</v>
      </c>
      <c r="D33" s="244">
        <f t="shared" ref="D33:I33" si="1">SUM(D5:D31)</f>
        <v>159822781.53</v>
      </c>
      <c r="E33" s="244">
        <f t="shared" si="1"/>
        <v>5608227.169999999</v>
      </c>
      <c r="F33" s="244">
        <f t="shared" si="1"/>
        <v>12293644.789999999</v>
      </c>
      <c r="G33" s="244">
        <f t="shared" si="1"/>
        <v>3976456.1100000003</v>
      </c>
      <c r="H33" s="244">
        <f t="shared" si="1"/>
        <v>467687.10000000015</v>
      </c>
      <c r="I33" s="244">
        <f t="shared" si="1"/>
        <v>7391796</v>
      </c>
    </row>
    <row r="35" spans="1:9" ht="12" thickBot="1" x14ac:dyDescent="0.25">
      <c r="B35" s="250" t="s">
        <v>831</v>
      </c>
      <c r="D35" s="251">
        <f>E33</f>
        <v>5608227.169999999</v>
      </c>
      <c r="E35" s="247"/>
      <c r="F35" s="327" t="s">
        <v>1617</v>
      </c>
      <c r="G35" s="328"/>
      <c r="H35" s="328"/>
      <c r="I35" s="328"/>
    </row>
    <row r="36" spans="1:9" ht="12" thickTop="1" x14ac:dyDescent="0.2">
      <c r="B36" t="s">
        <v>810</v>
      </c>
      <c r="D36" s="20">
        <f>D33</f>
        <v>159822781.53</v>
      </c>
      <c r="F36" s="330" t="s">
        <v>1613</v>
      </c>
      <c r="G36" s="329" t="str">
        <f>IF(F36=0,"&lt;&lt;&lt;&lt;&lt; YOU HAVE NOT CHOSEN IF YOU WANT AN INDIRECT COST RATE!!","")</f>
        <v/>
      </c>
      <c r="H36" s="329"/>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17" sqref="D1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Nashua</v>
      </c>
      <c r="B2" s="126">
        <f>'DOE25'!B2</f>
        <v>371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83562038.882283702</v>
      </c>
      <c r="G4" s="299">
        <f>'DOE25'!L212+'DOE25'!L291</f>
        <v>83562038.882283702</v>
      </c>
      <c r="H4" s="339">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Amherst Street School</v>
      </c>
      <c r="B6" s="300">
        <f>IFERROR(VLOOKUP(A6,'School Tables'!$C$3:$D$365,2,FALSE),"")</f>
        <v>21940</v>
      </c>
      <c r="C6" s="293" t="str">
        <f>IFERROR(INDEX('School Tables'!$B$3:$B$365,MATCH('School Level Expenditures'!B6,'School Tables'!$D$3:$D$365,0)),"")</f>
        <v>Nashua</v>
      </c>
      <c r="D6" s="290">
        <v>5077688.8438640013</v>
      </c>
      <c r="E6" s="290">
        <v>966232.99253339984</v>
      </c>
      <c r="F6" s="303">
        <f t="shared" ref="F6:F20" si="0">D6+E6</f>
        <v>6043921.8363974011</v>
      </c>
      <c r="G6" s="293"/>
      <c r="H6" s="293"/>
      <c r="I6" s="384"/>
      <c r="N6"/>
    </row>
    <row r="7" spans="1:18" x14ac:dyDescent="0.2">
      <c r="A7" s="126" t="str" cm="1">
        <f t="array" ref="A7">IFERROR(INDEX('School Tables'!$A$4:$G$325,'School Tables'!$J5,3),"")</f>
        <v>Bicentennial Elementary School</v>
      </c>
      <c r="B7" s="300">
        <f>IFERROR(VLOOKUP(A7,'School Tables'!$C$3:$D$365,2,FALSE),"")</f>
        <v>21865</v>
      </c>
      <c r="C7" s="293" t="str">
        <f>IFERROR(INDEX('School Tables'!$B$3:$B$365,MATCH('School Level Expenditures'!B7,'School Tables'!$D$3:$D$365,0)),"")</f>
        <v>Nashua</v>
      </c>
      <c r="D7" s="290">
        <v>7313793.9649164993</v>
      </c>
      <c r="E7" s="290">
        <v>385734.28281079995</v>
      </c>
      <c r="F7" s="303">
        <f t="shared" si="0"/>
        <v>7699528.2477272991</v>
      </c>
      <c r="G7" s="293"/>
      <c r="H7" s="293"/>
      <c r="I7" s="340"/>
      <c r="N7"/>
    </row>
    <row r="8" spans="1:18" x14ac:dyDescent="0.2">
      <c r="A8" s="126" t="str" cm="1">
        <f t="array" ref="A8">IFERROR(INDEX('School Tables'!$A$4:$G$325,'School Tables'!$J6,3),"")</f>
        <v>Birch Hill Elementary School</v>
      </c>
      <c r="B8" s="300">
        <f>IFERROR(VLOOKUP(A8,'School Tables'!$C$3:$D$365,2,FALSE),"")</f>
        <v>21895</v>
      </c>
      <c r="C8" s="293" t="str">
        <f>IFERROR(INDEX('School Tables'!$B$3:$B$365,MATCH('School Level Expenditures'!B8,'School Tables'!$D$3:$D$365,0)),"")</f>
        <v>Nashua</v>
      </c>
      <c r="D8" s="290">
        <v>6316871.4023594987</v>
      </c>
      <c r="E8" s="290">
        <v>356680.98863939999</v>
      </c>
      <c r="F8" s="303">
        <f t="shared" si="0"/>
        <v>6673552.390998899</v>
      </c>
      <c r="G8" s="293"/>
      <c r="H8" s="293"/>
      <c r="I8" s="340"/>
      <c r="N8"/>
    </row>
    <row r="9" spans="1:18" x14ac:dyDescent="0.2">
      <c r="A9" s="126" t="str" cm="1">
        <f t="array" ref="A9">IFERROR(INDEX('School Tables'!$A$4:$G$325,'School Tables'!$J7,3),"")</f>
        <v>Broad Street Elementary School</v>
      </c>
      <c r="B9" s="300">
        <f>IFERROR(VLOOKUP(A9,'School Tables'!$C$3:$D$365,2,FALSE),"")</f>
        <v>21925</v>
      </c>
      <c r="C9" s="293" t="str">
        <f>IFERROR(INDEX('School Tables'!$B$3:$B$365,MATCH('School Level Expenditures'!B9,'School Tables'!$D$3:$D$365,0)),"")</f>
        <v>Nashua</v>
      </c>
      <c r="D9" s="290">
        <v>5300520.5979540003</v>
      </c>
      <c r="E9" s="290">
        <v>440444.60091480002</v>
      </c>
      <c r="F9" s="303">
        <f t="shared" si="0"/>
        <v>5740965.1988688</v>
      </c>
      <c r="G9" s="293"/>
      <c r="H9" s="293"/>
      <c r="I9" s="340"/>
      <c r="N9"/>
    </row>
    <row r="10" spans="1:18" x14ac:dyDescent="0.2">
      <c r="A10" s="126" t="str" cm="1">
        <f t="array" ref="A10">IFERROR(INDEX('School Tables'!$A$4:$G$325,'School Tables'!$J8,3),"")</f>
        <v>Charlotte Ave Elementary School</v>
      </c>
      <c r="B10" s="300">
        <f>IFERROR(VLOOKUP(A10,'School Tables'!$C$3:$D$365,2,FALSE),"")</f>
        <v>21930</v>
      </c>
      <c r="C10" s="293" t="str">
        <f>IFERROR(INDEX('School Tables'!$B$3:$B$365,MATCH('School Level Expenditures'!B10,'School Tables'!$D$3:$D$365,0)),"")</f>
        <v>Nashua</v>
      </c>
      <c r="D10" s="290">
        <v>6509480.6953830011</v>
      </c>
      <c r="E10" s="290">
        <v>409633.44647760002</v>
      </c>
      <c r="F10" s="303">
        <f t="shared" si="0"/>
        <v>6919114.1418606015</v>
      </c>
      <c r="G10" s="293"/>
      <c r="H10" s="293"/>
      <c r="I10" s="126"/>
      <c r="N10"/>
    </row>
    <row r="11" spans="1:18" x14ac:dyDescent="0.2">
      <c r="A11" s="126" t="str" cm="1">
        <f t="array" ref="A11">IFERROR(INDEX('School Tables'!$A$4:$G$325,'School Tables'!$J9,3),"")</f>
        <v>Dr. Norman W. Crisp School</v>
      </c>
      <c r="B11" s="300">
        <f>IFERROR(VLOOKUP(A11,'School Tables'!$C$3:$D$365,2,FALSE),"")</f>
        <v>21835</v>
      </c>
      <c r="C11" s="293" t="str">
        <f>IFERROR(INDEX('School Tables'!$B$3:$B$365,MATCH('School Level Expenditures'!B11,'School Tables'!$D$3:$D$365,0)),"")</f>
        <v>Nashua</v>
      </c>
      <c r="D11" s="290">
        <v>5326203.6225455012</v>
      </c>
      <c r="E11" s="290">
        <v>1267052.0231562001</v>
      </c>
      <c r="F11" s="303">
        <f t="shared" si="0"/>
        <v>6593255.6457017008</v>
      </c>
      <c r="G11" s="293"/>
      <c r="H11" s="293"/>
      <c r="I11" s="126"/>
      <c r="N11"/>
    </row>
    <row r="12" spans="1:18" x14ac:dyDescent="0.2">
      <c r="A12" s="126" t="str" cm="1">
        <f t="array" ref="A12">IFERROR(INDEX('School Tables'!$A$4:$G$325,'School Tables'!$J10,3),"")</f>
        <v>Fairgrounds Elementary School</v>
      </c>
      <c r="B12" s="300">
        <f>IFERROR(VLOOKUP(A12,'School Tables'!$C$3:$D$365,2,FALSE),"")</f>
        <v>21840</v>
      </c>
      <c r="C12" s="293" t="str">
        <f>IFERROR(INDEX('School Tables'!$B$3:$B$365,MATCH('School Level Expenditures'!B12,'School Tables'!$D$3:$D$365,0)),"")</f>
        <v>Nashua</v>
      </c>
      <c r="D12" s="290">
        <v>6793659.9966749977</v>
      </c>
      <c r="E12" s="290">
        <v>1042165.350458</v>
      </c>
      <c r="F12" s="303">
        <f t="shared" si="0"/>
        <v>7835825.3471329976</v>
      </c>
      <c r="G12" s="293"/>
      <c r="H12" s="293"/>
      <c r="I12" s="126"/>
      <c r="N12"/>
    </row>
    <row r="13" spans="1:18" x14ac:dyDescent="0.2">
      <c r="A13" s="126" t="str" cm="1">
        <f t="array" ref="A13">IFERROR(INDEX('School Tables'!$A$4:$G$325,'School Tables'!$J11,3),"")</f>
        <v>Ledge Street School</v>
      </c>
      <c r="B13" s="300">
        <f>IFERROR(VLOOKUP(A13,'School Tables'!$C$3:$D$365,2,FALSE),"")</f>
        <v>21915</v>
      </c>
      <c r="C13" s="293" t="str">
        <f>IFERROR(INDEX('School Tables'!$B$3:$B$365,MATCH('School Level Expenditures'!B13,'School Tables'!$D$3:$D$365,0)),"")</f>
        <v>Nashua</v>
      </c>
      <c r="D13" s="290">
        <v>6554804.0115865003</v>
      </c>
      <c r="E13" s="290">
        <v>1578261.557392</v>
      </c>
      <c r="F13" s="303">
        <f t="shared" si="0"/>
        <v>8133065.5689785006</v>
      </c>
      <c r="G13" s="293"/>
      <c r="H13" s="293"/>
      <c r="I13" s="126"/>
      <c r="N13"/>
    </row>
    <row r="14" spans="1:18" x14ac:dyDescent="0.2">
      <c r="A14" s="126" t="str" cm="1">
        <f t="array" ref="A14">IFERROR(INDEX('School Tables'!$A$4:$G$325,'School Tables'!$J12,3),"")</f>
        <v>Main Dunstable School</v>
      </c>
      <c r="B14" s="300">
        <f>IFERROR(VLOOKUP(A14,'School Tables'!$C$3:$D$365,2,FALSE),"")</f>
        <v>21935</v>
      </c>
      <c r="C14" s="293" t="str">
        <f>IFERROR(INDEX('School Tables'!$B$3:$B$365,MATCH('School Level Expenditures'!B14,'School Tables'!$D$3:$D$365,0)),"")</f>
        <v>Nashua</v>
      </c>
      <c r="D14" s="290">
        <v>6899695.9747359985</v>
      </c>
      <c r="E14" s="290">
        <v>389342.45315319998</v>
      </c>
      <c r="F14" s="303">
        <f t="shared" si="0"/>
        <v>7289038.4278891981</v>
      </c>
      <c r="G14" s="293"/>
      <c r="H14" s="293"/>
      <c r="I14" s="126"/>
      <c r="N14"/>
    </row>
    <row r="15" spans="1:18" x14ac:dyDescent="0.2">
      <c r="A15" s="126" t="str" cm="1">
        <f t="array" ref="A15">IFERROR(INDEX('School Tables'!$A$4:$G$325,'School Tables'!$J13,3),"")</f>
        <v>Mt. Pleasant School</v>
      </c>
      <c r="B15" s="300">
        <f>IFERROR(VLOOKUP(A15,'School Tables'!$C$3:$D$365,2,FALSE),"")</f>
        <v>21885</v>
      </c>
      <c r="C15" s="293" t="str">
        <f>IFERROR(INDEX('School Tables'!$B$3:$B$365,MATCH('School Level Expenditures'!B15,'School Tables'!$D$3:$D$365,0)),"")</f>
        <v>Nashua</v>
      </c>
      <c r="D15" s="290">
        <v>6026925.7882434987</v>
      </c>
      <c r="E15" s="290">
        <v>800771.12705579982</v>
      </c>
      <c r="F15" s="303">
        <f t="shared" si="0"/>
        <v>6827696.9152992982</v>
      </c>
      <c r="G15" s="293"/>
      <c r="H15" s="293"/>
      <c r="I15" s="126"/>
      <c r="N15"/>
    </row>
    <row r="16" spans="1:18" x14ac:dyDescent="0.2">
      <c r="A16" s="126" t="str" cm="1">
        <f t="array" ref="A16">IFERROR(INDEX('School Tables'!$A$4:$G$325,'School Tables'!$J14,3),"")</f>
        <v>New Searles School</v>
      </c>
      <c r="B16" s="300">
        <f>IFERROR(VLOOKUP(A16,'School Tables'!$C$3:$D$365,2,FALSE),"")</f>
        <v>21845</v>
      </c>
      <c r="C16" s="293" t="str">
        <f>IFERROR(INDEX('School Tables'!$B$3:$B$365,MATCH('School Level Expenditures'!B16,'School Tables'!$D$3:$D$365,0)),"")</f>
        <v>Nashua</v>
      </c>
      <c r="D16" s="290">
        <v>5778002.3076984985</v>
      </c>
      <c r="E16" s="290">
        <v>581971.07135320001</v>
      </c>
      <c r="F16" s="303">
        <f t="shared" si="0"/>
        <v>6359973.3790516984</v>
      </c>
      <c r="G16" s="293"/>
      <c r="H16" s="293"/>
      <c r="I16" s="126"/>
      <c r="N16"/>
    </row>
    <row r="17" spans="1:14" x14ac:dyDescent="0.2">
      <c r="A17" s="126" t="str" cm="1">
        <f t="array" ref="A17">IFERROR(INDEX('School Tables'!$A$4:$G$325,'School Tables'!$J15,3),"")</f>
        <v>Purple Panthers Preschool</v>
      </c>
      <c r="B17" s="300">
        <f>IFERROR(VLOOKUP(A17,'School Tables'!$C$3:$D$365,2,FALSE),"")</f>
        <v>28610</v>
      </c>
      <c r="C17" s="293" t="str">
        <f>IFERROR(INDEX('School Tables'!$B$3:$B$365,MATCH('School Level Expenditures'!B17,'School Tables'!$D$3:$D$365,0)),"")</f>
        <v>Nashua</v>
      </c>
      <c r="D17" s="290"/>
      <c r="E17" s="290"/>
      <c r="F17" s="303">
        <f t="shared" si="0"/>
        <v>0</v>
      </c>
      <c r="G17" s="293"/>
      <c r="H17" s="293"/>
      <c r="I17" s="126"/>
      <c r="N17"/>
    </row>
    <row r="18" spans="1:14" x14ac:dyDescent="0.2">
      <c r="A18" s="126" t="str" cm="1">
        <f t="array" ref="A18">IFERROR(INDEX('School Tables'!$A$4:$G$325,'School Tables'!$J16,3),"")</f>
        <v>Sunset Heights School</v>
      </c>
      <c r="B18" s="300">
        <f>IFERROR(VLOOKUP(A18,'School Tables'!$C$3:$D$365,2,FALSE),"")</f>
        <v>21850</v>
      </c>
      <c r="C18" s="293" t="str">
        <f>IFERROR(INDEX('School Tables'!$B$3:$B$365,MATCH('School Level Expenditures'!B18,'School Tables'!$D$3:$D$365,0)),"")</f>
        <v>Nashua</v>
      </c>
      <c r="D18" s="290">
        <v>6654164.5030264994</v>
      </c>
      <c r="E18" s="290">
        <v>791937.27935080009</v>
      </c>
      <c r="F18" s="303">
        <f t="shared" si="0"/>
        <v>7446101.7823772999</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7">
        <f>SUM(D5:D20)</f>
        <v>74551811.708988503</v>
      </c>
      <c r="E21" s="337">
        <f>SUM(E5:E20)</f>
        <v>9010227.1732951999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37893740.340580903</v>
      </c>
      <c r="G24" s="299">
        <f>'DOE25'!L230+'DOE25'!L310</f>
        <v>37893740.340580903</v>
      </c>
      <c r="H24" s="339">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Elm Street Middle School</v>
      </c>
      <c r="B26" s="300">
        <f>IFERROR(VLOOKUP(A26,'School Tables'!$N$4:$O$75,2,FALSE),"")</f>
        <v>21890</v>
      </c>
      <c r="C26" s="293" t="str">
        <f>IFERROR(INDEX('School Tables'!$M$4:$M$75,MATCH('School Level Expenditures'!A26,'School Tables'!$N$4:$N$75,0)),"")</f>
        <v>Nashua</v>
      </c>
      <c r="D26" s="290">
        <v>16340195.349132502</v>
      </c>
      <c r="E26" s="290">
        <v>924105.85485599982</v>
      </c>
      <c r="F26" s="303">
        <f t="shared" ref="F26:F32" si="1">D26+E26</f>
        <v>17264301.203988504</v>
      </c>
      <c r="G26" s="293"/>
      <c r="H26" s="293"/>
      <c r="I26" s="384"/>
      <c r="N26"/>
    </row>
    <row r="27" spans="1:14" x14ac:dyDescent="0.2">
      <c r="A27" s="126" t="str" cm="1">
        <f t="array" ref="A27">IFERROR(INDEX('School Tables'!$L$4:$R$75,'School Tables'!$U5,3),"")</f>
        <v>Fairgrounds Middle School</v>
      </c>
      <c r="B27" s="300">
        <f>IFERROR(VLOOKUP(A27,'School Tables'!$N$4:$O$75,2,FALSE),"")</f>
        <v>21875</v>
      </c>
      <c r="C27" s="293" t="str">
        <f>IFERROR(INDEX('School Tables'!$M$4:$M$75,MATCH('School Level Expenditures'!A27,'School Tables'!$N$4:$N$75,0)),"")</f>
        <v>Nashua</v>
      </c>
      <c r="D27" s="290">
        <v>10218095.8884985</v>
      </c>
      <c r="E27" s="290">
        <v>504257.89425320004</v>
      </c>
      <c r="F27" s="303">
        <f t="shared" si="1"/>
        <v>10722353.7827517</v>
      </c>
      <c r="G27" s="293"/>
      <c r="H27" s="293"/>
      <c r="I27" s="126"/>
      <c r="N27"/>
    </row>
    <row r="28" spans="1:14" x14ac:dyDescent="0.2">
      <c r="A28" s="126" t="str" cm="1">
        <f t="array" ref="A28">IFERROR(INDEX('School Tables'!$L$4:$R$75,'School Tables'!$U6,3),"")</f>
        <v>Pennichuck Middle School</v>
      </c>
      <c r="B28" s="300">
        <f>IFERROR(VLOOKUP(A28,'School Tables'!$N$4:$O$75,2,FALSE),"")</f>
        <v>21825</v>
      </c>
      <c r="C28" s="293" t="str">
        <f>IFERROR(INDEX('School Tables'!$M$4:$M$75,MATCH('School Level Expenditures'!A28,'School Tables'!$N$4:$N$75,0)),"")</f>
        <v>Nashua</v>
      </c>
      <c r="D28" s="290">
        <v>9382573.8018135019</v>
      </c>
      <c r="E28" s="290">
        <v>524511.5520272</v>
      </c>
      <c r="F28" s="303">
        <f t="shared" si="1"/>
        <v>9907085.3538407013</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7">
        <f>SUM(D25:D32)</f>
        <v>35940865.039444506</v>
      </c>
      <c r="E33" s="337">
        <f>SUM(E25:E32)</f>
        <v>1952875.3011363996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56715111.617135391</v>
      </c>
      <c r="G36" s="299">
        <f>'DOE25'!L248+'DOE25'!L329</f>
        <v>56715111.617135398</v>
      </c>
      <c r="H36" s="339">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Nashua High School North</v>
      </c>
      <c r="B38" s="300">
        <f>IFERROR(VLOOKUP(A38,'School Tables'!$Y$4:$Z$100,2,FALSE),"")</f>
        <v>27960</v>
      </c>
      <c r="C38" s="293" t="str">
        <f>IFERROR(INDEX('School Tables'!$X$4:$X$100,MATCH('School Level Expenditures'!A38,'School Tables'!$Y$4:$Y$100,0)),"")</f>
        <v>Nashua</v>
      </c>
      <c r="D38" s="290">
        <v>24930829.249211501</v>
      </c>
      <c r="E38" s="290">
        <v>1617612.3474128002</v>
      </c>
      <c r="F38" s="303">
        <f t="shared" si="2"/>
        <v>26548441.5966243</v>
      </c>
      <c r="G38" s="293"/>
      <c r="H38" s="293"/>
      <c r="I38" s="384"/>
      <c r="N38"/>
    </row>
    <row r="39" spans="1:14" x14ac:dyDescent="0.2">
      <c r="A39" s="126" t="str" cm="1">
        <f t="array" ref="A39">IFERROR(INDEX('School Tables'!$W$4:$AC$100,'School Tables'!$AF5,3),"")</f>
        <v>Nashua High School South</v>
      </c>
      <c r="B39" s="300">
        <f>IFERROR(VLOOKUP(A39,'School Tables'!$Y$4:$Z$100,2,FALSE),"")</f>
        <v>21860</v>
      </c>
      <c r="C39" s="293" t="str">
        <f>IFERROR(INDEX('School Tables'!$X$4:$X$100,MATCH('School Level Expenditures'!A39,'School Tables'!$Y$4:$Y$100,0)),"")</f>
        <v>Nashua</v>
      </c>
      <c r="D39" s="290">
        <v>28354035.642355494</v>
      </c>
      <c r="E39" s="290">
        <v>1812634.3781555998</v>
      </c>
      <c r="F39" s="303">
        <f t="shared" si="2"/>
        <v>30166670.020511094</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7">
        <f>SUM(D37:D42)</f>
        <v>53284864.891566992</v>
      </c>
      <c r="E43" s="338">
        <f>SUM(E37:E42)</f>
        <v>3430246.7255683998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Nashua</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0</v>
      </c>
      <c r="D8" s="95">
        <f>'DOE25'!G9</f>
        <v>0</v>
      </c>
      <c r="E8" s="95">
        <f>'DOE25'!H9</f>
        <v>0</v>
      </c>
      <c r="F8" s="95">
        <f>'DOE25'!I9</f>
        <v>0</v>
      </c>
      <c r="G8" s="95">
        <f>'DOE25'!J9</f>
        <v>2225791.3000000003</v>
      </c>
      <c r="H8" s="124">
        <f>SUM(C8:G8)</f>
        <v>2225791.3000000003</v>
      </c>
      <c r="I8" s="124"/>
    </row>
    <row r="9" spans="1:9" x14ac:dyDescent="0.2">
      <c r="A9" s="1" t="s">
        <v>140</v>
      </c>
      <c r="B9" s="6">
        <v>110</v>
      </c>
      <c r="C9" s="95">
        <f>'DOE25'!F10</f>
        <v>0</v>
      </c>
      <c r="D9" s="95">
        <f>'DOE25'!G10</f>
        <v>0</v>
      </c>
      <c r="E9" s="95">
        <f>'DOE25'!H10</f>
        <v>0</v>
      </c>
      <c r="F9" s="95">
        <f>'DOE25'!I10</f>
        <v>0</v>
      </c>
      <c r="G9" s="95">
        <f>'DOE25'!J10</f>
        <v>7151759.6400000006</v>
      </c>
      <c r="H9" s="124">
        <f t="shared" ref="H9:H18" si="0">SUM(C9:G9)</f>
        <v>7151759.6400000006</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336048.02</v>
      </c>
      <c r="E11" s="95">
        <f>'DOE25'!H12</f>
        <v>0</v>
      </c>
      <c r="F11" s="95">
        <f>'DOE25'!I12</f>
        <v>10258148.779999999</v>
      </c>
      <c r="G11" s="95">
        <f>'DOE25'!J12</f>
        <v>14161.41</v>
      </c>
      <c r="H11" s="124">
        <f t="shared" si="0"/>
        <v>10608358.209999999</v>
      </c>
      <c r="I11" s="124"/>
    </row>
    <row r="12" spans="1:9" x14ac:dyDescent="0.2">
      <c r="A12" s="1" t="s">
        <v>143</v>
      </c>
      <c r="B12" s="6">
        <v>140</v>
      </c>
      <c r="C12" s="95">
        <f>'DOE25'!F13</f>
        <v>0</v>
      </c>
      <c r="D12" s="95">
        <f>'DOE25'!G13</f>
        <v>1808169.96</v>
      </c>
      <c r="E12" s="95">
        <f>'DOE25'!H13</f>
        <v>4324884.21</v>
      </c>
      <c r="F12" s="95">
        <f>'DOE25'!I13</f>
        <v>0</v>
      </c>
      <c r="G12" s="95">
        <f>'DOE25'!J13</f>
        <v>0</v>
      </c>
      <c r="H12" s="124">
        <f t="shared" si="0"/>
        <v>6133054.1699999999</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0</v>
      </c>
      <c r="D18" s="41">
        <f>SUM(D8:D17)</f>
        <v>2144217.98</v>
      </c>
      <c r="E18" s="41">
        <f>SUM(E8:E17)</f>
        <v>4324884.21</v>
      </c>
      <c r="F18" s="41">
        <f>SUM(F8:F17)</f>
        <v>10258148.779999999</v>
      </c>
      <c r="G18" s="41">
        <f>SUM(G8:G17)</f>
        <v>9391712.3500000015</v>
      </c>
      <c r="H18" s="41">
        <f t="shared" si="0"/>
        <v>26118963.32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1112785.44</v>
      </c>
      <c r="F21" s="95">
        <f>'DOE25'!I22</f>
        <v>0</v>
      </c>
      <c r="G21" s="95">
        <f>'DOE25'!J22</f>
        <v>177009.25</v>
      </c>
      <c r="H21" s="124">
        <f t="shared" ref="H21:H31" si="1">SUM(C21:G21)</f>
        <v>1289794.69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155.74</v>
      </c>
      <c r="E27" s="95">
        <f>'DOE25'!H28</f>
        <v>558284.77</v>
      </c>
      <c r="F27" s="95">
        <f>'DOE25'!I28</f>
        <v>0</v>
      </c>
      <c r="G27" s="24" t="s">
        <v>288</v>
      </c>
      <c r="H27" s="124">
        <f t="shared" si="1"/>
        <v>558440.51</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15674.25</v>
      </c>
      <c r="F29" s="95">
        <f>'DOE25'!I30</f>
        <v>0</v>
      </c>
      <c r="G29" s="24" t="s">
        <v>288</v>
      </c>
      <c r="H29" s="124">
        <f t="shared" si="1"/>
        <v>15674.25</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0</v>
      </c>
      <c r="D31" s="41">
        <f>SUM(D21:D30)</f>
        <v>155.74</v>
      </c>
      <c r="E31" s="41">
        <f>SUM(E21:E30)</f>
        <v>1686744.46</v>
      </c>
      <c r="F31" s="41">
        <f>SUM(F21:F30)</f>
        <v>0</v>
      </c>
      <c r="G31" s="41">
        <f>SUM(G21:G30)</f>
        <v>177009.25</v>
      </c>
      <c r="H31" s="41">
        <f t="shared" si="1"/>
        <v>1863909.45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6686618.7800000003</v>
      </c>
      <c r="H36" s="124">
        <f t="shared" si="2"/>
        <v>6686618.7800000003</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432670.81999999995</v>
      </c>
      <c r="H38" s="124">
        <f t="shared" si="2"/>
        <v>432670.81999999995</v>
      </c>
      <c r="I38" s="124"/>
    </row>
    <row r="39" spans="1:9" x14ac:dyDescent="0.2">
      <c r="A39" s="1" t="s">
        <v>861</v>
      </c>
      <c r="B39" s="6"/>
      <c r="C39" s="24" t="s">
        <v>288</v>
      </c>
      <c r="D39" s="95">
        <f>'DOE25'!G40</f>
        <v>2137217.2400000002</v>
      </c>
      <c r="E39" s="24" t="s">
        <v>288</v>
      </c>
      <c r="F39" s="24" t="s">
        <v>288</v>
      </c>
      <c r="G39" s="24" t="s">
        <v>288</v>
      </c>
      <c r="H39" s="124">
        <f t="shared" si="2"/>
        <v>2137217.2400000002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-2709935.82</v>
      </c>
      <c r="F47" s="95">
        <f>'DOE25'!I48</f>
        <v>-38820827.390000001</v>
      </c>
      <c r="G47" s="95">
        <f>'DOE25'!J48</f>
        <v>2073767.06</v>
      </c>
      <c r="H47" s="124">
        <f t="shared" si="2"/>
        <v>-39456996.149999999</v>
      </c>
      <c r="I47" s="124"/>
    </row>
    <row r="48" spans="1:9" x14ac:dyDescent="0.2">
      <c r="A48" s="1" t="s">
        <v>882</v>
      </c>
      <c r="B48" s="6">
        <v>753</v>
      </c>
      <c r="C48" s="95">
        <f>'DOE25'!F49</f>
        <v>0</v>
      </c>
      <c r="D48" s="95">
        <f>'DOE25'!G49</f>
        <v>6845</v>
      </c>
      <c r="E48" s="95">
        <f>'DOE25'!H49</f>
        <v>5348075.57</v>
      </c>
      <c r="F48" s="95">
        <f>'DOE25'!I49</f>
        <v>49078976.170000002</v>
      </c>
      <c r="G48" s="95">
        <f>'DOE25'!J49</f>
        <v>21646.440000000002</v>
      </c>
      <c r="H48" s="124">
        <f t="shared" si="2"/>
        <v>54455543.18</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0</v>
      </c>
      <c r="D50" s="41">
        <f>SUM(D34:D49)</f>
        <v>2144062.2400000002</v>
      </c>
      <c r="E50" s="41">
        <f>SUM(E34:E49)</f>
        <v>2638139.7500000005</v>
      </c>
      <c r="F50" s="41">
        <f>SUM(F34:F49)</f>
        <v>10258148.780000001</v>
      </c>
      <c r="G50" s="41">
        <f>SUM(G34:G49)</f>
        <v>9214703.0999999996</v>
      </c>
      <c r="H50" s="41">
        <f t="shared" si="2"/>
        <v>24255053.870000001</v>
      </c>
      <c r="I50" s="124"/>
    </row>
    <row r="51" spans="1:9" ht="12" thickTop="1" x14ac:dyDescent="0.2">
      <c r="A51" s="38" t="s">
        <v>885</v>
      </c>
      <c r="B51" s="2"/>
      <c r="C51" s="41">
        <f>C50+C31</f>
        <v>0</v>
      </c>
      <c r="D51" s="41">
        <f>D50+D31</f>
        <v>2144217.9800000004</v>
      </c>
      <c r="E51" s="41">
        <f>E50+E31</f>
        <v>4324884.2100000009</v>
      </c>
      <c r="F51" s="41">
        <f>F50+F31</f>
        <v>10258148.780000001</v>
      </c>
      <c r="G51" s="41">
        <f>G50+G31</f>
        <v>9391712.3499999996</v>
      </c>
      <c r="H51" s="41">
        <f t="shared" si="2"/>
        <v>26118963.32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104986691.41999999</v>
      </c>
      <c r="D56" s="95">
        <f>'DOE25'!G60</f>
        <v>0</v>
      </c>
      <c r="E56" s="95">
        <f>'DOE25'!H60</f>
        <v>0</v>
      </c>
      <c r="F56" s="95">
        <f>'DOE25'!I60</f>
        <v>0</v>
      </c>
      <c r="G56" s="95">
        <f>'DOE25'!J60</f>
        <v>0</v>
      </c>
      <c r="H56" s="124">
        <f t="shared" ref="H56:H63" si="3">SUM(C56:G56)</f>
        <v>104986691.41999999</v>
      </c>
      <c r="I56"/>
    </row>
    <row r="57" spans="1:9" x14ac:dyDescent="0.2">
      <c r="A57" s="1" t="s">
        <v>164</v>
      </c>
      <c r="B57" s="6" t="s">
        <v>165</v>
      </c>
      <c r="C57" s="95">
        <f>'DOE25'!F79</f>
        <v>0</v>
      </c>
      <c r="D57" s="24" t="s">
        <v>288</v>
      </c>
      <c r="E57" s="95">
        <f>'DOE25'!H79</f>
        <v>816905.07000000007</v>
      </c>
      <c r="F57" s="24" t="s">
        <v>288</v>
      </c>
      <c r="G57" s="24" t="s">
        <v>288</v>
      </c>
      <c r="H57" s="124">
        <f t="shared" si="3"/>
        <v>816905.07000000007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-826715.73</v>
      </c>
      <c r="H59" s="124">
        <f t="shared" si="3"/>
        <v>-826715.73</v>
      </c>
      <c r="I59"/>
    </row>
    <row r="60" spans="1:9" x14ac:dyDescent="0.2">
      <c r="A60" s="1" t="s">
        <v>170</v>
      </c>
      <c r="B60" s="118" t="s">
        <v>171</v>
      </c>
      <c r="C60" s="24" t="s">
        <v>288</v>
      </c>
      <c r="D60" s="95">
        <f>'DOE25'!G97</f>
        <v>174356.05</v>
      </c>
      <c r="E60" s="24" t="s">
        <v>288</v>
      </c>
      <c r="F60" s="24" t="s">
        <v>288</v>
      </c>
      <c r="G60" s="24" t="s">
        <v>288</v>
      </c>
      <c r="H60" s="124">
        <f t="shared" si="3"/>
        <v>174356.05</v>
      </c>
      <c r="I60"/>
    </row>
    <row r="61" spans="1:9" ht="12" thickBot="1" x14ac:dyDescent="0.25">
      <c r="A61" s="1" t="s">
        <v>172</v>
      </c>
      <c r="B61" s="118" t="s">
        <v>173</v>
      </c>
      <c r="C61" s="95">
        <f>SUM('DOE25'!F98:F110)</f>
        <v>0</v>
      </c>
      <c r="D61" s="95">
        <f>SUM('DOE25'!G98:G110)</f>
        <v>180923.82</v>
      </c>
      <c r="E61" s="95">
        <f>SUM('DOE25'!H98:H110)</f>
        <v>379808.03</v>
      </c>
      <c r="F61" s="95">
        <f>SUM('DOE25'!I98:I110)</f>
        <v>0</v>
      </c>
      <c r="G61" s="95">
        <f>SUM('DOE25'!J98:J110)</f>
        <v>374888.86</v>
      </c>
      <c r="H61" s="124">
        <f t="shared" si="3"/>
        <v>935620.71000000008</v>
      </c>
      <c r="I61"/>
    </row>
    <row r="62" spans="1:9" ht="12.75" thickTop="1" thickBot="1" x14ac:dyDescent="0.25">
      <c r="A62" s="29" t="s">
        <v>174</v>
      </c>
      <c r="B62" s="6"/>
      <c r="C62" s="130">
        <f>SUM(C57:C61)</f>
        <v>0</v>
      </c>
      <c r="D62" s="130">
        <f>SUM(D57:D61)</f>
        <v>355279.87</v>
      </c>
      <c r="E62" s="130">
        <f>SUM(E57:E61)</f>
        <v>1196713.1000000001</v>
      </c>
      <c r="F62" s="130">
        <f>SUM(F57:F61)</f>
        <v>0</v>
      </c>
      <c r="G62" s="130">
        <f>SUM(G57:G61)</f>
        <v>-451826.87</v>
      </c>
      <c r="H62" s="124">
        <f t="shared" si="3"/>
        <v>1100166.1000000001</v>
      </c>
      <c r="I62"/>
    </row>
    <row r="63" spans="1:9" ht="12" thickTop="1" x14ac:dyDescent="0.2">
      <c r="A63" s="29" t="s">
        <v>175</v>
      </c>
      <c r="B63" s="6"/>
      <c r="C63" s="22">
        <f>C56+C62</f>
        <v>104986691.41999999</v>
      </c>
      <c r="D63" s="22">
        <f>D56+D62</f>
        <v>355279.87</v>
      </c>
      <c r="E63" s="22">
        <f>E56+E62</f>
        <v>1196713.1000000001</v>
      </c>
      <c r="F63" s="22">
        <f>F56+F62</f>
        <v>0</v>
      </c>
      <c r="G63" s="22">
        <f>G56+G62</f>
        <v>-451826.87</v>
      </c>
      <c r="H63" s="124">
        <f t="shared" si="3"/>
        <v>106086857.51999998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40376066.609999999</v>
      </c>
      <c r="D66" s="24" t="s">
        <v>288</v>
      </c>
      <c r="E66" s="24" t="s">
        <v>288</v>
      </c>
      <c r="F66" s="24" t="s">
        <v>288</v>
      </c>
      <c r="G66" s="24" t="s">
        <v>288</v>
      </c>
      <c r="H66" s="124">
        <f t="shared" ref="H66:H81" si="4">SUM(C66:G66)</f>
        <v>40376066.609999999</v>
      </c>
      <c r="I66"/>
    </row>
    <row r="67" spans="1:9" x14ac:dyDescent="0.2">
      <c r="A67" s="1" t="s">
        <v>770</v>
      </c>
      <c r="B67" s="6">
        <v>3112</v>
      </c>
      <c r="C67" s="95">
        <f>'DOE25'!F118</f>
        <v>20986522</v>
      </c>
      <c r="D67" s="24"/>
      <c r="E67" s="24"/>
      <c r="F67" s="24"/>
      <c r="G67" s="24"/>
      <c r="H67" s="124">
        <f t="shared" si="4"/>
        <v>20986522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59001.55</v>
      </c>
      <c r="D69" s="95">
        <f>'DOE25'!G120</f>
        <v>0</v>
      </c>
      <c r="E69" s="95">
        <f>'DOE25'!H120</f>
        <v>0</v>
      </c>
      <c r="F69" s="95">
        <f>'DOE25'!I120</f>
        <v>0</v>
      </c>
      <c r="G69" s="95">
        <f>'DOE25'!J120</f>
        <v>0</v>
      </c>
      <c r="H69" s="124">
        <f t="shared" si="4"/>
        <v>59001.55</v>
      </c>
      <c r="I69"/>
    </row>
    <row r="70" spans="1:9" ht="12" thickTop="1" x14ac:dyDescent="0.2">
      <c r="A70" s="29" t="s">
        <v>252</v>
      </c>
      <c r="B70" s="2"/>
      <c r="C70" s="139">
        <f>SUM(C66:C69)</f>
        <v>61421590.159999996</v>
      </c>
      <c r="D70" s="139">
        <f>D69</f>
        <v>0</v>
      </c>
      <c r="E70" s="139">
        <f>E69</f>
        <v>0</v>
      </c>
      <c r="F70" s="139">
        <f>F69</f>
        <v>0</v>
      </c>
      <c r="G70" s="139">
        <f>G69</f>
        <v>0</v>
      </c>
      <c r="H70" s="124">
        <f t="shared" si="4"/>
        <v>61421590.159999996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1255189.99</v>
      </c>
      <c r="D72" s="24" t="s">
        <v>288</v>
      </c>
      <c r="E72" s="24" t="s">
        <v>288</v>
      </c>
      <c r="F72" s="95">
        <f>'DOE25'!I123</f>
        <v>0</v>
      </c>
      <c r="G72" s="24" t="s">
        <v>288</v>
      </c>
      <c r="H72" s="124">
        <f t="shared" si="4"/>
        <v>1255189.99</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1783500.72</v>
      </c>
      <c r="D75" s="24" t="s">
        <v>288</v>
      </c>
      <c r="E75" s="24" t="s">
        <v>288</v>
      </c>
      <c r="F75" s="24" t="s">
        <v>288</v>
      </c>
      <c r="G75" s="24" t="s">
        <v>288</v>
      </c>
      <c r="H75" s="124">
        <f t="shared" si="4"/>
        <v>1783500.72</v>
      </c>
      <c r="I75"/>
    </row>
    <row r="76" spans="1:9" x14ac:dyDescent="0.2">
      <c r="A76" s="1" t="s">
        <v>257</v>
      </c>
      <c r="B76" s="6" t="s">
        <v>179</v>
      </c>
      <c r="C76" s="95">
        <f>SUM('DOE25'!F127:F130)</f>
        <v>192952.23</v>
      </c>
      <c r="D76" s="24" t="s">
        <v>288</v>
      </c>
      <c r="E76" s="95">
        <f>SUM('DOE25'!H127:H130)</f>
        <v>0</v>
      </c>
      <c r="F76" s="95">
        <f>SUM('DOE25'!I127:I130)</f>
        <v>0</v>
      </c>
      <c r="G76" s="24" t="s">
        <v>288</v>
      </c>
      <c r="H76" s="124">
        <f t="shared" si="4"/>
        <v>192952.23</v>
      </c>
      <c r="I76"/>
    </row>
    <row r="77" spans="1:9" ht="12" thickBot="1" x14ac:dyDescent="0.25">
      <c r="A77" s="1" t="s">
        <v>258</v>
      </c>
      <c r="B77" s="6" t="s">
        <v>180</v>
      </c>
      <c r="C77" s="95">
        <f>SUM('DOE25'!F131:F135)</f>
        <v>0</v>
      </c>
      <c r="D77" s="95">
        <f>SUM('DOE25'!G131:G135)</f>
        <v>388408.95</v>
      </c>
      <c r="E77" s="95">
        <f>SUM('DOE25'!H131:H135)</f>
        <v>163796.43</v>
      </c>
      <c r="F77" s="95">
        <f>SUM('DOE25'!I131:I135)</f>
        <v>0</v>
      </c>
      <c r="G77" s="95">
        <f>SUM('DOE25'!J131:J135)</f>
        <v>0</v>
      </c>
      <c r="H77" s="124">
        <f t="shared" si="4"/>
        <v>552205.38</v>
      </c>
      <c r="I77"/>
    </row>
    <row r="78" spans="1:9" ht="12.75" thickTop="1" thickBot="1" x14ac:dyDescent="0.25">
      <c r="A78" s="29" t="s">
        <v>259</v>
      </c>
      <c r="B78" s="6"/>
      <c r="C78" s="130">
        <f>SUM(C72:C77)</f>
        <v>3231642.94</v>
      </c>
      <c r="D78" s="130">
        <f>SUM(D72:D77)</f>
        <v>388408.95</v>
      </c>
      <c r="E78" s="130">
        <f>SUM(E72:E77)</f>
        <v>163796.43</v>
      </c>
      <c r="F78" s="130">
        <f>SUM(F72:F77)</f>
        <v>0</v>
      </c>
      <c r="G78" s="130">
        <f>SUM(G72:G77)</f>
        <v>0</v>
      </c>
      <c r="H78" s="124">
        <f t="shared" si="4"/>
        <v>3783848.3200000003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64653233.099999994</v>
      </c>
      <c r="D81" s="130">
        <f>SUM(D79:D80)+D78+D70</f>
        <v>388408.95</v>
      </c>
      <c r="E81" s="130">
        <f>SUM(E79:E80)+E78+E70</f>
        <v>163796.43</v>
      </c>
      <c r="F81" s="130">
        <f>SUM(F79:F80)+F78+F70</f>
        <v>0</v>
      </c>
      <c r="G81" s="130">
        <f>SUM(G79:G80)+G78+G70</f>
        <v>0</v>
      </c>
      <c r="H81" s="130">
        <f t="shared" si="4"/>
        <v>65205438.479999997</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4" t="s">
        <v>184</v>
      </c>
      <c r="C88" s="325">
        <f>SUM('DOE25'!F153:F162)</f>
        <v>953412.09</v>
      </c>
      <c r="D88" s="325">
        <f>SUM('DOE25'!G153:G162)</f>
        <v>6294644.8200000003</v>
      </c>
      <c r="E88" s="325">
        <f>SUM('DOE25'!H153:H162)</f>
        <v>15142794.950000001</v>
      </c>
      <c r="F88" s="325">
        <f>SUM('DOE25'!I153:I162)</f>
        <v>0</v>
      </c>
      <c r="G88" s="24" t="s">
        <v>288</v>
      </c>
      <c r="H88" s="124">
        <f t="shared" si="5"/>
        <v>22390851.859999999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953412.09</v>
      </c>
      <c r="D91" s="131">
        <f>SUM(D85:D90)</f>
        <v>6294644.8200000003</v>
      </c>
      <c r="E91" s="131">
        <f>SUM(E85:E90)</f>
        <v>15142794.950000001</v>
      </c>
      <c r="F91" s="131">
        <f>SUM(F85:F90)</f>
        <v>0</v>
      </c>
      <c r="G91" s="24" t="s">
        <v>288</v>
      </c>
      <c r="H91" s="124">
        <f t="shared" si="5"/>
        <v>22390851.859999999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45000000</v>
      </c>
      <c r="G93" s="24" t="s">
        <v>288</v>
      </c>
      <c r="H93" s="124">
        <f t="shared" si="5"/>
        <v>45000000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100000</v>
      </c>
      <c r="D100" s="95">
        <f>SUM('DOE25'!G187:G188)</f>
        <v>0</v>
      </c>
      <c r="E100" s="95">
        <f>SUM('DOE25'!H187:H188)</f>
        <v>0</v>
      </c>
      <c r="F100" s="95">
        <f>SUM('DOE25'!I187:I188)</f>
        <v>0</v>
      </c>
      <c r="G100" s="24" t="s">
        <v>288</v>
      </c>
      <c r="H100" s="124">
        <f t="shared" si="5"/>
        <v>100000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100000</v>
      </c>
      <c r="D103" s="86">
        <f>SUM(D93:D102)</f>
        <v>0</v>
      </c>
      <c r="E103" s="86">
        <f>SUM(E93:E102)</f>
        <v>0</v>
      </c>
      <c r="F103" s="86">
        <f>SUM(F93:F102)</f>
        <v>45000000</v>
      </c>
      <c r="G103" s="86">
        <f>SUM(G93:G102)</f>
        <v>0</v>
      </c>
      <c r="H103" s="86">
        <f t="shared" si="5"/>
        <v>45100000</v>
      </c>
    </row>
    <row r="104" spans="1:8" ht="12.75" thickTop="1" thickBot="1" x14ac:dyDescent="0.25">
      <c r="A104" s="33" t="s">
        <v>761</v>
      </c>
      <c r="C104" s="86">
        <f>C63+C81+C91+C103</f>
        <v>170693336.60999998</v>
      </c>
      <c r="D104" s="86">
        <f>D63+D81+D91+D103</f>
        <v>7038333.6400000006</v>
      </c>
      <c r="E104" s="86">
        <f>E63+E81+E91+E103</f>
        <v>16503304.48</v>
      </c>
      <c r="F104" s="86">
        <f>F63+F81+F91+F103</f>
        <v>45000000</v>
      </c>
      <c r="G104" s="86">
        <f>G63+G81+G103</f>
        <v>-451826.87</v>
      </c>
      <c r="H104" s="86">
        <f t="shared" si="5"/>
        <v>238783147.85999998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65639022.00999999</v>
      </c>
      <c r="D109" s="24" t="s">
        <v>288</v>
      </c>
      <c r="E109" s="95">
        <f>('DOE25'!L277)+('DOE25'!L296)+('DOE25'!L315)</f>
        <v>2240062.77</v>
      </c>
      <c r="F109" s="24" t="s">
        <v>288</v>
      </c>
      <c r="G109" s="24" t="s">
        <v>288</v>
      </c>
      <c r="H109" s="124">
        <f t="shared" ref="H109:H115" si="6">SUM(C109:G109)</f>
        <v>67879084.779999986</v>
      </c>
    </row>
    <row r="110" spans="1:8" x14ac:dyDescent="0.2">
      <c r="A110" t="s">
        <v>198</v>
      </c>
      <c r="B110" s="32" t="s">
        <v>199</v>
      </c>
      <c r="C110" s="95">
        <f>('DOE25'!L199)+('DOE25'!L217)+('DOE25'!L235)</f>
        <v>28762660.649999999</v>
      </c>
      <c r="D110" s="24" t="s">
        <v>288</v>
      </c>
      <c r="E110" s="95">
        <f>('DOE25'!L278)+('DOE25'!L297)+('DOE25'!L316)</f>
        <v>5667127.3899999987</v>
      </c>
      <c r="F110" s="24" t="s">
        <v>288</v>
      </c>
      <c r="G110" s="24" t="s">
        <v>288</v>
      </c>
      <c r="H110" s="124">
        <f t="shared" si="6"/>
        <v>34429788.039999999</v>
      </c>
    </row>
    <row r="111" spans="1:8" x14ac:dyDescent="0.2">
      <c r="A111" t="s">
        <v>200</v>
      </c>
      <c r="B111" s="32" t="s">
        <v>165</v>
      </c>
      <c r="C111" s="95">
        <f>('DOE25'!L200)+('DOE25'!L218)+('DOE25'!L236)</f>
        <v>5805849.6799999997</v>
      </c>
      <c r="D111" s="24" t="s">
        <v>288</v>
      </c>
      <c r="E111" s="95">
        <f>('DOE25'!L279)+('DOE25'!L298)+('DOE25'!L317)</f>
        <v>406981.18000000005</v>
      </c>
      <c r="F111" s="24" t="s">
        <v>288</v>
      </c>
      <c r="G111" s="24" t="s">
        <v>288</v>
      </c>
      <c r="H111" s="124">
        <f t="shared" si="6"/>
        <v>6212830.8599999994</v>
      </c>
    </row>
    <row r="112" spans="1:8" x14ac:dyDescent="0.2">
      <c r="A112" t="s">
        <v>201</v>
      </c>
      <c r="B112" s="32" t="s">
        <v>167</v>
      </c>
      <c r="C112" s="95">
        <f>('DOE25'!L201)+('DOE25'!L219)+('DOE25'!L237)</f>
        <v>1306904.3700000001</v>
      </c>
      <c r="D112" s="24" t="s">
        <v>288</v>
      </c>
      <c r="E112" s="95">
        <f>+('DOE25'!L280)+('DOE25'!L299)+('DOE25'!L318)</f>
        <v>1741429.7399999998</v>
      </c>
      <c r="F112" s="24" t="s">
        <v>288</v>
      </c>
      <c r="G112" s="24" t="s">
        <v>288</v>
      </c>
      <c r="H112" s="124">
        <f t="shared" si="6"/>
        <v>3048334.11</v>
      </c>
    </row>
    <row r="113" spans="1:8" x14ac:dyDescent="0.2">
      <c r="A113" t="s">
        <v>202</v>
      </c>
      <c r="B113" s="32" t="s">
        <v>169</v>
      </c>
      <c r="C113" s="95">
        <f>'DOE25'!L251</f>
        <v>0</v>
      </c>
      <c r="D113" s="24" t="s">
        <v>288</v>
      </c>
      <c r="E113" s="95">
        <f>+'DOE25'!L333</f>
        <v>86402.260000000009</v>
      </c>
      <c r="F113" s="24" t="s">
        <v>288</v>
      </c>
      <c r="G113" s="24" t="s">
        <v>288</v>
      </c>
      <c r="H113" s="124">
        <f t="shared" si="6"/>
        <v>86402.260000000009</v>
      </c>
    </row>
    <row r="114" spans="1:8" ht="12" thickBot="1" x14ac:dyDescent="0.25">
      <c r="A114" t="s">
        <v>203</v>
      </c>
      <c r="B114" s="32" t="s">
        <v>204</v>
      </c>
      <c r="C114" s="95">
        <f>SUM('DOE25'!L252:L254)</f>
        <v>130819.62</v>
      </c>
      <c r="D114" s="24" t="s">
        <v>288</v>
      </c>
      <c r="E114" s="95">
        <f>+ SUM('DOE25'!L334:L336)</f>
        <v>177614.43</v>
      </c>
      <c r="F114" s="24" t="s">
        <v>288</v>
      </c>
      <c r="G114" s="24" t="s">
        <v>288</v>
      </c>
      <c r="H114" s="124">
        <f t="shared" si="6"/>
        <v>308434.05</v>
      </c>
    </row>
    <row r="115" spans="1:8" ht="12.75" thickTop="1" thickBot="1" x14ac:dyDescent="0.25">
      <c r="A115" s="33" t="s">
        <v>205</v>
      </c>
      <c r="C115" s="86">
        <f>SUM(C109:C114)</f>
        <v>101645256.33000001</v>
      </c>
      <c r="D115" s="86">
        <f>SUM(D109:D114)</f>
        <v>0</v>
      </c>
      <c r="E115" s="86">
        <f>SUM(E109:E114)</f>
        <v>10319617.769999998</v>
      </c>
      <c r="F115" s="86">
        <f>SUM(F109:F114)</f>
        <v>0</v>
      </c>
      <c r="G115" s="86">
        <f>SUM(G109:G114)</f>
        <v>0</v>
      </c>
      <c r="H115" s="86">
        <f t="shared" si="6"/>
        <v>111964874.10000001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16441190.449999999</v>
      </c>
      <c r="D118" s="24" t="s">
        <v>288</v>
      </c>
      <c r="E118" s="95">
        <f>+('DOE25'!L282)+('DOE25'!L301)+('DOE25'!L320)</f>
        <v>1294431.23</v>
      </c>
      <c r="F118" s="24" t="s">
        <v>288</v>
      </c>
      <c r="G118" s="24" t="s">
        <v>288</v>
      </c>
      <c r="H118" s="124">
        <f t="shared" ref="H118:H145" si="7">SUM(C118:G118)</f>
        <v>17735621.68</v>
      </c>
    </row>
    <row r="119" spans="1:8" x14ac:dyDescent="0.2">
      <c r="A119" t="s">
        <v>208</v>
      </c>
      <c r="B119" s="32" t="s">
        <v>209</v>
      </c>
      <c r="C119" s="95">
        <f>('DOE25'!L204)+('DOE25'!L222)+('DOE25'!L240)</f>
        <v>6264518.8899999997</v>
      </c>
      <c r="D119" s="24" t="s">
        <v>288</v>
      </c>
      <c r="E119" s="95">
        <f>+('DOE25'!L283)+('DOE25'!L302)+('DOE25'!L321)</f>
        <v>2127853.8000000003</v>
      </c>
      <c r="F119" s="24" t="s">
        <v>288</v>
      </c>
      <c r="G119" s="24" t="s">
        <v>288</v>
      </c>
      <c r="H119" s="124">
        <f t="shared" si="7"/>
        <v>8392372.6899999995</v>
      </c>
    </row>
    <row r="120" spans="1:8" x14ac:dyDescent="0.2">
      <c r="A120" t="s">
        <v>210</v>
      </c>
      <c r="B120" s="32" t="s">
        <v>211</v>
      </c>
      <c r="C120" s="95">
        <f>('DOE25'!L205)+('DOE25'!L223)+('DOE25'!L241)</f>
        <v>4361375.18</v>
      </c>
      <c r="D120" s="24" t="s">
        <v>288</v>
      </c>
      <c r="E120" s="95">
        <f>+('DOE25'!L284)+('DOE25'!L303)+('DOE25'!L322)</f>
        <v>4500</v>
      </c>
      <c r="F120" s="24" t="s">
        <v>288</v>
      </c>
      <c r="G120" s="24" t="s">
        <v>288</v>
      </c>
      <c r="H120" s="124">
        <f t="shared" si="7"/>
        <v>4365875.18</v>
      </c>
    </row>
    <row r="121" spans="1:8" x14ac:dyDescent="0.2">
      <c r="A121" t="s">
        <v>212</v>
      </c>
      <c r="B121" s="32" t="s">
        <v>213</v>
      </c>
      <c r="C121" s="95">
        <f>('DOE25'!L206)+('DOE25'!L224)+('DOE25'!L242)</f>
        <v>7883636.0099999998</v>
      </c>
      <c r="D121" s="24" t="s">
        <v>288</v>
      </c>
      <c r="E121" s="95">
        <f>+('DOE25'!L285)+('DOE25'!L304)+('DOE25'!L323)</f>
        <v>718725.24999999988</v>
      </c>
      <c r="F121" s="24" t="s">
        <v>288</v>
      </c>
      <c r="G121" s="24" t="s">
        <v>288</v>
      </c>
      <c r="H121" s="124">
        <f t="shared" si="7"/>
        <v>8602361.2599999998</v>
      </c>
    </row>
    <row r="122" spans="1:8" x14ac:dyDescent="0.2">
      <c r="A122" t="s">
        <v>214</v>
      </c>
      <c r="B122" s="32" t="s">
        <v>215</v>
      </c>
      <c r="C122" s="95">
        <f>('DOE25'!L207)+('DOE25'!L225)+('DOE25'!L243)</f>
        <v>1708747.6100000003</v>
      </c>
      <c r="D122" s="24" t="s">
        <v>288</v>
      </c>
      <c r="E122" s="95">
        <f>+('DOE25'!L286)+('DOE25'!L305)+('DOE25'!L324)</f>
        <v>368073.36</v>
      </c>
      <c r="F122" s="24" t="s">
        <v>288</v>
      </c>
      <c r="G122" s="24" t="s">
        <v>288</v>
      </c>
      <c r="H122" s="124">
        <f t="shared" si="7"/>
        <v>2076820.9700000002</v>
      </c>
    </row>
    <row r="123" spans="1:8" x14ac:dyDescent="0.2">
      <c r="A123" t="s">
        <v>216</v>
      </c>
      <c r="B123" s="32" t="s">
        <v>217</v>
      </c>
      <c r="C123" s="95">
        <f>('DOE25'!L208)+('DOE25'!L226)+('DOE25'!L244)</f>
        <v>16332090.589999998</v>
      </c>
      <c r="D123" s="24" t="s">
        <v>288</v>
      </c>
      <c r="E123" s="95">
        <f>+('DOE25'!L287)+('DOE25'!L306)+('DOE25'!L325)</f>
        <v>313864.39</v>
      </c>
      <c r="F123" s="24" t="s">
        <v>288</v>
      </c>
      <c r="G123" s="24" t="s">
        <v>288</v>
      </c>
      <c r="H123" s="124">
        <f t="shared" si="7"/>
        <v>16645954.979999999</v>
      </c>
    </row>
    <row r="124" spans="1:8" x14ac:dyDescent="0.2">
      <c r="A124" t="s">
        <v>218</v>
      </c>
      <c r="B124" s="32" t="s">
        <v>219</v>
      </c>
      <c r="C124" s="95">
        <f>('DOE25'!L209)+('DOE25'!L227)+('DOE25'!L245+'DOE25'!L255)</f>
        <v>8038986.9099999992</v>
      </c>
      <c r="D124" s="24" t="s">
        <v>288</v>
      </c>
      <c r="E124" s="95">
        <f>+('DOE25'!L288)+('DOE25'!L307)+('DOE25'!L326)</f>
        <v>117120.73999999999</v>
      </c>
      <c r="F124" s="24" t="s">
        <v>288</v>
      </c>
      <c r="G124" s="24" t="s">
        <v>288</v>
      </c>
      <c r="H124" s="124">
        <f t="shared" si="7"/>
        <v>8156107.6499999994</v>
      </c>
    </row>
    <row r="125" spans="1:8" x14ac:dyDescent="0.2">
      <c r="A125" t="s">
        <v>220</v>
      </c>
      <c r="B125" s="32" t="s">
        <v>221</v>
      </c>
      <c r="C125" s="95">
        <f>('DOE25'!L210)+('DOE25'!L228)+('DOE25'!L246)</f>
        <v>625738.64</v>
      </c>
      <c r="D125" s="24" t="s">
        <v>288</v>
      </c>
      <c r="E125" s="95">
        <f>+('DOE25'!L289)+('DOE25'!L308)+('DOE25'!L327)</f>
        <v>0</v>
      </c>
      <c r="F125" s="24" t="s">
        <v>288</v>
      </c>
      <c r="G125" s="24" t="s">
        <v>288</v>
      </c>
      <c r="H125" s="124">
        <f t="shared" si="7"/>
        <v>625738.64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5126823.8499999996</v>
      </c>
      <c r="E127" s="24" t="s">
        <v>288</v>
      </c>
      <c r="F127" s="24" t="s">
        <v>288</v>
      </c>
      <c r="G127" s="24" t="s">
        <v>288</v>
      </c>
      <c r="H127" s="124">
        <f t="shared" si="7"/>
        <v>5126823.8499999996</v>
      </c>
    </row>
    <row r="128" spans="1:8" ht="12.75" thickTop="1" thickBot="1" x14ac:dyDescent="0.25">
      <c r="A128" s="33" t="s">
        <v>226</v>
      </c>
      <c r="C128" s="86">
        <f>SUM(C118:C127)</f>
        <v>61656284.279999994</v>
      </c>
      <c r="D128" s="86">
        <f>SUM(D118:D127)</f>
        <v>5126823.8499999996</v>
      </c>
      <c r="E128" s="86">
        <f>SUM(E118:E127)</f>
        <v>4944568.7700000005</v>
      </c>
      <c r="F128" s="86">
        <f>SUM(F118:F127)</f>
        <v>0</v>
      </c>
      <c r="G128" s="86">
        <f>SUM(G118:G127)</f>
        <v>0</v>
      </c>
      <c r="H128" s="86">
        <f t="shared" si="7"/>
        <v>71727676.899999991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636525.25</v>
      </c>
      <c r="F130" s="129">
        <f>SUM('DOE25'!L375:'DOE25'!L381)</f>
        <v>26546362.309999999</v>
      </c>
      <c r="G130" s="24" t="s">
        <v>288</v>
      </c>
      <c r="H130" s="124">
        <f t="shared" si="7"/>
        <v>27182887.559999999</v>
      </c>
    </row>
    <row r="131" spans="1:8" x14ac:dyDescent="0.2">
      <c r="A131" t="s">
        <v>229</v>
      </c>
      <c r="B131" s="32">
        <v>5110</v>
      </c>
      <c r="C131" s="95">
        <f>'DOE25'!L261</f>
        <v>5860000</v>
      </c>
      <c r="D131" s="24" t="s">
        <v>288</v>
      </c>
      <c r="E131" s="129">
        <f>'DOE25'!L342</f>
        <v>0</v>
      </c>
      <c r="F131" s="24" t="s">
        <v>288</v>
      </c>
      <c r="G131" s="24" t="s">
        <v>288</v>
      </c>
      <c r="H131" s="124">
        <f t="shared" si="7"/>
        <v>5860000</v>
      </c>
    </row>
    <row r="132" spans="1:8" x14ac:dyDescent="0.2">
      <c r="A132" t="s">
        <v>230</v>
      </c>
      <c r="B132" s="32">
        <v>5120</v>
      </c>
      <c r="C132" s="95">
        <f>'DOE25'!L262</f>
        <v>1531796</v>
      </c>
      <c r="D132" s="24" t="s">
        <v>288</v>
      </c>
      <c r="E132" s="129">
        <f>'DOE25'!L343</f>
        <v>0</v>
      </c>
      <c r="F132" s="24" t="s">
        <v>288</v>
      </c>
      <c r="G132" s="24" t="s">
        <v>288</v>
      </c>
      <c r="H132" s="124">
        <f t="shared" si="7"/>
        <v>1531796</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100000</v>
      </c>
      <c r="H134" s="124">
        <f t="shared" si="7"/>
        <v>100000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1194.81</v>
      </c>
      <c r="D138" s="24" t="s">
        <v>288</v>
      </c>
      <c r="E138" s="24" t="s">
        <v>288</v>
      </c>
      <c r="F138" s="24" t="s">
        <v>288</v>
      </c>
      <c r="G138" s="24" t="s">
        <v>288</v>
      </c>
      <c r="H138" s="124">
        <f t="shared" si="7"/>
        <v>1194.81</v>
      </c>
    </row>
    <row r="139" spans="1:8" x14ac:dyDescent="0.2">
      <c r="A139" t="s">
        <v>239</v>
      </c>
      <c r="B139" s="32">
        <v>5252</v>
      </c>
      <c r="C139" s="95">
        <f>'DOE25'!L402</f>
        <v>251362.72999999998</v>
      </c>
      <c r="D139" s="24" t="s">
        <v>288</v>
      </c>
      <c r="E139" s="24" t="s">
        <v>288</v>
      </c>
      <c r="F139" s="24" t="s">
        <v>288</v>
      </c>
      <c r="G139" s="24" t="s">
        <v>288</v>
      </c>
      <c r="H139" s="124">
        <f t="shared" si="7"/>
        <v>251362.72999999998</v>
      </c>
    </row>
    <row r="140" spans="1:8" x14ac:dyDescent="0.2">
      <c r="A140" t="s">
        <v>240</v>
      </c>
      <c r="B140" s="32">
        <v>5253</v>
      </c>
      <c r="C140" s="95">
        <f>'DOE25'!L408</f>
        <v>-704384.41</v>
      </c>
      <c r="D140" s="24" t="s">
        <v>288</v>
      </c>
      <c r="E140" s="24" t="s">
        <v>288</v>
      </c>
      <c r="F140" s="24" t="s">
        <v>288</v>
      </c>
      <c r="G140" s="24" t="s">
        <v>288</v>
      </c>
      <c r="H140" s="124">
        <f t="shared" si="7"/>
        <v>-704384.41</v>
      </c>
    </row>
    <row r="141" spans="1:8" x14ac:dyDescent="0.2">
      <c r="A141" t="s">
        <v>762</v>
      </c>
      <c r="B141" s="32">
        <v>5254</v>
      </c>
      <c r="C141" s="95">
        <f>('DOE25'!L267+'DOE25'!K348) - (C138+C139+C140)</f>
        <v>451826.87000000005</v>
      </c>
      <c r="D141" s="24" t="s">
        <v>288</v>
      </c>
      <c r="E141" s="24" t="s">
        <v>288</v>
      </c>
      <c r="F141" s="24" t="s">
        <v>288</v>
      </c>
      <c r="G141" s="24" t="s">
        <v>288</v>
      </c>
      <c r="H141" s="124">
        <f t="shared" si="7"/>
        <v>451826.87000000005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7391795.9999999991</v>
      </c>
      <c r="D144" s="141">
        <f>SUM(D130:D143)</f>
        <v>0</v>
      </c>
      <c r="E144" s="141">
        <f>SUM(E130:E143)</f>
        <v>636525.25</v>
      </c>
      <c r="F144" s="141">
        <f>SUM(F130:F143)</f>
        <v>26546362.309999999</v>
      </c>
      <c r="G144" s="141">
        <f>SUM(G130:G143)</f>
        <v>100000</v>
      </c>
      <c r="H144" s="141">
        <f t="shared" si="7"/>
        <v>34674683.559999995</v>
      </c>
    </row>
    <row r="145" spans="1:9" ht="12.75" thickTop="1" thickBot="1" x14ac:dyDescent="0.25">
      <c r="A145" s="33" t="s">
        <v>244</v>
      </c>
      <c r="C145" s="86">
        <f>(C115+C128+C144)</f>
        <v>170693336.61000001</v>
      </c>
      <c r="D145" s="86">
        <f>(D115+D128+D144)</f>
        <v>5126823.8499999996</v>
      </c>
      <c r="E145" s="86">
        <f>(E115+E128+E144)</f>
        <v>15900711.789999999</v>
      </c>
      <c r="F145" s="86">
        <f>(F115+F128+F144)</f>
        <v>26546362.309999999</v>
      </c>
      <c r="G145" s="86">
        <f>(G115+G128+G144)</f>
        <v>100000</v>
      </c>
      <c r="H145" s="86">
        <f t="shared" si="7"/>
        <v>218367234.56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t="str">
        <f>'DOE25'!F495</f>
        <v>*SEE SUPPLEMENTAL SCHEDULE*</v>
      </c>
      <c r="C155" s="137">
        <f>'DOE25'!G495</f>
        <v>0</v>
      </c>
      <c r="D155" s="137">
        <f>'DOE25'!H495</f>
        <v>0</v>
      </c>
      <c r="E155" s="137">
        <f>'DOE25'!I495</f>
        <v>0</v>
      </c>
      <c r="F155" s="137">
        <f>'DOE25'!J495</f>
        <v>0</v>
      </c>
      <c r="G155" s="24" t="s">
        <v>288</v>
      </c>
    </row>
    <row r="156" spans="1:9" x14ac:dyDescent="0.2">
      <c r="A156" s="22" t="s">
        <v>32</v>
      </c>
      <c r="B156" s="137">
        <f>'DOE25'!F496</f>
        <v>39282000</v>
      </c>
      <c r="C156" s="137">
        <f>'DOE25'!G496</f>
        <v>0</v>
      </c>
      <c r="D156" s="137">
        <f>'DOE25'!H496</f>
        <v>0</v>
      </c>
      <c r="E156" s="137">
        <f>'DOE25'!I496</f>
        <v>0</v>
      </c>
      <c r="F156" s="137">
        <f>'DOE25'!J496</f>
        <v>0</v>
      </c>
      <c r="G156" s="138">
        <f>SUM(B156:F156)</f>
        <v>39282000</v>
      </c>
    </row>
    <row r="157" spans="1:9" x14ac:dyDescent="0.2">
      <c r="A157" s="22" t="s">
        <v>33</v>
      </c>
      <c r="B157" s="137">
        <f>'DOE25'!F497</f>
        <v>47536500</v>
      </c>
      <c r="C157" s="137">
        <f>'DOE25'!G497</f>
        <v>0</v>
      </c>
      <c r="D157" s="137">
        <f>'DOE25'!H497</f>
        <v>0</v>
      </c>
      <c r="E157" s="137">
        <f>'DOE25'!I497</f>
        <v>0</v>
      </c>
      <c r="F157" s="137">
        <f>'DOE25'!J497</f>
        <v>0</v>
      </c>
      <c r="G157" s="138">
        <f t="shared" ref="G157:G164" si="8">SUM(B157:F157)</f>
        <v>47536500</v>
      </c>
    </row>
    <row r="158" spans="1:9" x14ac:dyDescent="0.2">
      <c r="A158" s="22" t="s">
        <v>34</v>
      </c>
      <c r="B158" s="137">
        <f>'DOE25'!F498</f>
        <v>8910000</v>
      </c>
      <c r="C158" s="137">
        <f>'DOE25'!G498</f>
        <v>0</v>
      </c>
      <c r="D158" s="137">
        <f>'DOE25'!H498</f>
        <v>0</v>
      </c>
      <c r="E158" s="137">
        <f>'DOE25'!I498</f>
        <v>0</v>
      </c>
      <c r="F158" s="137">
        <f>'DOE25'!J498</f>
        <v>0</v>
      </c>
      <c r="G158" s="138">
        <f t="shared" si="8"/>
        <v>8910000</v>
      </c>
    </row>
    <row r="159" spans="1:9" x14ac:dyDescent="0.2">
      <c r="A159" s="22" t="s">
        <v>35</v>
      </c>
      <c r="B159" s="137">
        <f>'DOE25'!F499</f>
        <v>77908500</v>
      </c>
      <c r="C159" s="137">
        <f>'DOE25'!G499</f>
        <v>0</v>
      </c>
      <c r="D159" s="137">
        <f>'DOE25'!H499</f>
        <v>0</v>
      </c>
      <c r="E159" s="137">
        <f>'DOE25'!I499</f>
        <v>0</v>
      </c>
      <c r="F159" s="137">
        <f>'DOE25'!J499</f>
        <v>0</v>
      </c>
      <c r="G159" s="138">
        <f t="shared" si="8"/>
        <v>77908500</v>
      </c>
    </row>
    <row r="160" spans="1:9" x14ac:dyDescent="0.2">
      <c r="A160" s="22" t="s">
        <v>36</v>
      </c>
      <c r="B160" s="137">
        <f>'DOE25'!F500</f>
        <v>24551757</v>
      </c>
      <c r="C160" s="137">
        <f>'DOE25'!G500</f>
        <v>0</v>
      </c>
      <c r="D160" s="137">
        <f>'DOE25'!H500</f>
        <v>0</v>
      </c>
      <c r="E160" s="137">
        <f>'DOE25'!I500</f>
        <v>0</v>
      </c>
      <c r="F160" s="137">
        <f>'DOE25'!J500</f>
        <v>0</v>
      </c>
      <c r="G160" s="138">
        <f t="shared" si="8"/>
        <v>24551757</v>
      </c>
    </row>
    <row r="161" spans="1:7" x14ac:dyDescent="0.2">
      <c r="A161" s="22" t="s">
        <v>37</v>
      </c>
      <c r="B161" s="137">
        <f>'DOE25'!F501</f>
        <v>102460257</v>
      </c>
      <c r="C161" s="137">
        <f>'DOE25'!G501</f>
        <v>0</v>
      </c>
      <c r="D161" s="137">
        <f>'DOE25'!H501</f>
        <v>0</v>
      </c>
      <c r="E161" s="137">
        <f>'DOE25'!I501</f>
        <v>0</v>
      </c>
      <c r="F161" s="137">
        <f>'DOE25'!J501</f>
        <v>0</v>
      </c>
      <c r="G161" s="138">
        <f t="shared" si="8"/>
        <v>102460257</v>
      </c>
    </row>
    <row r="162" spans="1:7" x14ac:dyDescent="0.2">
      <c r="A162" s="22" t="s">
        <v>38</v>
      </c>
      <c r="B162" s="137">
        <f>'DOE25'!F502</f>
        <v>4897000</v>
      </c>
      <c r="C162" s="137">
        <f>'DOE25'!G502</f>
        <v>0</v>
      </c>
      <c r="D162" s="137">
        <f>'DOE25'!H502</f>
        <v>0</v>
      </c>
      <c r="E162" s="137">
        <f>'DOE25'!I502</f>
        <v>0</v>
      </c>
      <c r="F162" s="137">
        <f>'DOE25'!J502</f>
        <v>0</v>
      </c>
      <c r="G162" s="138">
        <f t="shared" si="8"/>
        <v>4897000</v>
      </c>
    </row>
    <row r="163" spans="1:7" x14ac:dyDescent="0.2">
      <c r="A163" s="22" t="s">
        <v>39</v>
      </c>
      <c r="B163" s="137">
        <f>'DOE25'!F503</f>
        <v>3238678</v>
      </c>
      <c r="C163" s="137">
        <f>'DOE25'!G503</f>
        <v>0</v>
      </c>
      <c r="D163" s="137">
        <f>'DOE25'!H503</f>
        <v>0</v>
      </c>
      <c r="E163" s="137">
        <f>'DOE25'!I503</f>
        <v>0</v>
      </c>
      <c r="F163" s="137">
        <f>'DOE25'!J503</f>
        <v>0</v>
      </c>
      <c r="G163" s="138">
        <f t="shared" si="8"/>
        <v>3238678</v>
      </c>
    </row>
    <row r="164" spans="1:7" x14ac:dyDescent="0.2">
      <c r="A164" s="22" t="s">
        <v>246</v>
      </c>
      <c r="B164" s="137">
        <f>'DOE25'!F504</f>
        <v>8135678</v>
      </c>
      <c r="C164" s="137">
        <f>'DOE25'!G504</f>
        <v>0</v>
      </c>
      <c r="D164" s="137">
        <f>'DOE25'!H504</f>
        <v>0</v>
      </c>
      <c r="E164" s="137">
        <f>'DOE25'!I504</f>
        <v>0</v>
      </c>
      <c r="F164" s="137">
        <f>'DOE25'!J504</f>
        <v>0</v>
      </c>
      <c r="G164" s="138">
        <f t="shared" si="8"/>
        <v>8135678</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Nashua</v>
      </c>
    </row>
    <row r="3" spans="1:4" x14ac:dyDescent="0.2">
      <c r="B3" s="187" t="s">
        <v>1799</v>
      </c>
    </row>
    <row r="4" spans="1:4" x14ac:dyDescent="0.2">
      <c r="B4" t="s">
        <v>61</v>
      </c>
      <c r="C4" s="178">
        <f>IF('DOE25'!F666+'DOE25'!F671=0,0,ROUND('DOE25'!F673,0))</f>
        <v>18446</v>
      </c>
    </row>
    <row r="5" spans="1:4" x14ac:dyDescent="0.2">
      <c r="B5" t="s">
        <v>700</v>
      </c>
      <c r="C5" s="178">
        <f>IF('DOE25'!G666+'DOE25'!G671=0,0,ROUND('DOE25'!G673,0))</f>
        <v>16527</v>
      </c>
    </row>
    <row r="6" spans="1:4" x14ac:dyDescent="0.2">
      <c r="B6" t="s">
        <v>62</v>
      </c>
      <c r="C6" s="178">
        <f>IF('DOE25'!H666+'DOE25'!H671=0,0,ROUND('DOE25'!H673,0))</f>
        <v>14762</v>
      </c>
    </row>
    <row r="7" spans="1:4" x14ac:dyDescent="0.2">
      <c r="B7" t="s">
        <v>701</v>
      </c>
      <c r="C7" s="178">
        <f>IF('DOE25'!I666+'DOE25'!I671=0,0,ROUND('DOE25'!I673,0))</f>
        <v>16772</v>
      </c>
    </row>
    <row r="9" spans="1:4" x14ac:dyDescent="0.2">
      <c r="A9" s="186" t="s">
        <v>94</v>
      </c>
      <c r="B9" s="187" t="s">
        <v>1800</v>
      </c>
      <c r="C9" s="180" t="s">
        <v>720</v>
      </c>
      <c r="D9" s="180" t="s">
        <v>721</v>
      </c>
    </row>
    <row r="10" spans="1:4" x14ac:dyDescent="0.2">
      <c r="A10">
        <v>1100</v>
      </c>
      <c r="B10" t="s">
        <v>702</v>
      </c>
      <c r="C10" s="178">
        <f>ROUND('DOE25'!L198+'DOE25'!L216+'DOE25'!L234+'DOE25'!L277+'DOE25'!L296+'DOE25'!L315,0)</f>
        <v>67879085</v>
      </c>
      <c r="D10" s="181">
        <f>ROUND((C10/$C$28)*100,1)</f>
        <v>36.700000000000003</v>
      </c>
    </row>
    <row r="11" spans="1:4" x14ac:dyDescent="0.2">
      <c r="A11">
        <v>1200</v>
      </c>
      <c r="B11" t="s">
        <v>703</v>
      </c>
      <c r="C11" s="178">
        <f>ROUND('DOE25'!L199+'DOE25'!L217+'DOE25'!L235+'DOE25'!L278+'DOE25'!L297+'DOE25'!L316,0)</f>
        <v>34429788</v>
      </c>
      <c r="D11" s="181">
        <f>ROUND((C11/$C$28)*100,1)</f>
        <v>18.600000000000001</v>
      </c>
    </row>
    <row r="12" spans="1:4" x14ac:dyDescent="0.2">
      <c r="A12">
        <v>1300</v>
      </c>
      <c r="B12" t="s">
        <v>704</v>
      </c>
      <c r="C12" s="178">
        <f>ROUND('DOE25'!L200+'DOE25'!L218+'DOE25'!L236+'DOE25'!L279+'DOE25'!L298+'DOE25'!L317,0)</f>
        <v>6212831</v>
      </c>
      <c r="D12" s="181">
        <f>ROUND((C12/$C$28)*100,1)</f>
        <v>3.4</v>
      </c>
    </row>
    <row r="13" spans="1:4" x14ac:dyDescent="0.2">
      <c r="A13">
        <v>1400</v>
      </c>
      <c r="B13" t="s">
        <v>705</v>
      </c>
      <c r="C13" s="178">
        <f>ROUND('DOE25'!L201+'DOE25'!L219+'DOE25'!L237+'DOE25'!L280+'DOE25'!L299+'DOE25'!L318,0)</f>
        <v>3048334</v>
      </c>
      <c r="D13" s="181">
        <f>ROUND((C13/$C$28)*100,1)</f>
        <v>1.6</v>
      </c>
    </row>
    <row r="14" spans="1:4" x14ac:dyDescent="0.2">
      <c r="D14" s="181"/>
    </row>
    <row r="15" spans="1:4" x14ac:dyDescent="0.2">
      <c r="A15">
        <v>2100</v>
      </c>
      <c r="B15" t="s">
        <v>706</v>
      </c>
      <c r="C15" s="178">
        <f>ROUND('DOE25'!L203+'DOE25'!L221+'DOE25'!L239+'DOE25'!L282+'DOE25'!L301+'DOE25'!L320,0)</f>
        <v>17735622</v>
      </c>
      <c r="D15" s="181">
        <f t="shared" ref="D15:D27" si="0">ROUND((C15/$C$28)*100,1)</f>
        <v>9.6</v>
      </c>
    </row>
    <row r="16" spans="1:4" x14ac:dyDescent="0.2">
      <c r="A16">
        <v>2200</v>
      </c>
      <c r="B16" t="s">
        <v>707</v>
      </c>
      <c r="C16" s="178">
        <f>ROUND('DOE25'!L204+'DOE25'!L222+'DOE25'!L240+'DOE25'!L283+'DOE25'!L302+'DOE25'!L321,0)</f>
        <v>8392373</v>
      </c>
      <c r="D16" s="181">
        <f t="shared" si="0"/>
        <v>4.5</v>
      </c>
    </row>
    <row r="17" spans="1:4" x14ac:dyDescent="0.2">
      <c r="A17" s="182" t="s">
        <v>723</v>
      </c>
      <c r="B17" t="s">
        <v>738</v>
      </c>
      <c r="C17" s="178">
        <f>ROUND('DOE25'!L205+'DOE25'!L210+'DOE25'!L223+'DOE25'!L228+'DOE25'!L241+'DOE25'!L246+'DOE25'!L284+'DOE25'!L289+'DOE25'!L303+'DOE25'!L308+'DOE25'!L322+'DOE25'!L327,0)</f>
        <v>4991614</v>
      </c>
      <c r="D17" s="181">
        <f t="shared" si="0"/>
        <v>2.7</v>
      </c>
    </row>
    <row r="18" spans="1:4" x14ac:dyDescent="0.2">
      <c r="A18">
        <v>2400</v>
      </c>
      <c r="B18" t="s">
        <v>711</v>
      </c>
      <c r="C18" s="178">
        <f>ROUND('DOE25'!L206+'DOE25'!L224+'DOE25'!L242+'DOE25'!L285+'DOE25'!L304+'DOE25'!L323,0)</f>
        <v>8602361</v>
      </c>
      <c r="D18" s="181">
        <f t="shared" si="0"/>
        <v>4.7</v>
      </c>
    </row>
    <row r="19" spans="1:4" x14ac:dyDescent="0.2">
      <c r="A19">
        <v>2500</v>
      </c>
      <c r="B19" t="s">
        <v>708</v>
      </c>
      <c r="C19" s="178">
        <f>ROUND('DOE25'!L207+'DOE25'!L225+'DOE25'!L243+'DOE25'!L286+'DOE25'!L305+'DOE25'!L324,0)</f>
        <v>2076821</v>
      </c>
      <c r="D19" s="181">
        <f t="shared" si="0"/>
        <v>1.1000000000000001</v>
      </c>
    </row>
    <row r="20" spans="1:4" x14ac:dyDescent="0.2">
      <c r="A20">
        <v>2600</v>
      </c>
      <c r="B20" t="s">
        <v>709</v>
      </c>
      <c r="C20" s="178">
        <f>ROUND('DOE25'!L208+'DOE25'!L226+'DOE25'!L244+'DOE25'!L287+'DOE25'!L306+'DOE25'!L325,0)</f>
        <v>16645955</v>
      </c>
      <c r="D20" s="181">
        <f t="shared" si="0"/>
        <v>9</v>
      </c>
    </row>
    <row r="21" spans="1:4" x14ac:dyDescent="0.2">
      <c r="A21">
        <v>2700</v>
      </c>
      <c r="B21" t="s">
        <v>710</v>
      </c>
      <c r="C21" s="178">
        <f>ROUND('DOE25'!L209+'DOE25'!L227+'DOE25'!L245+'DOE25'!L288+'DOE25'!L307+'DOE25'!L326,0)</f>
        <v>8156108</v>
      </c>
      <c r="D21" s="181">
        <f t="shared" si="0"/>
        <v>4.4000000000000004</v>
      </c>
    </row>
    <row r="22" spans="1:4" x14ac:dyDescent="0.2">
      <c r="A22">
        <v>2900</v>
      </c>
      <c r="B22" t="s">
        <v>712</v>
      </c>
      <c r="C22" s="178">
        <v>0</v>
      </c>
      <c r="D22" s="181">
        <f t="shared" si="0"/>
        <v>0</v>
      </c>
    </row>
    <row r="23" spans="1:4" x14ac:dyDescent="0.2">
      <c r="A23">
        <v>1500</v>
      </c>
      <c r="B23" t="s">
        <v>714</v>
      </c>
      <c r="C23" s="178">
        <f>ROUND('DOE25'!L251+'DOE25'!L333,0)</f>
        <v>86402</v>
      </c>
      <c r="D23" s="181">
        <f t="shared" si="0"/>
        <v>0</v>
      </c>
    </row>
    <row r="24" spans="1:4" x14ac:dyDescent="0.2">
      <c r="A24" s="182" t="s">
        <v>722</v>
      </c>
      <c r="B24" t="s">
        <v>715</v>
      </c>
      <c r="C24" s="178">
        <f>ROUND('DOE25'!L252+'DOE25'!L253+'DOE25'!L254+'DOE25'!L255+'DOE25'!L334+'DOE25'!L335+'DOE25'!L336,0)</f>
        <v>308434</v>
      </c>
      <c r="D24" s="181">
        <f t="shared" si="0"/>
        <v>0.2</v>
      </c>
    </row>
    <row r="25" spans="1:4" x14ac:dyDescent="0.2">
      <c r="A25">
        <v>5120</v>
      </c>
      <c r="B25" t="s">
        <v>716</v>
      </c>
      <c r="C25" s="178">
        <f>ROUND('DOE25'!L262+'DOE25'!L343,0)</f>
        <v>1531796</v>
      </c>
      <c r="D25" s="181">
        <f t="shared" si="0"/>
        <v>0.8</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4771544.13</v>
      </c>
      <c r="D27" s="181">
        <f t="shared" si="0"/>
        <v>2.6</v>
      </c>
    </row>
    <row r="28" spans="1:4" x14ac:dyDescent="0.2">
      <c r="B28" s="186" t="s">
        <v>719</v>
      </c>
      <c r="C28" s="179">
        <f>SUM(C10:C27)</f>
        <v>184869068.13</v>
      </c>
      <c r="D28" s="183">
        <f>ROUND(SUM(D10:D27),0)</f>
        <v>100</v>
      </c>
    </row>
    <row r="29" spans="1:4" x14ac:dyDescent="0.2">
      <c r="A29">
        <v>4000</v>
      </c>
      <c r="B29" t="s">
        <v>724</v>
      </c>
      <c r="C29" s="178">
        <f>ROUND('DOE25'!L256+'DOE25'!L337+'DOE25'!L375+'DOE25'!L376+'DOE25'!L377+'DOE25'!L378+'DOE25'!L379+'DOE25'!L380+'DOE25'!L381,0)</f>
        <v>27182888</v>
      </c>
    </row>
    <row r="30" spans="1:4" x14ac:dyDescent="0.2">
      <c r="B30" s="186" t="s">
        <v>725</v>
      </c>
      <c r="C30" s="179">
        <f>SUM(C28:C29)</f>
        <v>212051956.13</v>
      </c>
    </row>
    <row r="31" spans="1:4" x14ac:dyDescent="0.2">
      <c r="B31" s="33"/>
      <c r="C31" s="179"/>
    </row>
    <row r="32" spans="1:4" x14ac:dyDescent="0.2">
      <c r="A32">
        <v>5100</v>
      </c>
      <c r="B32" s="33" t="s">
        <v>726</v>
      </c>
      <c r="C32" s="179">
        <f>ROUND('DOE25'!L261+'DOE25'!L342,0)</f>
        <v>5860000</v>
      </c>
    </row>
    <row r="34" spans="1:4" x14ac:dyDescent="0.2">
      <c r="A34" s="186" t="s">
        <v>94</v>
      </c>
      <c r="B34" s="187" t="s">
        <v>1801</v>
      </c>
      <c r="C34" s="180" t="s">
        <v>720</v>
      </c>
      <c r="D34" s="180" t="s">
        <v>721</v>
      </c>
    </row>
    <row r="35" spans="1:4" x14ac:dyDescent="0.2">
      <c r="A35">
        <v>1100</v>
      </c>
      <c r="B35" s="184" t="s">
        <v>727</v>
      </c>
      <c r="C35" s="178">
        <f>ROUND('DOE25'!F60+'DOE25'!G60+'DOE25'!H60+'DOE25'!I60+'DOE25'!J60,0)</f>
        <v>104986691</v>
      </c>
      <c r="D35" s="181">
        <f t="shared" ref="D35:D40" si="1">ROUND((C35/$C$41)*100,1)</f>
        <v>54.3</v>
      </c>
    </row>
    <row r="36" spans="1:4" x14ac:dyDescent="0.2">
      <c r="B36" s="184" t="s">
        <v>739</v>
      </c>
      <c r="C36" s="178">
        <f>SUM('DOE25'!F112:J112)-SUM('DOE25'!G97:G110)+('DOE25'!F175+'DOE25'!F176+'DOE25'!I175+'DOE25'!I176)-C35</f>
        <v>744886.64999997616</v>
      </c>
      <c r="D36" s="181">
        <f t="shared" si="1"/>
        <v>0.4</v>
      </c>
    </row>
    <row r="37" spans="1:4" x14ac:dyDescent="0.2">
      <c r="A37" s="182" t="s">
        <v>835</v>
      </c>
      <c r="B37" s="184" t="s">
        <v>728</v>
      </c>
      <c r="C37" s="178">
        <f>ROUND('DOE25'!F117+'DOE25'!F118,0)</f>
        <v>61362589</v>
      </c>
      <c r="D37" s="181">
        <f t="shared" si="1"/>
        <v>31.7</v>
      </c>
    </row>
    <row r="38" spans="1:4" x14ac:dyDescent="0.2">
      <c r="A38" s="182" t="s">
        <v>734</v>
      </c>
      <c r="B38" s="184" t="s">
        <v>729</v>
      </c>
      <c r="C38" s="178">
        <f>ROUND(SUM('DOE25'!F140:J140)-SUM('DOE25'!F117:F119),0)</f>
        <v>3842850</v>
      </c>
      <c r="D38" s="181">
        <f t="shared" si="1"/>
        <v>2</v>
      </c>
    </row>
    <row r="39" spans="1:4" x14ac:dyDescent="0.2">
      <c r="A39">
        <v>4000</v>
      </c>
      <c r="B39" s="184" t="s">
        <v>730</v>
      </c>
      <c r="C39" s="178">
        <f>ROUND('DOE25'!F170+'DOE25'!G170+'DOE25'!H170+'DOE25'!I170,0)</f>
        <v>22390852</v>
      </c>
      <c r="D39" s="181">
        <f t="shared" si="1"/>
        <v>11.6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193327868.64999998</v>
      </c>
      <c r="D41" s="183">
        <f>SUM(D35:D40)</f>
        <v>99.999999999999986</v>
      </c>
    </row>
    <row r="42" spans="1:4" x14ac:dyDescent="0.2">
      <c r="A42" s="182" t="s">
        <v>737</v>
      </c>
      <c r="B42" s="184" t="s">
        <v>733</v>
      </c>
      <c r="C42" s="178">
        <f>ROUND('DOE25'!F174+'DOE25'!I174+'DOE25'!F177+'DOE25'!I177,0)</f>
        <v>45000000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Nashua</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7"/>
      <c r="L3" s="356">
        <v>999</v>
      </c>
      <c r="M3" s="356" t="s">
        <v>1548</v>
      </c>
      <c r="N3" s="356" t="s">
        <v>1548</v>
      </c>
      <c r="O3" s="356">
        <v>99999</v>
      </c>
      <c r="P3" s="356" t="s">
        <v>1533</v>
      </c>
      <c r="Q3" s="354"/>
      <c r="R3" s="355"/>
      <c r="S3" s="357"/>
      <c r="T3" s="357"/>
      <c r="U3" s="357"/>
      <c r="V3" s="308"/>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7</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14</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61</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f>IFERROR(SMALL($I$4:$I$325,ROWS($I$4:I5)),"")</f>
        <v>25</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f>IFERROR(SMALL($T$4:$T$75,ROWS($T$4:T5)),"")</f>
        <v>15</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f>IFERROR(SMALL(AE5:$AE$100,ROWS($AE$4:AE5)),"")</f>
        <v>62</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f>IFERROR(SMALL($I$4:$I$325,ROWS($I$4:I6)),"")</f>
        <v>26</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f>IFERROR(SMALL($T$4:$T$75,ROWS($T$4:T6)),"")</f>
        <v>54</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f>IFERROR(SMALL($I$4:$I$325,ROWS($I$4:I7)),"")</f>
        <v>32</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f>IFERROR(SMALL($I$4:$I$325,ROWS($I$4:I8)),"")</f>
        <v>43</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f>IFERROR(SMALL($I$4:$I$325,ROWS($I$4:I9)),"")</f>
        <v>67</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f>IF('School Level Expenditures'!$B$2=A10,'School Tables'!H10,"")</f>
        <v>7</v>
      </c>
      <c r="J10" s="358">
        <f>IFERROR(SMALL($I$4:$I$325,ROWS($I$4:I10)),"")</f>
        <v>83</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f>IFERROR(SMALL($I$4:$I$325,ROWS($I$4:I11)),"")</f>
        <v>157</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f>IFERROR(SMALL($I$4:$I$325,ROWS($I$4:I12)),"")</f>
        <v>168</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f>IFERROR(SMALL($I$4:$I$325,ROWS($I$4:I13)),"")</f>
        <v>202</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f>IFERROR(SMALL($I$4:$I$325,ROWS($I$4:I14)),"")</f>
        <v>210</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f>IFERROR(SMALL($I$4:$I$325,ROWS($I$4:I15)),"")</f>
        <v>247</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f>IFERROR(SMALL($I$4:$I$325,ROWS($I$4:I16)),"")</f>
        <v>283</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f>IF('School Level Expenditures'!$B$2='School Tables'!L17,'School Tables'!S17,"")</f>
        <v>14</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f>IF('School Level Expenditures'!$B$2='School Tables'!L18,'School Tables'!S18,"")</f>
        <v>15</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f>IF('School Level Expenditures'!$B$2=A28,'School Tables'!H28,"")</f>
        <v>25</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f>IF('School Level Expenditures'!$B$2=A29,'School Tables'!H29,"")</f>
        <v>26</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f>IF('School Level Expenditures'!$B$2=A35,'School Tables'!H35,"")</f>
        <v>32</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f>IF('School Level Expenditures'!$B$2=A46,'School Tables'!H46,"")</f>
        <v>43</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f>IF('School Level Expenditures'!$B$2='School Tables'!L57,'School Tables'!S57,"")</f>
        <v>54</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f>IF('School Level Expenditures'!$B$2='School Tables'!W64,'School Tables'!AD64,"")</f>
        <v>61</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f>IF('School Level Expenditures'!$B$2='School Tables'!W65,'School Tables'!AD65,"")</f>
        <v>62</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f>IF('School Level Expenditures'!$B$2=A70,'School Tables'!H70,"")</f>
        <v>67</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7"/>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7"/>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7"/>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7"/>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7"/>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7"/>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f>IF('School Level Expenditures'!$B$2=A86,'School Tables'!H86,"")</f>
        <v>83</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7"/>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7"/>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7"/>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7"/>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7"/>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7"/>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7"/>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7"/>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7"/>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7"/>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7"/>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7"/>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7"/>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7"/>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7"/>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7"/>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7"/>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7"/>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7"/>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7"/>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7"/>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7"/>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7"/>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7"/>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7"/>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f>IF('School Level Expenditures'!$B$2=A160,'School Tables'!H160,"")</f>
        <v>157</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f>IF('School Level Expenditures'!$B$2=A171,'School Tables'!H171,"")</f>
        <v>168</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f>IF('School Level Expenditures'!$B$2=A205,'School Tables'!H205,"")</f>
        <v>202</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f>IF('School Level Expenditures'!$B$2=A213,'School Tables'!H213,"")</f>
        <v>210</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f>IF('School Level Expenditures'!$B$2=A250,'School Tables'!H250,"")</f>
        <v>247</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f>IF('School Level Expenditures'!$B$2=A286,'School Tables'!H286,"")</f>
        <v>283</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7"/>
    </row>
    <row r="327" spans="1:11" x14ac:dyDescent="0.2">
      <c r="A327" s="331"/>
      <c r="B327" s="331"/>
      <c r="C327" s="331"/>
      <c r="D327" s="331"/>
      <c r="E327" s="331"/>
      <c r="F327" s="287"/>
    </row>
    <row r="328" spans="1:11" x14ac:dyDescent="0.2">
      <c r="A328" s="331"/>
      <c r="B328" s="331"/>
      <c r="C328" s="331"/>
      <c r="D328" s="331"/>
      <c r="E328" s="331"/>
      <c r="F328" s="287"/>
    </row>
    <row r="329" spans="1:11" x14ac:dyDescent="0.2">
      <c r="A329" s="331"/>
      <c r="B329" s="331"/>
      <c r="C329" s="331"/>
      <c r="D329" s="331"/>
      <c r="E329" s="331"/>
      <c r="F329" s="287"/>
    </row>
    <row r="330" spans="1:11" x14ac:dyDescent="0.2">
      <c r="A330" s="331"/>
      <c r="B330" s="331"/>
      <c r="C330" s="331"/>
      <c r="D330" s="331"/>
      <c r="E330" s="331"/>
      <c r="F330" s="287"/>
    </row>
    <row r="331" spans="1:11" x14ac:dyDescent="0.2">
      <c r="A331" s="331"/>
      <c r="B331" s="331"/>
      <c r="C331" s="331"/>
      <c r="D331" s="331"/>
      <c r="E331" s="331"/>
      <c r="F331" s="287"/>
    </row>
    <row r="332" spans="1:11" x14ac:dyDescent="0.2">
      <c r="A332" s="331"/>
      <c r="B332" s="331"/>
      <c r="C332" s="331"/>
      <c r="D332" s="331"/>
      <c r="E332" s="331"/>
      <c r="F332" s="287"/>
    </row>
    <row r="333" spans="1:11" x14ac:dyDescent="0.2">
      <c r="A333" s="331"/>
      <c r="B333" s="331"/>
      <c r="C333" s="331"/>
      <c r="D333" s="331"/>
      <c r="E333" s="331"/>
      <c r="F333" s="287"/>
    </row>
    <row r="334" spans="1:11" x14ac:dyDescent="0.2">
      <c r="A334" s="331"/>
      <c r="B334" s="331"/>
      <c r="C334" s="331"/>
      <c r="D334" s="331"/>
      <c r="E334" s="331"/>
      <c r="F334" s="287"/>
    </row>
    <row r="335" spans="1:11" x14ac:dyDescent="0.2">
      <c r="A335" s="331"/>
      <c r="B335" s="331"/>
      <c r="C335" s="331"/>
      <c r="D335" s="331"/>
      <c r="E335" s="331"/>
      <c r="F335" s="287"/>
    </row>
    <row r="336" spans="1:11" x14ac:dyDescent="0.2">
      <c r="A336" s="331"/>
      <c r="B336" s="331"/>
      <c r="C336" s="331"/>
      <c r="D336" s="331"/>
      <c r="E336" s="331"/>
      <c r="F336" s="287"/>
    </row>
    <row r="337" spans="1:6" x14ac:dyDescent="0.2">
      <c r="A337" s="331"/>
      <c r="B337" s="331"/>
      <c r="C337" s="331"/>
      <c r="D337" s="331"/>
      <c r="E337" s="331"/>
      <c r="F337" s="287"/>
    </row>
    <row r="338" spans="1:6" x14ac:dyDescent="0.2">
      <c r="A338" s="331"/>
      <c r="B338" s="331"/>
      <c r="C338" s="331"/>
      <c r="D338" s="331"/>
      <c r="E338" s="331"/>
      <c r="F338" s="287"/>
    </row>
    <row r="339" spans="1:6" x14ac:dyDescent="0.2">
      <c r="A339" s="331"/>
      <c r="B339" s="331"/>
      <c r="C339" s="331"/>
      <c r="D339" s="331"/>
      <c r="E339" s="331"/>
      <c r="F339" s="287"/>
    </row>
    <row r="340" spans="1:6" x14ac:dyDescent="0.2">
      <c r="A340" s="331"/>
      <c r="B340" s="331"/>
      <c r="C340" s="331"/>
      <c r="D340" s="331"/>
      <c r="E340" s="331"/>
      <c r="F340" s="287"/>
    </row>
    <row r="341" spans="1:6" x14ac:dyDescent="0.2">
      <c r="A341" s="331"/>
      <c r="B341" s="331"/>
      <c r="C341" s="331"/>
      <c r="D341" s="331"/>
      <c r="E341" s="331"/>
      <c r="F341" s="287"/>
    </row>
    <row r="342" spans="1:6" x14ac:dyDescent="0.2">
      <c r="A342" s="331"/>
      <c r="B342" s="331"/>
      <c r="C342" s="331"/>
      <c r="D342" s="331"/>
      <c r="E342" s="331"/>
      <c r="F342" s="287"/>
    </row>
    <row r="343" spans="1:6" x14ac:dyDescent="0.2">
      <c r="A343" s="331"/>
      <c r="B343" s="331"/>
      <c r="C343" s="331"/>
      <c r="D343" s="331"/>
      <c r="E343" s="331"/>
      <c r="F343" s="287"/>
    </row>
    <row r="344" spans="1:6" x14ac:dyDescent="0.2">
      <c r="A344" s="331"/>
      <c r="B344" s="331"/>
      <c r="C344" s="331"/>
      <c r="D344" s="331"/>
      <c r="E344" s="331"/>
      <c r="F344" s="287"/>
    </row>
    <row r="345" spans="1:6" x14ac:dyDescent="0.2">
      <c r="A345" s="331"/>
      <c r="B345" s="331"/>
      <c r="C345" s="331"/>
      <c r="D345" s="331"/>
      <c r="E345" s="331"/>
      <c r="F345" s="287"/>
    </row>
    <row r="346" spans="1:6" x14ac:dyDescent="0.2">
      <c r="A346" s="331"/>
      <c r="B346" s="331"/>
      <c r="C346" s="331"/>
      <c r="D346" s="331"/>
      <c r="E346" s="331"/>
      <c r="F346" s="287"/>
    </row>
    <row r="347" spans="1:6" x14ac:dyDescent="0.2">
      <c r="A347" s="331"/>
      <c r="B347" s="331"/>
      <c r="C347" s="331"/>
      <c r="D347" s="331"/>
      <c r="E347" s="331"/>
      <c r="F347" s="287"/>
    </row>
    <row r="348" spans="1:6" x14ac:dyDescent="0.2">
      <c r="A348" s="331"/>
      <c r="B348" s="331"/>
      <c r="C348" s="331"/>
      <c r="D348" s="331"/>
      <c r="E348" s="331"/>
      <c r="F348" s="287"/>
    </row>
    <row r="349" spans="1:6" x14ac:dyDescent="0.2">
      <c r="A349" s="331"/>
      <c r="B349" s="331"/>
      <c r="C349" s="331"/>
      <c r="D349" s="331"/>
      <c r="E349" s="331"/>
      <c r="F349" s="287"/>
    </row>
    <row r="350" spans="1:6" x14ac:dyDescent="0.2">
      <c r="A350" s="331"/>
      <c r="B350" s="331"/>
      <c r="C350" s="331"/>
      <c r="D350" s="331"/>
      <c r="E350" s="331"/>
      <c r="F350" s="287"/>
    </row>
    <row r="351" spans="1:6" x14ac:dyDescent="0.2">
      <c r="A351" s="331"/>
      <c r="B351" s="331"/>
      <c r="C351" s="331"/>
      <c r="D351" s="331"/>
      <c r="E351" s="331"/>
      <c r="F351" s="287"/>
    </row>
    <row r="352" spans="1:6" x14ac:dyDescent="0.2">
      <c r="A352" s="331"/>
      <c r="B352" s="331"/>
      <c r="C352" s="331"/>
      <c r="D352" s="331"/>
      <c r="E352" s="331"/>
      <c r="F352" s="287"/>
    </row>
    <row r="353" spans="1:6" x14ac:dyDescent="0.2">
      <c r="A353" s="331"/>
      <c r="B353" s="331"/>
      <c r="C353" s="331"/>
      <c r="D353" s="331"/>
      <c r="E353" s="331"/>
      <c r="F353" s="287"/>
    </row>
    <row r="354" spans="1:6" x14ac:dyDescent="0.2">
      <c r="A354" s="331"/>
      <c r="B354" s="331"/>
      <c r="C354" s="331"/>
      <c r="D354" s="331"/>
      <c r="E354" s="331"/>
      <c r="F354" s="287"/>
    </row>
    <row r="355" spans="1:6" x14ac:dyDescent="0.2">
      <c r="A355" s="331"/>
      <c r="B355" s="331"/>
      <c r="C355" s="331"/>
      <c r="D355" s="331"/>
      <c r="E355" s="331"/>
      <c r="F355" s="287"/>
    </row>
    <row r="356" spans="1:6" x14ac:dyDescent="0.2">
      <c r="A356" s="331"/>
      <c r="B356" s="331"/>
      <c r="C356" s="331"/>
      <c r="D356" s="331"/>
      <c r="E356" s="331"/>
      <c r="F356" s="287"/>
    </row>
    <row r="357" spans="1:6" x14ac:dyDescent="0.2">
      <c r="A357" s="331"/>
      <c r="B357" s="331"/>
      <c r="C357" s="331"/>
      <c r="D357" s="331"/>
      <c r="E357" s="331"/>
      <c r="F357" s="287"/>
    </row>
    <row r="358" spans="1:6" x14ac:dyDescent="0.2">
      <c r="A358" s="331"/>
      <c r="B358" s="331"/>
      <c r="C358" s="331"/>
      <c r="D358" s="331"/>
      <c r="E358" s="331"/>
      <c r="F358" s="287"/>
    </row>
    <row r="359" spans="1:6" x14ac:dyDescent="0.2">
      <c r="A359" s="331"/>
      <c r="B359" s="331"/>
      <c r="C359" s="331"/>
      <c r="D359" s="331"/>
      <c r="E359" s="331"/>
      <c r="F359" s="287"/>
    </row>
    <row r="360" spans="1:6" x14ac:dyDescent="0.2">
      <c r="A360" s="331"/>
      <c r="B360" s="331"/>
      <c r="C360" s="331"/>
      <c r="D360" s="331"/>
      <c r="E360" s="331"/>
      <c r="F360" s="287"/>
    </row>
    <row r="361" spans="1:6" x14ac:dyDescent="0.2">
      <c r="A361" s="331"/>
      <c r="B361" s="331"/>
      <c r="C361" s="331"/>
      <c r="D361" s="331"/>
      <c r="E361" s="331"/>
      <c r="F361" s="287"/>
    </row>
    <row r="362" spans="1:6" x14ac:dyDescent="0.2">
      <c r="A362" s="331"/>
      <c r="B362" s="331"/>
      <c r="C362" s="331"/>
      <c r="D362" s="331"/>
      <c r="E362" s="331"/>
      <c r="F362" s="287"/>
    </row>
    <row r="363" spans="1:6" x14ac:dyDescent="0.2">
      <c r="A363" s="331"/>
      <c r="B363" s="331"/>
      <c r="C363" s="331"/>
      <c r="D363" s="331"/>
      <c r="E363" s="331"/>
      <c r="F363" s="287"/>
    </row>
    <row r="364" spans="1:6" x14ac:dyDescent="0.2">
      <c r="A364" s="331"/>
      <c r="B364" s="331"/>
      <c r="C364" s="331"/>
      <c r="D364" s="331"/>
      <c r="E364" s="331"/>
      <c r="F364" s="287"/>
    </row>
    <row r="365" spans="1:6" x14ac:dyDescent="0.2">
      <c r="A365" s="331"/>
      <c r="B365" s="331"/>
      <c r="C365" s="331"/>
      <c r="D365" s="331"/>
      <c r="E365" s="331"/>
      <c r="F365" s="287"/>
    </row>
    <row r="366" spans="1:6" x14ac:dyDescent="0.2">
      <c r="A366" s="331"/>
      <c r="B366" s="331"/>
      <c r="C366" s="331"/>
      <c r="D366" s="331"/>
      <c r="E366" s="331"/>
      <c r="F366" s="287"/>
    </row>
    <row r="367" spans="1:6" x14ac:dyDescent="0.2">
      <c r="A367" s="331"/>
      <c r="B367" s="331"/>
      <c r="C367" s="331"/>
      <c r="D367" s="331"/>
      <c r="E367" s="331"/>
      <c r="F367" s="287"/>
    </row>
    <row r="368" spans="1:6" x14ac:dyDescent="0.2">
      <c r="A368" s="331"/>
      <c r="B368" s="331"/>
      <c r="C368" s="331"/>
      <c r="D368" s="331"/>
      <c r="E368" s="331"/>
      <c r="F368" s="287"/>
    </row>
    <row r="369" spans="1:6" x14ac:dyDescent="0.2">
      <c r="A369" s="331"/>
      <c r="B369" s="331"/>
      <c r="C369" s="331"/>
      <c r="D369" s="331"/>
      <c r="E369" s="331"/>
      <c r="F369" s="287"/>
    </row>
    <row r="370" spans="1:6" x14ac:dyDescent="0.2">
      <c r="A370" s="331"/>
      <c r="B370" s="331"/>
      <c r="C370" s="331"/>
      <c r="D370" s="331"/>
      <c r="E370" s="331"/>
      <c r="F370" s="287"/>
    </row>
    <row r="371" spans="1:6" x14ac:dyDescent="0.2">
      <c r="A371" s="331"/>
      <c r="B371" s="331"/>
      <c r="C371" s="331"/>
      <c r="D371" s="331"/>
      <c r="E371" s="331"/>
      <c r="F371" s="287"/>
    </row>
    <row r="372" spans="1:6" x14ac:dyDescent="0.2">
      <c r="A372" s="331"/>
      <c r="B372" s="331"/>
      <c r="C372" s="331"/>
      <c r="D372" s="331"/>
      <c r="E372" s="331"/>
      <c r="F372" s="287"/>
    </row>
    <row r="373" spans="1:6" x14ac:dyDescent="0.2">
      <c r="A373" s="331"/>
      <c r="B373" s="331"/>
      <c r="C373" s="331"/>
      <c r="D373" s="331"/>
      <c r="E373" s="331"/>
      <c r="F373" s="287"/>
    </row>
    <row r="374" spans="1:6" x14ac:dyDescent="0.2">
      <c r="A374" s="331"/>
      <c r="B374" s="331"/>
      <c r="C374" s="331"/>
      <c r="D374" s="331"/>
      <c r="E374" s="331"/>
      <c r="F374" s="287"/>
    </row>
    <row r="375" spans="1:6" x14ac:dyDescent="0.2">
      <c r="A375" s="331"/>
      <c r="B375" s="331"/>
      <c r="C375" s="331"/>
      <c r="D375" s="331"/>
      <c r="E375" s="331"/>
      <c r="F375" s="287"/>
    </row>
    <row r="376" spans="1:6" x14ac:dyDescent="0.2">
      <c r="A376" s="331"/>
      <c r="B376" s="331"/>
      <c r="C376" s="331"/>
      <c r="D376" s="331"/>
      <c r="E376" s="331"/>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2022-12-19T18:52:11Z</dcterms:modified>
</cp:coreProperties>
</file>