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9AA26D4E-1E76-476A-ADC1-CBA4BE11A342}"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6">'MS-25'!$A$1:$H$168</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4" i="1" l="1"/>
  <c r="G97" i="1"/>
  <c r="H135" i="2" l="1"/>
  <c r="H136" i="2"/>
  <c r="H137" i="2"/>
  <c r="H138" i="2"/>
  <c r="H140" i="2"/>
  <c r="H142" i="2"/>
  <c r="H143" i="2"/>
  <c r="H134" i="2"/>
  <c r="H132" i="2"/>
  <c r="H131" i="2"/>
  <c r="H122" i="2"/>
  <c r="H125" i="2"/>
  <c r="H111" i="2"/>
  <c r="H113" i="2"/>
  <c r="H114" i="2"/>
  <c r="H97" i="2"/>
  <c r="H98" i="2"/>
  <c r="H99" i="2"/>
  <c r="H100" i="2"/>
  <c r="H101" i="2"/>
  <c r="H102" i="2"/>
  <c r="H103" i="2"/>
  <c r="H96" i="2"/>
  <c r="H94" i="2"/>
  <c r="H93" i="2"/>
  <c r="H90" i="2"/>
  <c r="H85" i="2"/>
  <c r="H73" i="2"/>
  <c r="H74" i="2"/>
  <c r="H76" i="2"/>
  <c r="H79" i="2"/>
  <c r="H80" i="2"/>
  <c r="H72" i="2"/>
  <c r="H69" i="2"/>
  <c r="H58" i="2"/>
  <c r="H40" i="2"/>
  <c r="H38" i="2"/>
  <c r="H36" i="2"/>
  <c r="H24" i="2"/>
  <c r="H25" i="2"/>
  <c r="H26" i="2"/>
  <c r="H28" i="2"/>
  <c r="H9" i="2"/>
  <c r="H10" i="2"/>
  <c r="H14" i="2"/>
  <c r="H17"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H39" i="2" s="1"/>
  <c r="G656" i="1"/>
  <c r="F48" i="2"/>
  <c r="E48" i="2"/>
  <c r="H48" i="2" s="1"/>
  <c r="D48" i="2"/>
  <c r="C48" i="2"/>
  <c r="F47" i="2"/>
  <c r="E47" i="2"/>
  <c r="D47" i="2"/>
  <c r="C47" i="2"/>
  <c r="F44" i="2"/>
  <c r="E44" i="2"/>
  <c r="D44" i="2"/>
  <c r="C44" i="2"/>
  <c r="F43" i="2"/>
  <c r="E43" i="2"/>
  <c r="D43" i="2"/>
  <c r="C43" i="2"/>
  <c r="H43" i="2" s="1"/>
  <c r="F42" i="2"/>
  <c r="E42" i="2"/>
  <c r="D42" i="2"/>
  <c r="C42" i="2"/>
  <c r="H42" i="2" s="1"/>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H13" i="2" s="1"/>
  <c r="E13" i="2"/>
  <c r="F13" i="2"/>
  <c r="I444" i="1"/>
  <c r="J14" i="1" s="1"/>
  <c r="G13" i="2" s="1"/>
  <c r="F14" i="2"/>
  <c r="C15" i="2"/>
  <c r="H15" i="2" s="1"/>
  <c r="D15" i="2"/>
  <c r="E15" i="2"/>
  <c r="F15" i="2"/>
  <c r="C16" i="2"/>
  <c r="H16" i="2" s="1"/>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H30" i="2" s="1"/>
  <c r="E30" i="2"/>
  <c r="F30" i="2"/>
  <c r="I452" i="1"/>
  <c r="J31" i="1" s="1"/>
  <c r="G30" i="2" s="1"/>
  <c r="C34" i="2"/>
  <c r="H34" i="2" s="1"/>
  <c r="D34" i="2"/>
  <c r="E34" i="2"/>
  <c r="F34" i="2"/>
  <c r="C35" i="2"/>
  <c r="H35" i="2" s="1"/>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H61" i="2" s="1"/>
  <c r="E61" i="2"/>
  <c r="F61" i="2"/>
  <c r="C66" i="2"/>
  <c r="H66" i="2" s="1"/>
  <c r="C67" i="2"/>
  <c r="H67" i="2" s="1"/>
  <c r="C69" i="2"/>
  <c r="D69" i="2"/>
  <c r="D70" i="2" s="1"/>
  <c r="E69" i="2"/>
  <c r="E70" i="2" s="1"/>
  <c r="F69" i="2"/>
  <c r="F70" i="2" s="1"/>
  <c r="G69" i="2"/>
  <c r="G70" i="2" s="1"/>
  <c r="C72" i="2"/>
  <c r="F72" i="2"/>
  <c r="C73" i="2"/>
  <c r="F73" i="2"/>
  <c r="C74" i="2"/>
  <c r="C75" i="2"/>
  <c r="H75" i="2" s="1"/>
  <c r="C76" i="2"/>
  <c r="E76" i="2"/>
  <c r="F76" i="2"/>
  <c r="C77" i="2"/>
  <c r="D77" i="2"/>
  <c r="E77" i="2"/>
  <c r="F77" i="2"/>
  <c r="G77" i="2"/>
  <c r="G78" i="2" s="1"/>
  <c r="C79" i="2"/>
  <c r="D79" i="2"/>
  <c r="E79" i="2"/>
  <c r="C80" i="2"/>
  <c r="E80" i="2"/>
  <c r="C85" i="2"/>
  <c r="F85" i="2"/>
  <c r="C87" i="2"/>
  <c r="E87" i="2"/>
  <c r="H87" i="2" s="1"/>
  <c r="F87" i="2"/>
  <c r="C89" i="2"/>
  <c r="D89" i="2"/>
  <c r="H89" i="2" s="1"/>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H112" i="2" s="1"/>
  <c r="E112" i="2"/>
  <c r="D115" i="2"/>
  <c r="F115" i="2"/>
  <c r="G115" i="2"/>
  <c r="C119"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G652" i="1"/>
  <c r="H653" i="1"/>
  <c r="G654" i="1"/>
  <c r="H654" i="1"/>
  <c r="H655" i="1"/>
  <c r="H656" i="1"/>
  <c r="I170" i="1"/>
  <c r="H22" i="2" l="1"/>
  <c r="A40" i="12"/>
  <c r="J652" i="1"/>
  <c r="D6" i="13"/>
  <c r="C6" i="13" s="1"/>
  <c r="D15" i="13"/>
  <c r="C15" i="13" s="1"/>
  <c r="C121" i="2"/>
  <c r="C120" i="2"/>
  <c r="H120" i="2" s="1"/>
  <c r="H121" i="2"/>
  <c r="H59" i="2"/>
  <c r="H44" i="2"/>
  <c r="H27" i="2"/>
  <c r="G62" i="2"/>
  <c r="H21" i="2"/>
  <c r="H477" i="1"/>
  <c r="H625" i="1" s="1"/>
  <c r="J625" i="1" s="1"/>
  <c r="H11" i="2"/>
  <c r="H29" i="2"/>
  <c r="H23" i="2"/>
  <c r="H12" i="2"/>
  <c r="H8" i="2"/>
  <c r="G477" i="1"/>
  <c r="B33" i="16" s="1"/>
  <c r="D78" i="2"/>
  <c r="H78" i="2" s="1"/>
  <c r="H77" i="2"/>
  <c r="E119" i="2"/>
  <c r="H119" i="2" s="1"/>
  <c r="H409" i="1"/>
  <c r="H645" i="1" s="1"/>
  <c r="G339" i="1"/>
  <c r="G353" i="1" s="1"/>
  <c r="J258" i="1"/>
  <c r="J272" i="1" s="1"/>
  <c r="E123" i="2"/>
  <c r="H123" i="2" s="1"/>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H624" i="1" l="1"/>
  <c r="J624" i="1" s="1"/>
  <c r="L572" i="1"/>
  <c r="I663" i="1"/>
  <c r="H91" i="2"/>
  <c r="C81" i="2"/>
  <c r="H81" i="2" s="1"/>
  <c r="H18" i="2"/>
  <c r="F661" i="1"/>
  <c r="E128" i="2"/>
  <c r="H118" i="2"/>
  <c r="E115" i="2"/>
  <c r="H109" i="2"/>
  <c r="H50" i="2"/>
  <c r="E51" i="2"/>
  <c r="D128" i="2"/>
  <c r="H127" i="2"/>
  <c r="D63" i="2"/>
  <c r="D104" i="2" s="1"/>
  <c r="H62" i="2"/>
  <c r="D51" i="2"/>
  <c r="H31" i="2"/>
  <c r="F144" i="2"/>
  <c r="H130" i="2"/>
  <c r="H661" i="1"/>
  <c r="H665" i="1" s="1"/>
  <c r="H668" i="1" s="1"/>
  <c r="H194" i="1"/>
  <c r="G630" i="1" s="1"/>
  <c r="J630" i="1" s="1"/>
  <c r="H649" i="1"/>
  <c r="J649" i="1" s="1"/>
  <c r="C141" i="2"/>
  <c r="F51" i="2"/>
  <c r="G36" i="14"/>
  <c r="H36" i="14" s="1"/>
  <c r="I36" i="14" s="1"/>
  <c r="E145" i="2"/>
  <c r="E104" i="2"/>
  <c r="C36" i="10"/>
  <c r="L435" i="1"/>
  <c r="G639" i="1" s="1"/>
  <c r="J639" i="1" s="1"/>
  <c r="F665" i="1"/>
  <c r="F668" i="1" s="1"/>
  <c r="I662" i="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15" i="2" l="1"/>
  <c r="C104" i="2"/>
  <c r="H104" i="2" s="1"/>
  <c r="H63" i="2"/>
  <c r="C144" i="2"/>
  <c r="H141" i="2"/>
  <c r="H51" i="2"/>
  <c r="D145" i="2"/>
  <c r="H128" i="2"/>
  <c r="H673" i="1"/>
  <c r="C6" i="10" s="1"/>
  <c r="F145" i="2"/>
  <c r="H14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5" i="2" l="1"/>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<sst xmlns="http://schemas.openxmlformats.org/spreadsheetml/2006/main" count="6540" uniqueCount="1803">
  <si>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</si>
  <si>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</si>
  <si>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</si>
  <si>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</si>
  <si>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</si>
  <si>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</si>
  <si>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</si>
  <si>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</si>
  <si>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</si>
  <si>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</si>
  <si>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</si>
  <si>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</si>
  <si>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</si>
  <si>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</si>
  <si>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</si>
  <si>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</si>
  <si>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</si>
  <si>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</si>
  <si>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</si>
  <si>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</si>
  <si>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</si>
  <si>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</si>
  <si>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</si>
  <si>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</si>
  <si>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</si>
  <si>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</si>
  <si>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</si>
  <si>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</si>
  <si>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</si>
  <si>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</si>
  <si>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</si>
  <si>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</si>
  <si>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</si>
  <si>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</si>
  <si>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</si>
  <si>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</si>
  <si>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</si>
  <si>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</si>
  <si>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</si>
  <si>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</si>
  <si>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</si>
  <si>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</si>
  <si>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</si>
  <si>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</si>
  <si>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</si>
  <si>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</si>
  <si>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</si>
  <si>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</si>
  <si>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</si>
  <si>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</si>
  <si>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</si>
  <si>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</si>
  <si>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</si>
  <si>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</si>
  <si>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</si>
  <si>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</si>
  <si>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</si>
  <si>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</si>
  <si>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</si>
  <si>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</si>
  <si>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</si>
  <si>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</si>
  <si>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</si>
  <si>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</si>
  <si>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</si>
  <si>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</si>
  <si>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</si>
  <si>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</si>
  <si>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</si>
  <si>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</si>
  <si>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</si>
  <si>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</si>
  <si>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</si>
  <si>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</si>
  <si>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</si>
  <si>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</si>
  <si>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</si>
  <si>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</si>
  <si>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</si>
  <si>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</si>
  <si>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</si>
  <si>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</si>
  <si>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</si>
  <si>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</si>
  <si>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</si>
  <si>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</si>
  <si>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</si>
  <si>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</si>
  <si>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</si>
  <si>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</si>
  <si>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</si>
  <si>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</si>
  <si>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</si>
  <si>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</si>
  <si>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</si>
  <si>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</si>
  <si>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</si>
  <si>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</si>
  <si>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</si>
  <si>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</si>
  <si>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</si>
  <si>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</si>
  <si>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</si>
  <si>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</si>
  <si>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</si>
  <si>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</si>
  <si>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</si>
  <si>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</si>
  <si>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</si>
  <si>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</si>
  <si>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</si>
  <si>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</si>
  <si>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</si>
  <si>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</si>
  <si>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</si>
  <si>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</si>
  <si>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</si>
  <si>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</si>
  <si>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</si>
  <si>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</si>
  <si>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</si>
  <si>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</si>
  <si>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</si>
  <si>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</si>
  <si>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</si>
  <si>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</si>
  <si>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</si>
  <si>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</si>
  <si>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</si>
  <si>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</si>
  <si>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</si>
  <si>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</si>
  <si>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</si>
  <si>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</si>
  <si>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</si>
  <si>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</si>
  <si>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</si>
  <si>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</si>
  <si>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</si>
  <si>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</si>
  <si>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</si>
  <si>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</si>
  <si>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</si>
  <si>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</si>
  <si>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</si>
  <si>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</si>
  <si>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</si>
  <si>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</si>
  <si>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</si>
  <si>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</si>
  <si>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</si>
  <si>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</si>
  <si>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</si>
  <si>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</si>
  <si>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</si>
  <si>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</si>
  <si>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</si>
  <si>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</si>
  <si>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</si>
  <si>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</si>
  <si>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</si>
  <si>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</si>
  <si>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</si>
  <si>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</si>
  <si>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</si>
  <si>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</si>
  <si>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</si>
  <si>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</si>
  <si>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</si>
  <si>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</si>
  <si>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</si>
  <si>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</si>
  <si>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</si>
  <si>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</si>
  <si>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</si>
  <si>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</si>
  <si>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</si>
  <si>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</si>
  <si>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</si>
  <si>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</si>
  <si>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</si>
  <si>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</si>
  <si>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</si>
  <si>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</si>
  <si>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</si>
  <si>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</si>
  <si>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</si>
  <si>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</si>
  <si>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</si>
  <si>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</si>
  <si>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</si>
  <si>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</si>
  <si>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</si>
  <si>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</si>
  <si>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</si>
  <si>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</si>
  <si>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</si>
  <si>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</si>
  <si>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</si>
  <si>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</si>
  <si>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</si>
  <si>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</si>
  <si>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</si>
  <si>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</si>
  <si>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</si>
  <si>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</si>
  <si>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</si>
  <si>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</si>
  <si>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</si>
  <si>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</si>
  <si>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</si>
  <si>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</si>
  <si>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</si>
  <si>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</si>
  <si>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</si>
  <si>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</si>
  <si>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</si>
  <si>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</si>
  <si>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</si>
  <si>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</si>
  <si>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</si>
  <si>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</si>
  <si>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</si>
  <si>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</si>
  <si>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</si>
  <si>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</si>
  <si>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</si>
  <si>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</si>
  <si>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</si>
  <si>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</si>
  <si>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</si>
  <si>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</si>
  <si>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</si>
  <si>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</si>
  <si>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</si>
  <si>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</si>
  <si>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</si>
  <si>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</si>
  <si>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</si>
  <si>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</si>
  <si>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</si>
  <si>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</si>
  <si>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</si>
  <si>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</si>
  <si>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</si>
  <si>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</si>
  <si>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</si>
  <si>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</si>
  <si>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</si>
  <si>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</si>
  <si>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</si>
  <si>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</si>
  <si>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</si>
  <si>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</si>
  <si>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</si>
  <si>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</si>
  <si>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</si>
  <si>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</si>
  <si>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</si>
  <si>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</si>
  <si>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</si>
  <si>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</si>
  <si>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</si>
  <si>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</si>
  <si>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</si>
  <si>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</si>
  <si>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</si>
  <si>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</si>
  <si>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</si>
  <si>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</si>
  <si>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</si>
  <si>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</si>
  <si>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</si>
  <si>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</si>
  <si>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</si>
  <si>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</si>
  <si>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</si>
  <si>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</si>
  <si>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</si>
  <si>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</si>
  <si>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</si>
  <si>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</si>
  <si>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</si>
  <si>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</si>
  <si>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</si>
  <si>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</si>
  <si>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</si>
  <si>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</si>
  <si>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</si>
  <si>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</si>
  <si>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</si>
  <si>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</si>
  <si>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</si>
  <si>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</si>
  <si>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</si>
  <si>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</si>
  <si>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</si>
  <si>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</si>
  <si>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</si>
  <si>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</si>
  <si>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</si>
  <si>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</si>
  <si>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</si>
  <si>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</si>
  <si>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</si>
  <si>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</si>
  <si>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</si>
  <si>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</si>
  <si>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</si>
  <si>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</si>
  <si>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</si>
  <si>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</si>
  <si>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</si>
  <si>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</si>
  <si>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</si>
  <si>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</si>
  <si>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</si>
  <si>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</si>
  <si>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</si>
  <si>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</si>
  <si>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</si>
  <si>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</si>
  <si>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</si>
  <si>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</si>
  <si>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</si>
  <si>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</si>
  <si>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</si>
  <si>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</si>
  <si>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</si>
  <si>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</si>
  <si>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</si>
  <si>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</si>
  <si>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</si>
  <si>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</si>
  <si>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</si>
  <si>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</si>
  <si>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</si>
  <si>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</si>
  <si>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</si>
  <si>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</si>
  <si>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</si>
  <si>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</si>
  <si>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</si>
  <si>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</si>
  <si>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</si>
  <si>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</si>
  <si>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</si>
  <si>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</si>
  <si>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</si>
  <si>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</si>
  <si>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</si>
  <si>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</si>
  <si>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</si>
  <si>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</si>
  <si>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</si>
  <si>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</si>
  <si>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</si>
  <si>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</si>
  <si>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</si>
  <si>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</si>
  <si>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</si>
  <si>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</si>
  <si>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</si>
  <si>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</si>
  <si>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</si>
  <si>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</si>
  <si>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</si>
  <si>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</si>
  <si>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</si>
  <si>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</si>
  <si>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</si>
  <si>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</si>
  <si>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</si>
  <si>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</si>
  <si>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</si>
  <si>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</si>
  <si>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</si>
  <si>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</si>
  <si>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</si>
  <si>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</si>
  <si>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</si>
  <si>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</si>
  <si>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</si>
  <si>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</si>
  <si>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</si>
  <si>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</si>
  <si>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</si>
  <si>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</si>
  <si>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</si>
  <si>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</si>
  <si>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</si>
  <si>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</si>
  <si>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</si>
  <si>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</si>
  <si>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</si>
  <si>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</si>
  <si>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</si>
  <si>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</si>
  <si>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</si>
  <si>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</si>
  <si>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</si>
  <si>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</si>
  <si>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</si>
  <si>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</si>
  <si>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</si>
  <si>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</si>
  <si>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</si>
  <si>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</si>
  <si>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</si>
  <si>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</si>
  <si>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</si>
  <si>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</si>
  <si>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</si>
  <si>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</si>
  <si>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</si>
  <si>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</si>
  <si>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</si>
  <si>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</si>
  <si>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</si>
  <si>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</si>
  <si>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</si>
  <si>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</si>
  <si>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</si>
  <si>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</si>
  <si>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</si>
  <si>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</si>
  <si>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</si>
  <si>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</si>
  <si>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</si>
  <si>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</si>
  <si>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</si>
  <si>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</si>
  <si>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</si>
  <si>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</si>
  <si>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</si>
  <si>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</si>
  <si>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</si>
  <si>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</si>
  <si>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</si>
  <si>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</si>
  <si>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</si>
  <si>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</si>
  <si>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</si>
  <si>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</si>
  <si>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</si>
  <si>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</si>
  <si>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</si>
  <si>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</si>
  <si>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</si>
  <si>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</si>
  <si>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</si>
  <si>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</si>
  <si>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</si>
  <si>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</si>
  <si>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</si>
  <si>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</si>
  <si>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</si>
  <si>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</si>
  <si>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</si>
  <si>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</si>
  <si>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</si>
  <si>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</si>
  <si>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</si>
  <si>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</si>
  <si>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</si>
  <si>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</si>
  <si>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</si>
  <si>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</si>
  <si>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</si>
  <si>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</si>
  <si>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</si>
  <si>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</si>
  <si>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</si>
  <si>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</si>
  <si>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</si>
  <si>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</si>
  <si>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</si>
  <si>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</si>
  <si>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</si>
  <si>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</si>
  <si>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</si>
  <si>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</si>
  <si>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</si>
  <si>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</si>
  <si>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</si>
  <si>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</si>
  <si>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</si>
  <si>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</si>
  <si>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</si>
  <si>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</si>
  <si>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</si>
  <si>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</si>
  <si>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</si>
  <si>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</si>
  <si>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</si>
  <si>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</si>
  <si>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</si>
  <si>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</si>
  <si>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</si>
  <si>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</si>
  <si>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</si>
  <si>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</si>
  <si>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</si>
  <si>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</si>
  <si>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</si>
  <si>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</si>
  <si>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</si>
  <si>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</si>
  <si>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</si>
  <si>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</si>
  <si>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</si>
  <si>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</si>
  <si>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</si>
  <si>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</si>
  <si>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</si>
  <si>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</si>
  <si>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</si>
  <si>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</si>
  <si>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</si>
  <si>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</si>
  <si>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</si>
  <si>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</si>
  <si>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</si>
  <si>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</si>
  <si>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</si>
  <si>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</si>
  <si>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</si>
  <si>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</si>
  <si>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</si>
  <si>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</si>
  <si>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</si>
  <si>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</si>
  <si>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</si>
  <si>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</si>
  <si>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</si>
  <si>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</si>
  <si>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</si>
  <si>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</si>
  <si>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</si>
  <si>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</si>
  <si>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</si>
  <si>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</si>
  <si>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</si>
  <si>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</si>
  <si>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</si>
  <si>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</si>
  <si>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</si>
  <si>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</si>
  <si>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</si>
  <si>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</si>
  <si>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</si>
  <si>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</si>
  <si>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</si>
  <si>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</si>
  <si>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</si>
  <si>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</si>
  <si>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</si>
  <si>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</si>
  <si>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</si>
  <si>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</si>
  <si>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</si>
  <si>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</si>
  <si>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</si>
  <si>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</si>
  <si>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</si>
  <si>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</si>
  <si>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</si>
  <si>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</si>
  <si>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</si>
  <si>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</si>
  <si>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</si>
  <si>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</si>
  <si>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</si>
  <si>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</si>
  <si>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</si>
  <si>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</si>
  <si>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</si>
  <si>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</si>
  <si>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</si>
  <si>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</si>
  <si>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</si>
  <si>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</si>
  <si>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</si>
  <si>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</si>
  <si>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</si>
  <si>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</si>
  <si>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</si>
  <si>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</si>
  <si>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</si>
  <si>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</si>
  <si>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</si>
  <si>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</si>
  <si>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</si>
  <si>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</si>
  <si>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</si>
  <si>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</si>
  <si>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</si>
  <si>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</si>
  <si>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</si>
  <si>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</si>
  <si>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</si>
  <si>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</si>
  <si>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</si>
  <si>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</si>
  <si>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</si>
  <si>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</si>
  <si>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</si>
  <si>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</si>
  <si>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</si>
  <si>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</si>
  <si>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</si>
  <si>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</si>
  <si>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</si>
  <si>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</si>
  <si>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</si>
  <si>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</si>
  <si>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</si>
  <si>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</si>
  <si>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</si>
  <si>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</si>
  <si>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</si>
  <si>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</si>
  <si>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</si>
  <si>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</si>
  <si>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</si>
  <si>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</si>
  <si>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</si>
  <si>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</si>
  <si>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</si>
  <si>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</si>
  <si>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</si>
  <si>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</si>
  <si>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</si>
  <si>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</si>
  <si>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</si>
  <si>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</si>
  <si>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</si>
  <si>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</si>
  <si>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</si>
  <si>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</si>
  <si>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</si>
  <si>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</si>
  <si>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</si>
  <si>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</si>
  <si>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</si>
  <si>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</si>
  <si>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</si>
  <si>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</si>
  <si>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</si>
  <si>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</si>
  <si>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</si>
  <si>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</si>
  <si>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</si>
  <si>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</si>
  <si>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</si>
  <si>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</si>
  <si>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</si>
  <si>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</si>
  <si>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</si>
  <si>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</si>
  <si>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</si>
  <si>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</si>
  <si>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</si>
  <si>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</si>
  <si>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</si>
  <si>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</si>
  <si>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</si>
  <si>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</si>
  <si>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</si>
  <si>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</si>
  <si>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</si>
  <si>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</si>
  <si>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</si>
  <si>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</si>
  <si>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</si>
  <si>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</si>
  <si>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</si>
  <si>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</si>
  <si>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</si>
  <si>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</si>
  <si>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</si>
  <si>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</si>
  <si>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</si>
  <si>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</si>
  <si>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</si>
  <si>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</si>
  <si>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</si>
  <si>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</si>
  <si>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</si>
  <si>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</si>
  <si>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</si>
  <si>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</si>
  <si>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</si>
  <si>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</si>
  <si>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</si>
  <si>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</si>
  <si>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</si>
  <si>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</si>
  <si>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</si>
  <si>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</si>
  <si>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</si>
  <si>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</si>
  <si>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</si>
  <si>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</si>
  <si>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</si>
  <si>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</si>
  <si>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</si>
  <si>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</si>
  <si>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</si>
  <si>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</si>
  <si>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</si>
  <si>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</si>
  <si>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</si>
  <si>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</si>
  <si>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</si>
  <si>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</si>
  <si>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</si>
  <si>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</si>
  <si>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</si>
  <si>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</si>
  <si>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</si>
  <si>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</si>
  <si>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</si>
  <si>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</si>
  <si>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</si>
  <si>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</si>
  <si>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</si>
  <si>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</si>
  <si>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</si>
  <si>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</si>
  <si>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</si>
  <si>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</si>
  <si>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</si>
  <si>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</si>
  <si>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</si>
  <si>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</si>
  <si>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</si>
  <si>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</si>
  <si>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</si>
  <si>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</si>
  <si>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</si>
  <si>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</si>
  <si>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</si>
  <si>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</si>
  <si>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</si>
  <si>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</si>
  <si>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</si>
  <si>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</si>
  <si>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</si>
  <si>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</si>
  <si>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</si>
  <si>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</si>
  <si>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</si>
  <si>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</si>
  <si>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</si>
  <si>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</si>
  <si>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</si>
  <si>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</si>
  <si>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</si>
  <si>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</si>
  <si>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</si>
  <si>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</si>
  <si>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</si>
  <si>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</si>
  <si>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</si>
  <si>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</si>
  <si>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</si>
  <si>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</si>
  <si>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</si>
  <si>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</si>
  <si>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</si>
  <si>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</si>
  <si>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</si>
  <si>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</si>
  <si>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</si>
  <si>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</si>
  <si>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</si>
  <si>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</si>
  <si>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</si>
  <si>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</si>
  <si>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</si>
  <si>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</si>
  <si>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</si>
  <si>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</si>
  <si>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</si>
  <si>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</si>
  <si>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</si>
  <si>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</si>
  <si>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</si>
  <si>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</si>
  <si>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</si>
  <si>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</si>
  <si>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</si>
  <si>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</si>
  <si>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</si>
  <si>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</si>
  <si>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</si>
  <si>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</si>
  <si>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</si>
  <si>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</si>
  <si>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</si>
  <si>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</si>
  <si>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</si>
  <si>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</si>
  <si>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</si>
  <si>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</si>
  <si>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</si>
  <si>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</si>
  <si>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</si>
  <si>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</si>
  <si>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</si>
  <si>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</si>
  <si>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</si>
  <si>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</si>
  <si>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</si>
  <si>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</si>
  <si>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</si>
  <si>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</si>
  <si>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</si>
  <si>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</si>
  <si>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</si>
  <si>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</si>
  <si>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</si>
  <si>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</si>
  <si>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</si>
  <si>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</si>
  <si>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</si>
  <si>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</si>
  <si>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</si>
  <si>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</si>
  <si>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</si>
  <si>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</si>
  <si>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</si>
  <si>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</si>
  <si>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</si>
  <si>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</si>
  <si>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</si>
  <si>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</si>
  <si>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</si>
  <si>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</si>
  <si>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</si>
  <si>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</si>
  <si>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</si>
  <si>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</si>
  <si>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</si>
  <si>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</si>
  <si>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</si>
  <si>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</si>
  <si>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</si>
  <si>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</si>
  <si>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</si>
  <si>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</si>
  <si>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</si>
  <si>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</si>
  <si>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</si>
  <si>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</si>
  <si>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</si>
  <si>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</si>
  <si>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</si>
  <si>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</si>
  <si>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</si>
  <si>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</si>
  <si>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</si>
  <si>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</si>
  <si>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</si>
  <si>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</si>
  <si>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</si>
  <si>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</si>
  <si>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</si>
  <si>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</si>
  <si>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</si>
  <si>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</si>
  <si>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</si>
  <si>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</si>
  <si>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</si>
  <si>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</si>
  <si>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</si>
  <si>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</si>
  <si>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</si>
  <si>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</si>
  <si>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</si>
  <si>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</si>
  <si>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</si>
  <si>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</si>
  <si>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</si>
  <si>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</si>
  <si>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</si>
  <si>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</si>
  <si>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</si>
  <si>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</si>
  <si>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</si>
  <si>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</si>
  <si>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</si>
  <si>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</si>
  <si>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</si>
  <si>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</si>
  <si>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</si>
  <si>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</si>
  <si>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</si>
  <si>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</si>
  <si>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</si>
  <si>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</si>
  <si>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</si>
  <si>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</si>
  <si>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</si>
  <si>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</si>
  <si>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</si>
  <si>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</si>
  <si>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</si>
  <si>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</si>
  <si>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</si>
  <si>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</si>
  <si>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</si>
  <si>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</si>
  <si>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</si>
  <si>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</si>
  <si>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</si>
  <si>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</si>
  <si>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</si>
  <si>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</si>
  <si>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</si>
  <si>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</si>
  <si>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</si>
  <si>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</si>
  <si>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</si>
  <si>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</si>
  <si>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</si>
  <si>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</si>
  <si>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</si>
  <si>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</si>
  <si>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</si>
  <si>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</si>
  <si>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</si>
  <si>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</si>
  <si>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</si>
  <si>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</si>
  <si>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</si>
  <si>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</si>
  <si>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</si>
  <si>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</si>
  <si>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</si>
  <si>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</si>
  <si>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</si>
  <si>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</si>
  <si>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</si>
  <si>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</si>
  <si>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</si>
  <si>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</si>
  <si>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</si>
  <si>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</si>
  <si>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</si>
  <si>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</si>
  <si>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</si>
  <si>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</si>
  <si>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</si>
  <si>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</si>
  <si>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</si>
  <si>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</si>
  <si>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</si>
  <si>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</si>
  <si>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</si>
  <si>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</si>
  <si>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</si>
  <si>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</si>
  <si>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</si>
  <si>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</si>
  <si>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</si>
  <si>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</si>
  <si>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</si>
  <si>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</si>
  <si>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</si>
  <si>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</si>
  <si>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</si>
  <si>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</si>
  <si>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</si>
  <si>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</si>
  <si>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</si>
  <si>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</si>
  <si>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</si>
  <si>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</si>
  <si>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</si>
  <si>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</si>
  <si>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</si>
  <si>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</si>
  <si>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</si>
  <si>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</si>
  <si>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</si>
  <si>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</si>
  <si>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</si>
  <si>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</si>
  <si>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</si>
  <si>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</si>
  <si>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</si>
  <si>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</si>
  <si>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</si>
  <si>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</si>
  <si>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</si>
  <si>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</si>
  <si>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</si>
  <si>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</si>
  <si>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</si>
  <si>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</si>
  <si>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</si>
  <si>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</si>
  <si>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</si>
  <si>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</si>
  <si>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</si>
  <si>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</si>
  <si>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</si>
  <si>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</si>
  <si>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</si>
  <si>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</si>
  <si>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</si>
  <si>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</si>
  <si>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</si>
  <si>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</si>
  <si>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</si>
  <si>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</si>
  <si>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</si>
  <si>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</si>
  <si>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</si>
  <si>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</si>
  <si>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</si>
  <si>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</si>
  <si>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</si>
  <si>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</si>
  <si>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</si>
  <si>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</si>
  <si>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</si>
  <si>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</si>
  <si>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</si>
  <si>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</si>
  <si>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</si>
  <si>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</si>
  <si>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</si>
  <si>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</si>
  <si>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</si>
  <si>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</si>
  <si>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</si>
  <si>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</si>
  <si>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</si>
  <si>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</si>
  <si>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</si>
  <si>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</si>
  <si>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</si>
  <si>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</si>
  <si>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</si>
  <si>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</si>
  <si>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</si>
  <si>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</si>
  <si>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</si>
  <si>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</si>
  <si>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</si>
  <si>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</si>
  <si>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</si>
  <si>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</si>
  <si>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</si>
  <si>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</si>
  <si>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</si>
  <si>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</si>
  <si>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</si>
  <si>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</si>
  <si>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</si>
  <si>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</si>
  <si>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</si>
  <si>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</si>
  <si>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</si>
  <si>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</si>
  <si>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</si>
  <si>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</si>
  <si>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</si>
  <si>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</si>
  <si>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</si>
  <si>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</si>
  <si>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</si>
  <si>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</si>
  <si>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</si>
  <si>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</si>
  <si>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</si>
  <si>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</si>
  <si>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</si>
  <si>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</si>
  <si>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</si>
  <si>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</si>
  <si>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</si>
  <si>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</si>
  <si>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</si>
  <si>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</si>
  <si>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</si>
  <si>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</si>
  <si>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</si>
  <si>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</si>
  <si>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</si>
  <si>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</si>
  <si>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</si>
  <si>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</si>
  <si>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</si>
  <si>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</si>
  <si>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</si>
  <si>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</si>
  <si>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</si>
  <si>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</si>
  <si>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</si>
  <si>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</si>
  <si>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</si>
  <si>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</si>
  <si>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</si>
  <si>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</si>
  <si>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</si>
  <si>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</si>
  <si>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</si>
  <si>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</si>
  <si>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</si>
  <si>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</si>
  <si>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</si>
  <si>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</si>
  <si>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</si>
  <si>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</si>
  <si>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</si>
  <si>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</si>
  <si>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</si>
  <si>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</si>
  <si>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</si>
  <si>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</si>
  <si>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</si>
  <si>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</si>
  <si>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</si>
  <si>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</si>
  <si>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</si>
  <si>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</si>
  <si>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</si>
  <si>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</si>
  <si>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</si>
  <si>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</si>
  <si>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</si>
  <si>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</si>
  <si>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</si>
  <si>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</si>
  <si>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</si>
  <si>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</si>
  <si>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</si>
  <si>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</si>
  <si>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</si>
  <si>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</si>
  <si>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</si>
  <si>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</si>
  <si>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</si>
  <si>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</si>
  <si>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</si>
  <si>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</si>
  <si>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</si>
  <si>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</si>
  <si>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</si>
  <si>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</si>
  <si>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</si>
  <si>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</si>
  <si>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</si>
  <si>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</si>
  <si>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</si>
  <si>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</si>
  <si>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</si>
  <si>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</si>
  <si>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</si>
  <si>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</si>
  <si>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</si>
  <si>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</si>
  <si>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</si>
  <si>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</si>
  <si>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</si>
  <si>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</si>
  <si>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</si>
  <si>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</si>
  <si>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</si>
  <si>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</si>
  <si>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</si>
  <si>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</si>
  <si>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</si>
  <si>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</si>
  <si>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</si>
  <si>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</si>
  <si>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</si>
  <si>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</si>
  <si>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</si>
  <si>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</si>
  <si>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</si>
  <si>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</si>
  <si>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</si>
  <si>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</si>
  <si>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</si>
  <si>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</si>
  <si>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</si>
  <si>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</si>
  <si>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</si>
  <si>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</si>
  <si>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</si>
  <si>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</si>
  <si>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</si>
  <si>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</si>
  <si>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</si>
  <si>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</si>
  <si>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</si>
  <si>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</si>
  <si>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</si>
  <si>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</si>
  <si>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</si>
  <si>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</si>
  <si>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</si>
  <si>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</si>
  <si>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</si>
  <si>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</si>
  <si>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</si>
  <si>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</si>
  <si>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</si>
  <si>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</si>
  <si>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</si>
  <si>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</si>
  <si>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</si>
  <si>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</si>
  <si>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</si>
  <si>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</si>
  <si>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</si>
  <si>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</si>
  <si>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</si>
  <si>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</si>
  <si>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</si>
  <si>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</si>
  <si>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</si>
  <si>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</si>
  <si>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</si>
  <si>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</si>
  <si>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</si>
  <si>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</si>
  <si>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</si>
  <si>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</si>
  <si>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</si>
  <si>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</si>
  <si>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</si>
  <si>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</si>
  <si>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</si>
  <si>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</si>
  <si>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</si>
  <si>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</si>
  <si>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</si>
  <si>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</si>
  <si>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</si>
  <si>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</si>
  <si>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</si>
  <si>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</si>
  <si>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</si>
  <si>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</si>
  <si>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</si>
  <si>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</si>
  <si>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</si>
  <si>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</si>
  <si>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</si>
  <si>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</si>
  <si>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</si>
  <si>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</si>
  <si>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</si>
  <si>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</si>
  <si>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</si>
  <si>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</si>
  <si>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</si>
  <si>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</si>
  <si>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</si>
  <si>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</si>
  <si>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</si>
  <si>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</si>
  <si>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</si>
  <si>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</si>
  <si>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</si>
  <si>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</si>
  <si>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</si>
  <si>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</si>
  <si>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</si>
  <si>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</si>
  <si>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</si>
  <si>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</si>
  <si>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</si>
  <si>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</si>
  <si>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</si>
  <si>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</si>
  <si>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</si>
  <si>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</si>
  <si>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</si>
  <si>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</si>
  <si>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</si>
  <si>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</si>
  <si>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</si>
  <si>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</si>
  <si>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</si>
  <si>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</si>
  <si>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</si>
  <si>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</si>
  <si>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</si>
  <si>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</si>
  <si>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</si>
  <si>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</si>
  <si>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</si>
  <si>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</si>
  <si>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</si>
  <si>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</si>
  <si>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</si>
  <si>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</si>
  <si>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</si>
  <si>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</si>
  <si>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</si>
  <si>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</si>
  <si>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</si>
  <si>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</si>
  <si>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</si>
  <si>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</si>
  <si>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</si>
  <si>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</si>
  <si>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</si>
  <si>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</si>
  <si>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</si>
  <si>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</si>
  <si>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</si>
  <si>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</si>
  <si>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</si>
  <si>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</si>
  <si>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</si>
  <si>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</si>
  <si>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</si>
  <si>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</si>
  <si>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</si>
  <si>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</si>
  <si>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</si>
  <si>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</si>
  <si>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</si>
  <si>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</si>
  <si>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</si>
  <si>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</si>
  <si>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</si>
  <si>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</si>
  <si>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</si>
  <si>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</si>
  <si>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</si>
  <si>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</si>
  <si>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</si>
  <si>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</si>
  <si>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</si>
  <si>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</si>
  <si>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</si>
  <si>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</si>
  <si>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</si>
  <si>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</si>
  <si>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</si>
  <si>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</si>
  <si>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</si>
  <si>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</si>
  <si>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</si>
  <si>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</si>
  <si>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</si>
  <si>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</si>
  <si>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</si>
  <si>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</si>
  <si>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</si>
  <si>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</si>
  <si>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</si>
  <si>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</si>
  <si>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</si>
  <si>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</si>
  <si>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</si>
  <si>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</si>
  <si>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</si>
  <si>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</si>
  <si>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</si>
  <si>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</si>
  <si>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</si>
  <si>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</si>
  <si>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</si>
  <si>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</si>
  <si>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</si>
  <si>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</si>
  <si>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</si>
  <si>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</si>
  <si>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</si>
  <si>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</si>
  <si>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</si>
  <si>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</si>
  <si>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</si>
  <si>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</si>
  <si>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</si>
  <si>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</si>
  <si>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</si>
  <si>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</si>
  <si>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</si>
  <si>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</si>
  <si>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</si>
  <si>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</si>
  <si>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</si>
  <si>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</si>
  <si>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</si>
  <si>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</si>
  <si>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</si>
  <si>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</si>
  <si>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</si>
  <si>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</si>
  <si>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</si>
  <si>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</si>
  <si>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</si>
  <si>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</si>
  <si>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</si>
  <si>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</si>
  <si>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</si>
  <si>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</si>
  <si>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</si>
  <si>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</si>
  <si>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</si>
  <si>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</si>
  <si>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</si>
  <si>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</si>
  <si>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</si>
  <si>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</si>
  <si>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</si>
  <si>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</si>
  <si>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</si>
  <si>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</si>
  <si>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</si>
  <si>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</si>
  <si>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</si>
  <si>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</si>
  <si>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</si>
  <si>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</si>
  <si>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</si>
  <si>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</si>
  <si>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</si>
  <si>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</si>
  <si>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</si>
  <si>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</si>
  <si>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</si>
  <si>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</si>
  <si>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</si>
  <si>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</si>
  <si>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</si>
  <si>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</si>
  <si>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</si>
  <si>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</si>
  <si>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</si>
  <si>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</si>
  <si>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</si>
  <si>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</si>
  <si>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</si>
  <si>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</si>
  <si>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</si>
  <si>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</si>
  <si>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</si>
  <si>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</si>
  <si>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</si>
  <si>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</si>
  <si>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</si>
  <si>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</si>
  <si>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</si>
  <si>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</si>
  <si>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</si>
  <si>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</si>
  <si>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</si>
  <si>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</si>
  <si>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</si>
  <si>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</si>
  <si>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</si>
  <si>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</si>
  <si>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</si>
  <si>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</si>
  <si>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</si>
  <si>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</si>
  <si>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</si>
  <si>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</si>
  <si>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</si>
  <si>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</si>
  <si>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</si>
  <si>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</si>
  <si>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</si>
  <si>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</si>
  <si>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</si>
  <si>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</si>
  <si>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</si>
  <si>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</si>
  <si>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</si>
  <si>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</si>
  <si>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</si>
  <si>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</si>
  <si>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</si>
  <si>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</si>
  <si>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</si>
  <si>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</si>
  <si>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</si>
  <si>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</si>
  <si>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</si>
  <si>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</si>
  <si>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</si>
  <si>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</si>
  <si>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</si>
  <si>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</si>
  <si>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</si>
  <si>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</si>
  <si>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</si>
  <si>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</si>
  <si>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</si>
  <si>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</si>
  <si>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</si>
  <si>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</si>
  <si>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</si>
  <si>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</si>
  <si>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</si>
  <si>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</si>
  <si>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</si>
  <si>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</si>
  <si>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</si>
  <si>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</si>
  <si>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</si>
  <si>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</si>
  <si>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</si>
  <si>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</si>
  <si>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</si>
  <si>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</si>
  <si>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</si>
  <si>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</si>
  <si>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</si>
  <si>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</si>
  <si>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</si>
  <si>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</si>
  <si>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</si>
  <si>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</si>
  <si>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</si>
  <si>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</si>
  <si>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</si>
  <si>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</si>
  <si>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</si>
  <si>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</si>
  <si>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</si>
  <si>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</si>
  <si>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</si>
  <si>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</si>
  <si>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</si>
  <si>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</si>
  <si>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</si>
  <si>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</si>
  <si>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</si>
  <si>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</si>
  <si>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</si>
  <si>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</si>
  <si>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</si>
  <si>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</si>
  <si>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</si>
  <si>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</si>
  <si>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</si>
  <si>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</si>
  <si>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</si>
  <si>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</si>
  <si>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</si>
  <si>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</si>
  <si>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</si>
  <si>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</si>
  <si>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</si>
  <si>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</si>
  <si>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</si>
  <si>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</si>
  <si>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</si>
  <si>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</si>
  <si>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</si>
  <si>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</si>
  <si>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</si>
  <si>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</si>
  <si>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</si>
  <si>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</si>
  <si>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</si>
  <si>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</si>
  <si>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</si>
  <si>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</si>
  <si>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</si>
  <si>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</si>
  <si>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</si>
  <si>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</si>
  <si>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</si>
  <si>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</si>
  <si>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</si>
  <si>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</si>
  <si>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</si>
  <si>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</si>
  <si>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</si>
  <si>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</si>
  <si>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</si>
  <si>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</si>
  <si>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</si>
  <si>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</si>
  <si>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</si>
  <si>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</si>
  <si>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</si>
  <si>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</si>
  <si>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</si>
  <si>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</si>
  <si>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</si>
  <si>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</si>
  <si>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</si>
  <si>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</si>
  <si>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</si>
  <si>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</si>
  <si>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</si>
  <si>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</si>
  <si>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</si>
  <si>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</si>
  <si>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</si>
  <si>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</si>
  <si>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</si>
  <si>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</si>
  <si>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</si>
  <si>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</si>
  <si>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</si>
  <si>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</si>
  <si>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</si>
  <si>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</si>
  <si>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</si>
  <si>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</si>
  <si>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</si>
  <si>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</si>
  <si>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</si>
  <si>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</si>
  <si>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</si>
  <si>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</si>
  <si>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</si>
  <si>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</si>
  <si>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</si>
  <si>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</si>
  <si>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</si>
  <si>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</si>
  <si>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</si>
  <si>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</si>
  <si>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</si>
  <si>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</si>
  <si>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</si>
  <si>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</si>
  <si>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</si>
  <si>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</si>
  <si>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</si>
  <si>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</si>
  <si>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</si>
  <si>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</si>
  <si>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</si>
  <si>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</si>
  <si>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</si>
  <si>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</si>
  <si>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</si>
  <si>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</si>
  <si>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</si>
  <si>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</si>
  <si>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</si>
  <si>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</si>
  <si>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</si>
  <si>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</si>
  <si>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</si>
  <si>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</si>
  <si>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</si>
  <si>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</si>
  <si>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</si>
  <si>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</si>
  <si>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</si>
  <si>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</si>
  <si>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</si>
  <si>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</si>
  <si>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</si>
  <si>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</si>
  <si>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</si>
  <si>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</si>
  <si>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</si>
  <si>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</si>
  <si>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</si>
  <si>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</si>
  <si>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</si>
  <si>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</si>
  <si>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</si>
  <si>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</si>
  <si>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</si>
  <si>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</si>
  <si>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</si>
  <si>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</si>
  <si>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</si>
  <si>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</si>
  <si>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</si>
  <si>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</si>
  <si>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</si>
  <si>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</si>
  <si>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</si>
  <si>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</si>
  <si>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</si>
  <si>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</si>
  <si>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</si>
  <si>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</si>
  <si>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</si>
  <si>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</si>
  <si>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</si>
  <si>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</si>
  <si>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</si>
  <si>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</si>
  <si>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</si>
  <si>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</si>
  <si>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</si>
  <si>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</si>
  <si>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</si>
  <si>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</si>
  <si>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</si>
  <si>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</si>
  <si>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</si>
  <si>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</si>
  <si>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</si>
  <si>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</si>
  <si>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</si>
  <si>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</si>
  <si>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</si>
  <si>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</si>
  <si>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</si>
  <si>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</si>
  <si>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</si>
  <si>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</si>
  <si>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</si>
  <si>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</si>
  <si>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</si>
  <si>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</si>
  <si>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</si>
  <si>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</si>
  <si>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</si>
  <si>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</si>
  <si>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</si>
  <si>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</si>
  <si>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</si>
  <si>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</si>
  <si>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</si>
  <si>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</si>
  <si>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</si>
  <si>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</si>
  <si>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</si>
  <si>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</si>
  <si>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</si>
  <si>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</si>
  <si>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</si>
  <si>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</si>
  <si>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</si>
  <si>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</si>
  <si>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</si>
  <si>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</si>
  <si>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</si>
  <si>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</si>
  <si>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</si>
  <si>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</si>
  <si>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</si>
  <si>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</si>
  <si>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</si>
  <si>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</si>
  <si>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</si>
  <si>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</si>
  <si>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</si>
  <si>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</si>
  <si>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</si>
  <si>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</si>
  <si>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</si>
  <si>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</si>
  <si>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</si>
  <si>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</si>
  <si>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</si>
  <si>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</si>
  <si>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</si>
  <si>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</si>
  <si>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</si>
  <si>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</si>
  <si>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</si>
  <si>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</si>
  <si>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</si>
  <si>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</si>
  <si>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</si>
  <si>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</si>
  <si>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</si>
  <si>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</si>
  <si>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</si>
  <si>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</si>
  <si>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</si>
  <si>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</si>
  <si>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</si>
  <si>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</si>
  <si>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</si>
  <si>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</si>
  <si>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</si>
  <si>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</si>
  <si>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</si>
  <si>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</si>
  <si>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</si>
  <si>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</si>
  <si>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</si>
  <si>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</si>
  <si>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</si>
  <si>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</si>
  <si>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</si>
  <si>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</si>
  <si>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</si>
  <si>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</si>
  <si>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</si>
  <si>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</si>
  <si>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</si>
  <si>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</si>
  <si>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</si>
  <si>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</si>
  <si>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Encumbered for replacement kitchen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</si>
</sst>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3" fillId="0" borderId="28" applyNumberFormat="0" applyFill="0" applyAlignment="0" applyProtection="0"/>
    <xf numFmtId="0" fontId="54" fillId="0" borderId="29" applyNumberFormat="0" applyFill="0" applyAlignment="0" applyProtection="0"/>
    <xf numFmtId="0" fontId="55" fillId="0" borderId="30" applyNumberFormat="0" applyFill="0" applyAlignment="0" applyProtection="0"/>
    <xf numFmtId="0" fontId="55" fillId="0" borderId="0" applyNumberFormat="0" applyFill="0" applyBorder="0" applyAlignment="0" applyProtection="0"/>
    <xf numFmtId="0" fontId="56" fillId="9" borderId="0" applyNumberFormat="0" applyBorder="0" applyAlignment="0" applyProtection="0"/>
    <xf numFmtId="0" fontId="57" fillId="10" borderId="0" applyNumberFormat="0" applyBorder="0" applyAlignment="0" applyProtection="0"/>
    <xf numFmtId="0" fontId="58" fillId="11" borderId="0" applyNumberFormat="0" applyBorder="0" applyAlignment="0" applyProtection="0"/>
    <xf numFmtId="0" fontId="59" fillId="12" borderId="31" applyNumberFormat="0" applyAlignment="0" applyProtection="0"/>
    <xf numFmtId="0" fontId="60" fillId="13" borderId="32" applyNumberFormat="0" applyAlignment="0" applyProtection="0"/>
    <xf numFmtId="0" fontId="61" fillId="13" borderId="31" applyNumberFormat="0" applyAlignment="0" applyProtection="0"/>
    <xf numFmtId="0" fontId="62" fillId="0" borderId="33" applyNumberFormat="0" applyFill="0" applyAlignment="0" applyProtection="0"/>
    <xf numFmtId="0" fontId="63" fillId="14" borderId="34" applyNumberFormat="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6" fillId="0" borderId="36" applyNumberFormat="0" applyFill="0" applyAlignment="0" applyProtection="0"/>
    <xf numFmtId="0" fontId="6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67" fillId="19" borderId="0" applyNumberFormat="0" applyBorder="0" applyAlignment="0" applyProtection="0"/>
    <xf numFmtId="0" fontId="6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67" fillId="23" borderId="0" applyNumberFormat="0" applyBorder="0" applyAlignment="0" applyProtection="0"/>
    <xf numFmtId="0" fontId="6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67" fillId="27" borderId="0" applyNumberFormat="0" applyBorder="0" applyAlignment="0" applyProtection="0"/>
    <xf numFmtId="0" fontId="67"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67" fillId="31" borderId="0" applyNumberFormat="0" applyBorder="0" applyAlignment="0" applyProtection="0"/>
    <xf numFmtId="0" fontId="67"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67" fillId="35" borderId="0" applyNumberFormat="0" applyBorder="0" applyAlignment="0" applyProtection="0"/>
    <xf numFmtId="0" fontId="67"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67" fillId="39" borderId="0" applyNumberFormat="0" applyBorder="0" applyAlignment="0" applyProtection="0"/>
    <xf numFmtId="0" fontId="7" fillId="0" borderId="0"/>
    <xf numFmtId="0" fontId="68" fillId="0" borderId="0" applyNumberFormat="0" applyFill="0" applyBorder="0" applyAlignment="0" applyProtection="0"/>
    <xf numFmtId="0" fontId="7" fillId="15" borderId="35" applyNumberFormat="0" applyFont="0" applyAlignment="0" applyProtection="0"/>
    <xf numFmtId="0" fontId="6" fillId="0" borderId="0"/>
  </cellStyleXfs>
  <cellXfs count="406">
    <xf numFmtId="0" fontId="0" fillId="0" borderId="0" xfId="0"/>
    <xf numFmtId="164" fontId="8" fillId="0" borderId="0" xfId="0" applyNumberFormat="1" applyFont="1" applyAlignment="1" applyProtection="1">
      <alignment horizontal="left"/>
    </xf>
    <xf numFmtId="165" fontId="8" fillId="0" borderId="0" xfId="0" applyNumberFormat="1" applyFont="1" applyAlignment="1" applyProtection="1">
      <alignment horizontal="left"/>
    </xf>
    <xf numFmtId="0" fontId="8" fillId="0" borderId="0" xfId="0" applyFont="1"/>
    <xf numFmtId="0" fontId="8" fillId="0" borderId="0" xfId="0" applyFont="1" applyProtection="1">
      <protection locked="0"/>
    </xf>
    <xf numFmtId="164" fontId="8" fillId="0" borderId="0" xfId="0" applyNumberFormat="1" applyFont="1" applyAlignment="1" applyProtection="1">
      <alignment horizontal="center"/>
    </xf>
    <xf numFmtId="165" fontId="8" fillId="0" borderId="0" xfId="0" applyNumberFormat="1" applyFont="1" applyAlignment="1" applyProtection="1">
      <alignment horizontal="center"/>
    </xf>
    <xf numFmtId="165" fontId="8" fillId="0" borderId="0" xfId="0" applyNumberFormat="1" applyFont="1" applyProtection="1"/>
    <xf numFmtId="165" fontId="9" fillId="0" borderId="0" xfId="0" applyNumberFormat="1" applyFont="1" applyProtection="1">
      <protection locked="0"/>
    </xf>
    <xf numFmtId="164" fontId="9" fillId="0" borderId="0" xfId="0" applyNumberFormat="1" applyFont="1" applyProtection="1">
      <protection locked="0"/>
    </xf>
    <xf numFmtId="4" fontId="9" fillId="0" borderId="0" xfId="0" applyNumberFormat="1" applyFont="1" applyProtection="1">
      <protection locked="0"/>
    </xf>
    <xf numFmtId="0" fontId="8" fillId="0" borderId="1" xfId="0" applyFont="1" applyBorder="1"/>
    <xf numFmtId="0" fontId="0" fillId="0" borderId="2" xfId="0" applyBorder="1"/>
    <xf numFmtId="40" fontId="8" fillId="0" borderId="0" xfId="0" applyNumberFormat="1" applyFont="1"/>
    <xf numFmtId="40" fontId="8" fillId="0" borderId="0" xfId="0" applyNumberFormat="1" applyFont="1" applyAlignment="1" applyProtection="1">
      <alignment horizontal="left"/>
    </xf>
    <xf numFmtId="40" fontId="8" fillId="0" borderId="0" xfId="0" quotePrefix="1" applyNumberFormat="1" applyFont="1" applyAlignment="1" applyProtection="1">
      <alignment horizontal="center"/>
    </xf>
    <xf numFmtId="40" fontId="8" fillId="0" borderId="0" xfId="0" applyNumberFormat="1" applyFont="1" applyAlignment="1" applyProtection="1">
      <alignment horizontal="center"/>
    </xf>
    <xf numFmtId="40" fontId="9" fillId="0" borderId="0" xfId="0" applyNumberFormat="1" applyFont="1" applyAlignment="1" applyProtection="1">
      <alignment horizontal="left"/>
      <protection locked="0"/>
    </xf>
    <xf numFmtId="40" fontId="9" fillId="0" borderId="0" xfId="0" applyNumberFormat="1" applyFont="1" applyProtection="1">
      <protection locked="0"/>
    </xf>
    <xf numFmtId="40" fontId="8" fillId="0" borderId="0" xfId="0" applyNumberFormat="1" applyFont="1" applyProtection="1"/>
    <xf numFmtId="40" fontId="0" fillId="0" borderId="0" xfId="0" applyNumberFormat="1"/>
    <xf numFmtId="0" fontId="0" fillId="0" borderId="0" xfId="0" applyProtection="1">
      <protection locked="0"/>
    </xf>
    <xf numFmtId="40" fontId="10" fillId="0" borderId="0" xfId="0" applyNumberFormat="1" applyFont="1" applyProtection="1"/>
    <xf numFmtId="0" fontId="8" fillId="0" borderId="0" xfId="0" applyFont="1" applyAlignment="1">
      <alignment horizontal="center"/>
    </xf>
    <xf numFmtId="40" fontId="8" fillId="2" borderId="0" xfId="0" applyNumberFormat="1" applyFont="1" applyFill="1" applyAlignment="1" applyProtection="1">
      <alignment horizontal="left"/>
    </xf>
    <xf numFmtId="40" fontId="12" fillId="0" borderId="0" xfId="0" applyNumberFormat="1" applyFont="1" applyAlignment="1" applyProtection="1">
      <alignment horizontal="center"/>
    </xf>
    <xf numFmtId="40" fontId="12" fillId="0" borderId="0" xfId="0" applyNumberFormat="1" applyFont="1" applyAlignment="1" applyProtection="1">
      <alignment horizontal="left"/>
    </xf>
    <xf numFmtId="0" fontId="13" fillId="0" borderId="0" xfId="0" applyFont="1"/>
    <xf numFmtId="0" fontId="14" fillId="0" borderId="0" xfId="0" applyFont="1"/>
    <xf numFmtId="164" fontId="12" fillId="0" borderId="0" xfId="0" applyNumberFormat="1" applyFont="1" applyAlignment="1" applyProtection="1">
      <alignment horizontal="left"/>
    </xf>
    <xf numFmtId="164" fontId="13" fillId="0" borderId="0" xfId="0" applyNumberFormat="1" applyFont="1" applyAlignment="1" applyProtection="1">
      <alignment horizontal="left"/>
    </xf>
    <xf numFmtId="165" fontId="15" fillId="0" borderId="0" xfId="0" applyNumberFormat="1" applyFont="1" applyProtection="1">
      <protection locked="0"/>
    </xf>
    <xf numFmtId="0" fontId="0" fillId="0" borderId="0" xfId="0" applyAlignment="1">
      <alignment horizontal="center"/>
    </xf>
    <xf numFmtId="0" fontId="16" fillId="0" borderId="0" xfId="0" applyFont="1"/>
    <xf numFmtId="0" fontId="12" fillId="0" borderId="0" xfId="0" applyFont="1"/>
    <xf numFmtId="165" fontId="18" fillId="0" borderId="0" xfId="0" applyNumberFormat="1" applyFont="1" applyProtection="1">
      <protection locked="0"/>
    </xf>
    <xf numFmtId="165" fontId="8" fillId="0" borderId="0" xfId="0" applyNumberFormat="1" applyFont="1" applyBorder="1" applyAlignment="1" applyProtection="1">
      <alignment horizontal="left"/>
    </xf>
    <xf numFmtId="165" fontId="8" fillId="0" borderId="0" xfId="0" applyNumberFormat="1" applyFont="1" applyBorder="1" applyAlignment="1" applyProtection="1">
      <alignment horizontal="center"/>
    </xf>
    <xf numFmtId="164" fontId="12" fillId="0" borderId="3" xfId="0" applyNumberFormat="1" applyFont="1" applyBorder="1" applyAlignment="1" applyProtection="1">
      <alignment horizontal="left"/>
    </xf>
    <xf numFmtId="165" fontId="8" fillId="0" borderId="3" xfId="0" applyNumberFormat="1" applyFont="1" applyBorder="1" applyAlignment="1" applyProtection="1">
      <alignment horizontal="left"/>
    </xf>
    <xf numFmtId="165" fontId="8" fillId="0" borderId="3" xfId="0" applyNumberFormat="1" applyFont="1" applyBorder="1" applyAlignment="1" applyProtection="1">
      <alignment horizontal="center"/>
    </xf>
    <xf numFmtId="40" fontId="8" fillId="0" borderId="3" xfId="0" applyNumberFormat="1" applyFont="1" applyBorder="1" applyProtection="1"/>
    <xf numFmtId="40" fontId="0" fillId="0" borderId="3" xfId="0" applyNumberFormat="1" applyBorder="1"/>
    <xf numFmtId="0" fontId="16" fillId="0" borderId="3" xfId="0" applyFont="1" applyBorder="1"/>
    <xf numFmtId="0" fontId="8" fillId="0" borderId="3" xfId="0" applyFont="1" applyBorder="1" applyAlignment="1">
      <alignment horizontal="center"/>
    </xf>
    <xf numFmtId="40" fontId="8" fillId="2" borderId="3" xfId="0" applyNumberFormat="1" applyFont="1" applyFill="1" applyBorder="1" applyAlignment="1" applyProtection="1">
      <alignment horizontal="left"/>
    </xf>
    <xf numFmtId="0" fontId="12" fillId="0" borderId="3" xfId="0" applyFont="1" applyBorder="1"/>
    <xf numFmtId="40" fontId="8" fillId="0" borderId="3" xfId="0" applyNumberFormat="1" applyFont="1" applyBorder="1"/>
    <xf numFmtId="165" fontId="8" fillId="0" borderId="4" xfId="0" applyNumberFormat="1" applyFont="1" applyBorder="1" applyAlignment="1" applyProtection="1">
      <alignment horizontal="left"/>
    </xf>
    <xf numFmtId="40" fontId="8" fillId="2" borderId="4" xfId="0" applyNumberFormat="1" applyFont="1" applyFill="1" applyBorder="1" applyAlignment="1" applyProtection="1">
      <alignment horizontal="left"/>
    </xf>
    <xf numFmtId="164" fontId="12" fillId="0" borderId="4" xfId="0" applyNumberFormat="1" applyFont="1" applyBorder="1" applyAlignment="1" applyProtection="1">
      <alignment horizontal="left"/>
    </xf>
    <xf numFmtId="165" fontId="8"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6" fillId="0" borderId="0" xfId="0" applyFont="1" applyBorder="1"/>
    <xf numFmtId="0" fontId="12" fillId="0" borderId="0" xfId="0" applyFont="1" applyBorder="1"/>
    <xf numFmtId="40" fontId="8" fillId="0" borderId="0" xfId="0" applyNumberFormat="1" applyFont="1" applyBorder="1"/>
    <xf numFmtId="49" fontId="8" fillId="0" borderId="0" xfId="0" applyNumberFormat="1" applyFont="1" applyBorder="1" applyAlignment="1">
      <alignment horizontal="center"/>
    </xf>
    <xf numFmtId="0" fontId="8" fillId="0" borderId="0" xfId="0" applyFont="1" applyBorder="1"/>
    <xf numFmtId="0" fontId="8" fillId="0" borderId="5" xfId="0" applyFont="1" applyBorder="1"/>
    <xf numFmtId="49" fontId="8" fillId="0" borderId="5" xfId="0" applyNumberFormat="1" applyFont="1" applyBorder="1" applyAlignment="1">
      <alignment horizontal="center"/>
    </xf>
    <xf numFmtId="0" fontId="8" fillId="0" borderId="6" xfId="0" applyFont="1" applyBorder="1"/>
    <xf numFmtId="165" fontId="8" fillId="0" borderId="6" xfId="0" applyNumberFormat="1" applyFont="1" applyBorder="1" applyAlignment="1" applyProtection="1">
      <alignment horizontal="left"/>
    </xf>
    <xf numFmtId="40" fontId="9" fillId="0" borderId="6" xfId="0" applyNumberFormat="1" applyFont="1" applyBorder="1" applyProtection="1">
      <protection locked="0"/>
    </xf>
    <xf numFmtId="40" fontId="9" fillId="0" borderId="0" xfId="0" applyNumberFormat="1" applyFont="1" applyBorder="1" applyProtection="1">
      <protection locked="0"/>
    </xf>
    <xf numFmtId="40" fontId="10" fillId="0" borderId="3" xfId="0" applyNumberFormat="1" applyFont="1" applyBorder="1" applyProtection="1">
      <protection locked="0"/>
    </xf>
    <xf numFmtId="40" fontId="10" fillId="0" borderId="0" xfId="0" applyNumberFormat="1" applyFont="1" applyBorder="1" applyProtection="1">
      <protection locked="0"/>
    </xf>
    <xf numFmtId="40" fontId="8" fillId="0" borderId="0" xfId="0" applyNumberFormat="1" applyFont="1" applyBorder="1" applyProtection="1"/>
    <xf numFmtId="165" fontId="9" fillId="0" borderId="0" xfId="0" applyNumberFormat="1" applyFont="1" applyBorder="1" applyProtection="1">
      <protection locked="0"/>
    </xf>
    <xf numFmtId="164" fontId="8" fillId="0" borderId="0" xfId="0" applyNumberFormat="1" applyFont="1" applyBorder="1" applyAlignment="1" applyProtection="1">
      <alignment horizontal="left"/>
    </xf>
    <xf numFmtId="164" fontId="12" fillId="0" borderId="0" xfId="0" applyNumberFormat="1" applyFont="1" applyBorder="1" applyAlignment="1" applyProtection="1">
      <alignment horizontal="left"/>
    </xf>
    <xf numFmtId="165" fontId="8" fillId="0" borderId="6" xfId="0" applyNumberFormat="1" applyFont="1" applyBorder="1" applyAlignment="1" applyProtection="1">
      <alignment horizontal="center"/>
    </xf>
    <xf numFmtId="40" fontId="8" fillId="0" borderId="6" xfId="0" applyNumberFormat="1" applyFont="1" applyBorder="1"/>
    <xf numFmtId="0" fontId="8" fillId="0" borderId="6" xfId="0" applyFont="1" applyBorder="1" applyAlignment="1">
      <alignment horizontal="center"/>
    </xf>
    <xf numFmtId="164" fontId="12" fillId="0" borderId="6" xfId="0" applyNumberFormat="1" applyFont="1" applyBorder="1" applyAlignment="1" applyProtection="1">
      <alignment horizontal="left"/>
    </xf>
    <xf numFmtId="0" fontId="8" fillId="0" borderId="0" xfId="0" applyFont="1" applyBorder="1" applyAlignment="1">
      <alignment horizontal="center"/>
    </xf>
    <xf numFmtId="165" fontId="12" fillId="0" borderId="0" xfId="0" applyNumberFormat="1" applyFont="1" applyAlignment="1" applyProtection="1">
      <alignment horizontal="left"/>
    </xf>
    <xf numFmtId="40" fontId="8" fillId="0" borderId="0" xfId="0" applyNumberFormat="1" applyFont="1" applyBorder="1" applyAlignment="1">
      <alignment horizontal="center"/>
    </xf>
    <xf numFmtId="49" fontId="12" fillId="0" borderId="0" xfId="0" applyNumberFormat="1" applyFont="1" applyAlignment="1" applyProtection="1">
      <alignment horizontal="left"/>
    </xf>
    <xf numFmtId="49" fontId="8" fillId="0" borderId="0" xfId="0" applyNumberFormat="1" applyFont="1" applyAlignment="1" applyProtection="1">
      <alignment horizontal="left"/>
    </xf>
    <xf numFmtId="0" fontId="0" fillId="0" borderId="0" xfId="0" applyBorder="1" applyAlignment="1">
      <alignment horizontal="center"/>
    </xf>
    <xf numFmtId="0" fontId="8" fillId="0" borderId="4" xfId="0" applyFont="1" applyBorder="1" applyAlignment="1">
      <alignment horizontal="center"/>
    </xf>
    <xf numFmtId="0" fontId="0" fillId="0" borderId="3" xfId="0" applyBorder="1" applyAlignment="1">
      <alignment horizontal="center"/>
    </xf>
    <xf numFmtId="40" fontId="8" fillId="0" borderId="4" xfId="0" applyNumberFormat="1" applyFont="1" applyBorder="1"/>
    <xf numFmtId="40" fontId="0" fillId="0" borderId="0" xfId="0" applyNumberFormat="1" applyBorder="1" applyAlignment="1">
      <alignment horizontal="center"/>
    </xf>
    <xf numFmtId="40" fontId="10" fillId="0" borderId="0" xfId="0" applyNumberFormat="1" applyFont="1" applyAlignment="1" applyProtection="1">
      <alignment horizontal="center" vertical="justify"/>
      <protection locked="0"/>
    </xf>
    <xf numFmtId="40" fontId="0" fillId="0" borderId="4" xfId="0" applyNumberFormat="1" applyBorder="1"/>
    <xf numFmtId="40" fontId="10" fillId="0" borderId="0" xfId="0" applyNumberFormat="1" applyFont="1" applyBorder="1" applyAlignment="1" applyProtection="1">
      <alignment horizontal="right"/>
    </xf>
    <xf numFmtId="40" fontId="10" fillId="0" borderId="0" xfId="0" applyNumberFormat="1" applyFont="1" applyAlignment="1" applyProtection="1">
      <alignment horizontal="right"/>
    </xf>
    <xf numFmtId="40" fontId="10" fillId="0" borderId="3" xfId="0" applyNumberFormat="1" applyFont="1" applyBorder="1" applyAlignment="1" applyProtection="1">
      <alignment horizontal="right"/>
    </xf>
    <xf numFmtId="0" fontId="12" fillId="0" borderId="0" xfId="0" applyFont="1" applyBorder="1" applyProtection="1"/>
    <xf numFmtId="0" fontId="16" fillId="0" borderId="3" xfId="0" applyFont="1" applyBorder="1" applyProtection="1"/>
    <xf numFmtId="0" fontId="16" fillId="0" borderId="0" xfId="0" applyFont="1" applyBorder="1" applyProtection="1"/>
    <xf numFmtId="0" fontId="17" fillId="0" borderId="0" xfId="0" applyFont="1" applyBorder="1" applyProtection="1"/>
    <xf numFmtId="0" fontId="19" fillId="0" borderId="0" xfId="0" applyFont="1" applyBorder="1" applyProtection="1"/>
    <xf numFmtId="40" fontId="9" fillId="0" borderId="0" xfId="0" applyNumberFormat="1" applyFont="1" applyProtection="1"/>
    <xf numFmtId="40" fontId="20" fillId="0" borderId="0" xfId="0" applyNumberFormat="1" applyFont="1" applyProtection="1"/>
    <xf numFmtId="40" fontId="20" fillId="0" borderId="0" xfId="0" applyNumberFormat="1" applyFont="1" applyBorder="1" applyProtection="1"/>
    <xf numFmtId="40" fontId="20" fillId="0" borderId="3" xfId="0" applyNumberFormat="1" applyFont="1" applyBorder="1" applyProtection="1"/>
    <xf numFmtId="40" fontId="10" fillId="0" borderId="0" xfId="0" applyNumberFormat="1" applyFont="1" applyBorder="1" applyProtection="1"/>
    <xf numFmtId="40" fontId="20" fillId="0" borderId="0" xfId="0" applyNumberFormat="1" applyFont="1" applyBorder="1" applyAlignment="1" applyProtection="1">
      <alignment horizontal="center"/>
    </xf>
    <xf numFmtId="40" fontId="10" fillId="0" borderId="0" xfId="0" applyNumberFormat="1" applyFont="1" applyBorder="1" applyAlignment="1" applyProtection="1">
      <alignment horizontal="center"/>
    </xf>
    <xf numFmtId="0" fontId="10" fillId="0" borderId="0" xfId="0" applyNumberFormat="1" applyFont="1" applyAlignment="1" applyProtection="1">
      <alignment horizontal="center" vertical="justify"/>
    </xf>
    <xf numFmtId="40" fontId="10" fillId="0" borderId="0" xfId="0" applyNumberFormat="1" applyFont="1" applyAlignment="1" applyProtection="1">
      <alignment horizontal="center" vertical="justify"/>
    </xf>
    <xf numFmtId="40" fontId="10" fillId="0" borderId="0" xfId="0" applyNumberFormat="1" applyFont="1" applyAlignment="1" applyProtection="1">
      <alignment horizontal="right" vertical="justify"/>
    </xf>
    <xf numFmtId="0" fontId="8" fillId="0" borderId="0" xfId="0" applyFont="1" applyBorder="1" applyAlignment="1" applyProtection="1">
      <alignment horizontal="center"/>
    </xf>
    <xf numFmtId="40" fontId="10" fillId="0" borderId="0" xfId="0" applyNumberFormat="1" applyFont="1" applyAlignment="1" applyProtection="1">
      <alignment horizontal="center"/>
    </xf>
    <xf numFmtId="0" fontId="8" fillId="0" borderId="3" xfId="0" applyFont="1" applyBorder="1" applyAlignment="1" applyProtection="1">
      <alignment horizontal="center"/>
    </xf>
    <xf numFmtId="40" fontId="10" fillId="0" borderId="3" xfId="0" applyNumberFormat="1" applyFont="1" applyBorder="1" applyAlignment="1" applyProtection="1">
      <alignment horizontal="right" vertical="justify"/>
    </xf>
    <xf numFmtId="40" fontId="10" fillId="0" borderId="0" xfId="0" applyNumberFormat="1" applyFont="1" applyBorder="1" applyAlignment="1" applyProtection="1">
      <alignment horizontal="right" vertical="justify"/>
    </xf>
    <xf numFmtId="49" fontId="8" fillId="0" borderId="0" xfId="0" applyNumberFormat="1" applyFont="1" applyAlignment="1" applyProtection="1">
      <alignment horizontal="left"/>
      <protection locked="0"/>
    </xf>
    <xf numFmtId="0" fontId="0" fillId="0" borderId="0" xfId="0" applyBorder="1" applyAlignment="1" applyProtection="1">
      <alignment horizontal="center"/>
    </xf>
    <xf numFmtId="40" fontId="9" fillId="0" borderId="0" xfId="0" applyNumberFormat="1" applyFont="1" applyAlignment="1" applyProtection="1"/>
    <xf numFmtId="40" fontId="20" fillId="0" borderId="0" xfId="0" applyNumberFormat="1" applyFont="1" applyAlignment="1" applyProtection="1">
      <alignment horizontal="center" vertical="justify"/>
    </xf>
    <xf numFmtId="40" fontId="20" fillId="0" borderId="0" xfId="0" applyNumberFormat="1" applyFont="1" applyAlignment="1" applyProtection="1">
      <alignment horizontal="center"/>
    </xf>
    <xf numFmtId="0" fontId="8" fillId="0" borderId="0" xfId="0" applyNumberFormat="1" applyFont="1" applyAlignment="1" applyProtection="1">
      <alignment horizontal="center"/>
    </xf>
    <xf numFmtId="40" fontId="0" fillId="0" borderId="0" xfId="0" applyNumberFormat="1" applyBorder="1" applyProtection="1"/>
    <xf numFmtId="40" fontId="16" fillId="0" borderId="0" xfId="0" applyNumberFormat="1" applyFont="1" applyBorder="1" applyAlignment="1" applyProtection="1">
      <alignment horizontal="center"/>
    </xf>
    <xf numFmtId="0" fontId="8" fillId="0" borderId="0" xfId="0" applyFont="1" applyAlignment="1" applyProtection="1">
      <alignment horizontal="center"/>
    </xf>
    <xf numFmtId="0" fontId="8" fillId="0" borderId="0" xfId="0" quotePrefix="1" applyNumberFormat="1" applyFont="1" applyAlignment="1" applyProtection="1">
      <alignment horizontal="left"/>
    </xf>
    <xf numFmtId="14" fontId="8" fillId="0" borderId="0" xfId="0" quotePrefix="1" applyNumberFormat="1" applyFont="1" applyAlignment="1" applyProtection="1">
      <alignment horizontal="left"/>
    </xf>
    <xf numFmtId="40" fontId="10" fillId="0" borderId="0" xfId="0" quotePrefix="1" applyNumberFormat="1" applyFont="1" applyBorder="1" applyAlignment="1" applyProtection="1">
      <alignment horizontal="left" vertical="justify"/>
    </xf>
    <xf numFmtId="40" fontId="20" fillId="0" borderId="0" xfId="0" applyNumberFormat="1" applyFont="1" applyAlignment="1" applyProtection="1">
      <alignment horizontal="centerContinuous" vertical="justify"/>
    </xf>
    <xf numFmtId="40" fontId="20" fillId="0" borderId="0" xfId="0" applyNumberFormat="1" applyFont="1" applyAlignment="1" applyProtection="1">
      <alignment horizontal="centerContinuous"/>
    </xf>
    <xf numFmtId="40" fontId="8" fillId="0" borderId="0" xfId="0" applyNumberFormat="1" applyFont="1" applyProtection="1">
      <protection locked="0"/>
    </xf>
    <xf numFmtId="40" fontId="8" fillId="0" borderId="0" xfId="0" quotePrefix="1" applyNumberFormat="1" applyFont="1" applyAlignment="1" applyProtection="1">
      <alignment horizontal="center"/>
      <protection locked="0"/>
    </xf>
    <xf numFmtId="0" fontId="0" fillId="0" borderId="0" xfId="0" applyProtection="1"/>
    <xf numFmtId="0" fontId="8" fillId="0" borderId="0" xfId="0" applyFont="1" applyProtection="1"/>
    <xf numFmtId="0" fontId="12" fillId="0" borderId="0" xfId="0" applyFont="1" applyProtection="1"/>
    <xf numFmtId="40" fontId="21" fillId="0" borderId="0" xfId="0" applyNumberFormat="1" applyFont="1"/>
    <xf numFmtId="40" fontId="10" fillId="0" borderId="4" xfId="0" applyNumberFormat="1" applyFont="1" applyBorder="1" applyProtection="1"/>
    <xf numFmtId="40" fontId="22" fillId="0" borderId="4" xfId="0" applyNumberFormat="1" applyFont="1" applyBorder="1"/>
    <xf numFmtId="0" fontId="0" fillId="0" borderId="0" xfId="0" applyAlignment="1"/>
    <xf numFmtId="0" fontId="8" fillId="0" borderId="0" xfId="0" applyNumberFormat="1" applyFont="1" applyAlignment="1" applyProtection="1">
      <alignment horizontal="left"/>
    </xf>
    <xf numFmtId="0" fontId="8" fillId="0" borderId="0" xfId="0" applyNumberFormat="1" applyFont="1" applyProtection="1">
      <protection locked="0"/>
    </xf>
    <xf numFmtId="40" fontId="20" fillId="0" borderId="0" xfId="0" applyNumberFormat="1" applyFont="1" applyAlignment="1" applyProtection="1"/>
    <xf numFmtId="40" fontId="10" fillId="0" borderId="0" xfId="0" applyNumberFormat="1" applyFont="1" applyAlignment="1" applyProtection="1"/>
    <xf numFmtId="40" fontId="0" fillId="0" borderId="0" xfId="0" applyNumberFormat="1" applyAlignment="1"/>
    <xf numFmtId="2" fontId="0" fillId="0" borderId="0" xfId="0" applyNumberFormat="1" applyAlignment="1"/>
    <xf numFmtId="40" fontId="10" fillId="0" borderId="3" xfId="0" applyNumberFormat="1" applyFont="1" applyBorder="1" applyProtection="1"/>
    <xf numFmtId="40" fontId="10" fillId="0" borderId="0" xfId="0" quotePrefix="1" applyNumberFormat="1" applyFont="1" applyAlignment="1" applyProtection="1">
      <alignment horizontal="left" vertical="justify"/>
    </xf>
    <xf numFmtId="40" fontId="0" fillId="0" borderId="7" xfId="0" applyNumberFormat="1" applyBorder="1"/>
    <xf numFmtId="14" fontId="8" fillId="0" borderId="0" xfId="0" applyNumberFormat="1" applyFont="1" applyAlignment="1" applyProtection="1">
      <alignment horizontal="left"/>
    </xf>
    <xf numFmtId="40" fontId="10" fillId="0" borderId="0" xfId="0" applyNumberFormat="1" applyFont="1" applyAlignment="1" applyProtection="1">
      <alignment horizontal="left" vertical="justify"/>
    </xf>
    <xf numFmtId="40" fontId="0" fillId="0" borderId="0" xfId="0" applyNumberFormat="1" applyBorder="1" applyProtection="1">
      <protection locked="0"/>
    </xf>
    <xf numFmtId="0" fontId="9" fillId="0" borderId="0" xfId="0" applyNumberFormat="1" applyFont="1" applyProtection="1">
      <protection locked="0"/>
    </xf>
    <xf numFmtId="40" fontId="10" fillId="0" borderId="0" xfId="0" applyNumberFormat="1" applyFont="1" applyBorder="1" applyAlignment="1" applyProtection="1">
      <alignment horizontal="left"/>
    </xf>
    <xf numFmtId="40" fontId="20" fillId="0" borderId="0" xfId="0" quotePrefix="1" applyNumberFormat="1" applyFont="1" applyAlignment="1" applyProtection="1">
      <alignment horizontal="left"/>
    </xf>
    <xf numFmtId="0" fontId="10" fillId="0" borderId="3" xfId="0" applyNumberFormat="1" applyFont="1" applyBorder="1" applyAlignment="1" applyProtection="1">
      <alignment horizontal="center" vertical="justify"/>
    </xf>
    <xf numFmtId="40" fontId="10" fillId="0" borderId="3" xfId="0" applyNumberFormat="1" applyFont="1" applyBorder="1" applyAlignment="1" applyProtection="1">
      <alignment horizontal="center" vertical="justify"/>
    </xf>
    <xf numFmtId="40" fontId="23" fillId="0" borderId="0" xfId="0" quotePrefix="1" applyNumberFormat="1" applyFont="1" applyBorder="1" applyAlignment="1" applyProtection="1">
      <alignment horizontal="center" vertical="justify"/>
    </xf>
    <xf numFmtId="40" fontId="23"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9" fillId="0" borderId="0" xfId="0" applyNumberFormat="1" applyFont="1" applyAlignment="1" applyProtection="1">
      <alignment horizontal="center"/>
      <protection locked="0"/>
    </xf>
    <xf numFmtId="49" fontId="9"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8" fillId="0" borderId="3" xfId="0" applyFont="1" applyBorder="1" applyAlignment="1" applyProtection="1">
      <alignment horizontal="left"/>
    </xf>
    <xf numFmtId="0" fontId="8" fillId="0" borderId="0" xfId="0" applyFont="1" applyAlignment="1">
      <alignment horizontal="left"/>
    </xf>
    <xf numFmtId="49" fontId="26" fillId="0" borderId="0" xfId="0" applyNumberFormat="1" applyFont="1" applyAlignment="1" applyProtection="1">
      <alignment horizontal="left"/>
    </xf>
    <xf numFmtId="40" fontId="23" fillId="0" borderId="0" xfId="0" applyNumberFormat="1" applyFont="1" applyProtection="1"/>
    <xf numFmtId="0" fontId="27" fillId="0" borderId="0" xfId="0" applyFont="1" applyBorder="1" applyAlignment="1" applyProtection="1">
      <alignment horizontal="center"/>
    </xf>
    <xf numFmtId="14" fontId="27" fillId="0" borderId="0" xfId="0" quotePrefix="1" applyNumberFormat="1" applyFont="1" applyAlignment="1" applyProtection="1">
      <alignment horizontal="left"/>
    </xf>
    <xf numFmtId="40" fontId="23" fillId="0" borderId="0" xfId="0" applyNumberFormat="1" applyFont="1" applyAlignment="1" applyProtection="1">
      <alignment horizontal="right" vertical="justify"/>
    </xf>
    <xf numFmtId="40" fontId="23" fillId="0" borderId="0" xfId="0" quotePrefix="1" applyNumberFormat="1" applyFont="1" applyAlignment="1" applyProtection="1">
      <alignment horizontal="left" vertical="justify"/>
    </xf>
    <xf numFmtId="40" fontId="23" fillId="0" borderId="0" xfId="0" applyNumberFormat="1" applyFont="1" applyAlignment="1" applyProtection="1">
      <alignment horizontal="center" vertical="justify"/>
      <protection locked="0"/>
    </xf>
    <xf numFmtId="40" fontId="23" fillId="0" borderId="0" xfId="0" applyNumberFormat="1" applyFont="1" applyAlignment="1" applyProtection="1">
      <alignment horizontal="right"/>
    </xf>
    <xf numFmtId="165" fontId="28" fillId="0" borderId="0" xfId="0" applyNumberFormat="1" applyFont="1" applyProtection="1">
      <protection locked="0"/>
    </xf>
    <xf numFmtId="0" fontId="27" fillId="0" borderId="0" xfId="0" applyFont="1"/>
    <xf numFmtId="164" fontId="29" fillId="0" borderId="0" xfId="0" applyNumberFormat="1" applyFont="1" applyAlignment="1" applyProtection="1">
      <alignment horizontal="left"/>
    </xf>
    <xf numFmtId="40" fontId="10" fillId="0" borderId="0" xfId="0" applyNumberFormat="1" applyFont="1" applyAlignment="1" applyProtection="1">
      <alignment horizontal="left"/>
    </xf>
    <xf numFmtId="40" fontId="25" fillId="0" borderId="3" xfId="0" applyNumberFormat="1" applyFont="1" applyBorder="1" applyProtection="1"/>
    <xf numFmtId="40" fontId="25" fillId="0" borderId="0" xfId="0" applyNumberFormat="1" applyFont="1" applyProtection="1"/>
    <xf numFmtId="40" fontId="10" fillId="0" borderId="0" xfId="0" applyNumberFormat="1" applyFont="1" applyProtection="1">
      <protection locked="0"/>
    </xf>
    <xf numFmtId="0" fontId="0" fillId="0" borderId="0" xfId="0" applyBorder="1" applyProtection="1">
      <protection locked="0"/>
    </xf>
    <xf numFmtId="40" fontId="8" fillId="0" borderId="0" xfId="0" quotePrefix="1" applyNumberFormat="1" applyFont="1" applyBorder="1" applyAlignment="1">
      <alignment horizontal="center"/>
    </xf>
    <xf numFmtId="40" fontId="20" fillId="0" borderId="0" xfId="0" quotePrefix="1" applyNumberFormat="1" applyFont="1" applyProtection="1"/>
    <xf numFmtId="38" fontId="0" fillId="0" borderId="0" xfId="0" applyNumberFormat="1"/>
    <xf numFmtId="38" fontId="16" fillId="0" borderId="0" xfId="0" applyNumberFormat="1" applyFont="1"/>
    <xf numFmtId="0" fontId="16" fillId="0" borderId="0" xfId="0" applyFont="1" applyAlignment="1">
      <alignment horizontal="center"/>
    </xf>
    <xf numFmtId="167" fontId="0" fillId="0" borderId="0" xfId="0" applyNumberFormat="1"/>
    <xf numFmtId="0" fontId="0" fillId="0" borderId="0" xfId="0" applyAlignment="1">
      <alignment horizontal="right"/>
    </xf>
    <xf numFmtId="167" fontId="16" fillId="0" borderId="0" xfId="0" applyNumberFormat="1" applyFont="1"/>
    <xf numFmtId="0" fontId="17" fillId="0" borderId="0" xfId="0" applyFont="1"/>
    <xf numFmtId="49" fontId="32" fillId="0" borderId="0" xfId="0" applyNumberFormat="1" applyFont="1"/>
    <xf numFmtId="0" fontId="33" fillId="0" borderId="0" xfId="0" applyFont="1"/>
    <xf numFmtId="0" fontId="33" fillId="0" borderId="0" xfId="0" quotePrefix="1" applyFont="1" applyAlignment="1">
      <alignment horizontal="left"/>
    </xf>
    <xf numFmtId="0" fontId="17" fillId="0" borderId="0" xfId="0" quotePrefix="1" applyFont="1" applyBorder="1" applyAlignment="1" applyProtection="1">
      <alignment horizontal="left"/>
    </xf>
    <xf numFmtId="40" fontId="10" fillId="0" borderId="0" xfId="0" quotePrefix="1" applyNumberFormat="1" applyFont="1" applyAlignment="1" applyProtection="1">
      <alignment horizontal="left"/>
    </xf>
    <xf numFmtId="0" fontId="8" fillId="0" borderId="4" xfId="0" applyFont="1" applyBorder="1" applyAlignment="1" applyProtection="1">
      <alignment horizontal="center"/>
    </xf>
    <xf numFmtId="0" fontId="8" fillId="0" borderId="4" xfId="0" applyFont="1" applyBorder="1" applyAlignment="1" applyProtection="1">
      <alignment horizontal="left"/>
    </xf>
    <xf numFmtId="40" fontId="10" fillId="0" borderId="4" xfId="0" applyNumberFormat="1" applyFont="1" applyBorder="1" applyAlignment="1" applyProtection="1">
      <alignment horizontal="right"/>
    </xf>
    <xf numFmtId="40" fontId="8" fillId="2" borderId="0" xfId="0" applyNumberFormat="1" applyFont="1" applyFill="1" applyBorder="1" applyAlignment="1" applyProtection="1">
      <alignment horizontal="left"/>
    </xf>
    <xf numFmtId="0" fontId="8" fillId="0" borderId="3" xfId="0" applyNumberFormat="1" applyFont="1" applyBorder="1" applyAlignment="1" applyProtection="1">
      <alignment horizontal="center"/>
    </xf>
    <xf numFmtId="0" fontId="8" fillId="0" borderId="3" xfId="0" applyNumberFormat="1" applyFont="1" applyBorder="1" applyAlignment="1" applyProtection="1">
      <alignment horizontal="left"/>
    </xf>
    <xf numFmtId="0" fontId="8" fillId="0" borderId="4" xfId="0" applyNumberFormat="1" applyFont="1" applyBorder="1" applyAlignment="1" applyProtection="1">
      <alignment horizontal="left"/>
    </xf>
    <xf numFmtId="164" fontId="27" fillId="0" borderId="0" xfId="0" applyNumberFormat="1" applyFont="1" applyAlignment="1" applyProtection="1">
      <alignment horizontal="left"/>
    </xf>
    <xf numFmtId="40" fontId="27" fillId="0" borderId="0" xfId="0" applyNumberFormat="1" applyFont="1" applyProtection="1"/>
    <xf numFmtId="40" fontId="10" fillId="0" borderId="5" xfId="0" applyNumberFormat="1" applyFont="1" applyBorder="1" applyProtection="1"/>
    <xf numFmtId="0" fontId="8" fillId="0" borderId="5" xfId="0" applyFont="1" applyBorder="1" applyAlignment="1">
      <alignment horizontal="center"/>
    </xf>
    <xf numFmtId="0" fontId="8" fillId="0" borderId="5" xfId="0" applyNumberFormat="1" applyFont="1" applyBorder="1" applyAlignment="1" applyProtection="1">
      <alignment horizontal="center"/>
    </xf>
    <xf numFmtId="165" fontId="8" fillId="0" borderId="5" xfId="0" applyNumberFormat="1" applyFont="1" applyBorder="1" applyAlignment="1" applyProtection="1">
      <alignment horizontal="left"/>
    </xf>
    <xf numFmtId="40" fontId="9" fillId="0" borderId="5" xfId="0" applyNumberFormat="1" applyFont="1" applyBorder="1" applyProtection="1">
      <protection locked="0"/>
    </xf>
    <xf numFmtId="40" fontId="0" fillId="0" borderId="5" xfId="0" applyNumberFormat="1" applyBorder="1"/>
    <xf numFmtId="40" fontId="8"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6" fillId="3" borderId="0" xfId="0" applyNumberFormat="1" applyFont="1" applyFill="1" applyAlignment="1" applyProtection="1">
      <alignment horizontal="center"/>
      <protection locked="0"/>
    </xf>
    <xf numFmtId="0" fontId="16" fillId="0" borderId="0" xfId="0" applyFont="1" applyAlignment="1" applyProtection="1">
      <alignment horizontal="center"/>
    </xf>
    <xf numFmtId="1" fontId="0" fillId="0" borderId="0" xfId="0" applyNumberFormat="1" applyAlignment="1" applyProtection="1">
      <alignment horizontal="right"/>
    </xf>
    <xf numFmtId="49" fontId="17"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6" fillId="0" borderId="11" xfId="0" applyFont="1" applyBorder="1" applyAlignment="1">
      <alignment horizontal="center"/>
    </xf>
    <xf numFmtId="0" fontId="16"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7" fillId="0" borderId="0" xfId="0" applyNumberFormat="1" applyFont="1" applyAlignment="1" applyProtection="1">
      <alignment horizontal="left"/>
    </xf>
    <xf numFmtId="1" fontId="0" fillId="0" borderId="0" xfId="0" applyNumberFormat="1" applyBorder="1" applyAlignment="1" applyProtection="1">
      <alignment horizontal="right"/>
    </xf>
    <xf numFmtId="40" fontId="8" fillId="4" borderId="0" xfId="0" applyNumberFormat="1" applyFont="1" applyFill="1" applyAlignment="1" applyProtection="1">
      <alignment horizontal="center"/>
    </xf>
    <xf numFmtId="40" fontId="27" fillId="0" borderId="0" xfId="0" applyNumberFormat="1" applyFont="1" applyAlignment="1" applyProtection="1">
      <alignment horizontal="center"/>
    </xf>
    <xf numFmtId="40" fontId="27" fillId="0" borderId="0" xfId="0" applyNumberFormat="1" applyFont="1"/>
    <xf numFmtId="0" fontId="12" fillId="0" borderId="0" xfId="0" applyFont="1" applyBorder="1" applyAlignment="1">
      <alignment horizontal="center"/>
    </xf>
    <xf numFmtId="0" fontId="16" fillId="0" borderId="1" xfId="0" applyFont="1" applyBorder="1" applyAlignment="1">
      <alignment horizontal="center"/>
    </xf>
    <xf numFmtId="40" fontId="16" fillId="0" borderId="14" xfId="0" applyNumberFormat="1" applyFont="1" applyBorder="1"/>
    <xf numFmtId="4" fontId="16" fillId="0" borderId="0" xfId="0" applyNumberFormat="1" applyFont="1" applyBorder="1"/>
    <xf numFmtId="4" fontId="16" fillId="0" borderId="5" xfId="0" applyNumberFormat="1" applyFont="1" applyBorder="1"/>
    <xf numFmtId="49" fontId="11" fillId="0" borderId="0" xfId="0" applyNumberFormat="1" applyFont="1"/>
    <xf numFmtId="0" fontId="16" fillId="0" borderId="0" xfId="0" applyFont="1" applyAlignment="1">
      <alignment horizontal="right"/>
    </xf>
    <xf numFmtId="4" fontId="16" fillId="0" borderId="14" xfId="0" applyNumberFormat="1" applyFont="1" applyBorder="1"/>
    <xf numFmtId="40" fontId="16" fillId="0" borderId="14" xfId="0" applyNumberFormat="1" applyFont="1" applyBorder="1" applyAlignment="1">
      <alignment horizontal="right"/>
    </xf>
    <xf numFmtId="49" fontId="16" fillId="0" borderId="0" xfId="0" applyNumberFormat="1" applyFont="1" applyAlignment="1">
      <alignment horizontal="center"/>
    </xf>
    <xf numFmtId="40" fontId="12" fillId="0" borderId="0" xfId="0" applyNumberFormat="1" applyFont="1" applyBorder="1" applyAlignment="1">
      <alignment horizontal="center"/>
    </xf>
    <xf numFmtId="0" fontId="38" fillId="0" borderId="0" xfId="0" applyFont="1" applyAlignment="1">
      <alignment horizontal="center"/>
    </xf>
    <xf numFmtId="164" fontId="30" fillId="0" borderId="0" xfId="0" applyNumberFormat="1" applyFont="1" applyAlignment="1" applyProtection="1">
      <alignment horizontal="left"/>
    </xf>
    <xf numFmtId="4" fontId="11" fillId="0" borderId="0" xfId="0" applyNumberFormat="1" applyFont="1" applyProtection="1">
      <protection locked="0"/>
    </xf>
    <xf numFmtId="0" fontId="16" fillId="0" borderId="15" xfId="0" applyFont="1" applyBorder="1" applyAlignment="1">
      <alignment horizontal="center"/>
    </xf>
    <xf numFmtId="0" fontId="16"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6" fillId="0" borderId="8" xfId="0" applyNumberFormat="1" applyFont="1" applyBorder="1"/>
    <xf numFmtId="2" fontId="11" fillId="0" borderId="0" xfId="0" applyNumberFormat="1" applyFont="1" applyProtection="1">
      <protection locked="0"/>
    </xf>
    <xf numFmtId="2" fontId="9" fillId="0" borderId="0" xfId="0" applyNumberFormat="1" applyFont="1" applyProtection="1">
      <protection locked="0"/>
    </xf>
    <xf numFmtId="166" fontId="16" fillId="0" borderId="0" xfId="0" applyNumberFormat="1" applyFont="1"/>
    <xf numFmtId="0" fontId="16" fillId="0" borderId="5" xfId="0" applyFont="1" applyBorder="1" applyAlignment="1">
      <alignment horizontal="center"/>
    </xf>
    <xf numFmtId="0" fontId="16"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8" fillId="0" borderId="0" xfId="0" applyFont="1"/>
    <xf numFmtId="49" fontId="33" fillId="0" borderId="0" xfId="0" applyNumberFormat="1" applyFont="1" applyAlignment="1">
      <alignment horizontal="left"/>
    </xf>
    <xf numFmtId="0" fontId="11" fillId="0" borderId="0" xfId="0" applyFont="1"/>
    <xf numFmtId="0" fontId="41" fillId="0" borderId="0" xfId="0" applyFont="1"/>
    <xf numFmtId="0" fontId="32" fillId="0" borderId="0" xfId="0" applyFont="1"/>
    <xf numFmtId="0" fontId="16" fillId="0" borderId="0" xfId="0" applyFont="1" applyAlignment="1">
      <alignment horizontal="center"/>
    </xf>
    <xf numFmtId="0" fontId="16" fillId="0" borderId="0" xfId="0" applyFont="1" applyBorder="1" applyAlignment="1">
      <alignment horizontal="center"/>
    </xf>
    <xf numFmtId="0" fontId="12" fillId="0" borderId="0" xfId="0" applyFont="1" applyAlignment="1">
      <alignment horizontal="center"/>
    </xf>
    <xf numFmtId="0" fontId="14" fillId="0" borderId="0" xfId="0" applyFont="1" applyAlignment="1">
      <alignment horizontal="center"/>
    </xf>
    <xf numFmtId="0" fontId="16" fillId="0" borderId="5" xfId="0" applyFont="1" applyBorder="1" applyAlignment="1">
      <alignment horizontal="center"/>
    </xf>
    <xf numFmtId="0" fontId="16" fillId="0" borderId="0" xfId="0" applyFont="1" applyBorder="1" applyAlignment="1">
      <alignment horizontal="center"/>
    </xf>
    <xf numFmtId="0" fontId="0" fillId="0" borderId="15" xfId="0" applyFill="1" applyBorder="1"/>
    <xf numFmtId="0" fontId="16" fillId="0" borderId="21" xfId="0" applyFont="1" applyBorder="1" applyAlignment="1">
      <alignment horizontal="center"/>
    </xf>
    <xf numFmtId="0" fontId="16" fillId="0" borderId="23" xfId="0" applyFont="1" applyBorder="1" applyAlignment="1">
      <alignment horizontal="center"/>
    </xf>
    <xf numFmtId="0" fontId="16" fillId="6" borderId="0" xfId="0" applyFont="1" applyFill="1" applyAlignment="1">
      <alignment horizontal="center"/>
    </xf>
    <xf numFmtId="0" fontId="16" fillId="6" borderId="5" xfId="0" applyFont="1" applyFill="1" applyBorder="1" applyAlignment="1">
      <alignment horizontal="center"/>
    </xf>
    <xf numFmtId="40" fontId="16" fillId="6" borderId="0" xfId="0" applyNumberFormat="1" applyFont="1" applyFill="1"/>
    <xf numFmtId="0" fontId="0" fillId="6" borderId="0" xfId="0" applyFill="1"/>
    <xf numFmtId="0" fontId="43" fillId="0" borderId="0" xfId="0" applyFont="1" applyAlignment="1">
      <alignment horizontal="center"/>
    </xf>
    <xf numFmtId="0" fontId="16" fillId="0" borderId="0" xfId="0" applyFont="1" applyAlignment="1">
      <alignment horizontal="center"/>
    </xf>
    <xf numFmtId="40" fontId="43" fillId="6" borderId="0" xfId="0" applyNumberFormat="1" applyFont="1" applyFill="1"/>
    <xf numFmtId="0" fontId="0" fillId="0" borderId="0" xfId="0" applyFill="1"/>
    <xf numFmtId="0" fontId="47" fillId="0" borderId="0" xfId="0" applyFont="1"/>
    <xf numFmtId="0" fontId="48" fillId="0" borderId="0" xfId="0" applyFont="1"/>
    <xf numFmtId="40" fontId="17" fillId="0" borderId="0" xfId="0" applyNumberFormat="1" applyFont="1"/>
    <xf numFmtId="10" fontId="0" fillId="7" borderId="0" xfId="0" applyNumberFormat="1" applyFill="1"/>
    <xf numFmtId="0" fontId="16" fillId="7" borderId="0" xfId="0" applyFont="1" applyFill="1" applyAlignment="1">
      <alignment horizontal="center"/>
    </xf>
    <xf numFmtId="0" fontId="16" fillId="7" borderId="24" xfId="0" applyFont="1" applyFill="1" applyBorder="1" applyAlignment="1">
      <alignment horizontal="center" vertical="center" wrapText="1"/>
    </xf>
    <xf numFmtId="0" fontId="16" fillId="7" borderId="25" xfId="0" applyFont="1" applyFill="1" applyBorder="1" applyAlignment="1">
      <alignment horizontal="center" vertical="center" wrapText="1"/>
    </xf>
    <xf numFmtId="0" fontId="0" fillId="7" borderId="0" xfId="0" applyFill="1"/>
    <xf numFmtId="0" fontId="34" fillId="8" borderId="0" xfId="0" applyFont="1" applyFill="1" applyProtection="1">
      <protection locked="0"/>
    </xf>
    <xf numFmtId="0" fontId="16"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4" fillId="8" borderId="0" xfId="0" applyFont="1" applyFill="1" applyProtection="1"/>
    <xf numFmtId="0" fontId="0" fillId="8" borderId="0" xfId="0" applyFill="1" applyProtection="1"/>
    <xf numFmtId="0" fontId="16" fillId="8" borderId="0" xfId="0" applyFont="1" applyFill="1" applyProtection="1"/>
    <xf numFmtId="0" fontId="16" fillId="8" borderId="26" xfId="0" applyFont="1" applyFill="1" applyBorder="1" applyAlignment="1" applyProtection="1">
      <alignment horizontal="center"/>
    </xf>
    <xf numFmtId="0" fontId="16" fillId="8" borderId="26" xfId="0" applyFont="1" applyFill="1" applyBorder="1" applyAlignment="1" applyProtection="1">
      <alignment horizontal="center" wrapText="1"/>
    </xf>
    <xf numFmtId="0" fontId="16" fillId="8" borderId="26" xfId="0" applyFont="1" applyFill="1" applyBorder="1" applyProtection="1"/>
    <xf numFmtId="2" fontId="16"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7" fillId="0" borderId="23" xfId="40" applyBorder="1" applyAlignment="1">
      <alignment horizontal="left"/>
    </xf>
    <xf numFmtId="0" fontId="7" fillId="0" borderId="37" xfId="40" applyBorder="1" applyAlignment="1">
      <alignment horizontal="left"/>
    </xf>
    <xf numFmtId="0" fontId="16" fillId="0" borderId="0" xfId="0" applyFont="1" applyProtection="1"/>
    <xf numFmtId="0" fontId="70" fillId="0" borderId="0" xfId="0" applyFont="1"/>
    <xf numFmtId="0" fontId="34" fillId="0" borderId="0" xfId="0" applyFont="1"/>
    <xf numFmtId="0" fontId="69" fillId="0" borderId="0" xfId="0" applyFont="1"/>
    <xf numFmtId="4" fontId="70" fillId="0" borderId="0" xfId="0" applyNumberFormat="1" applyFont="1" applyAlignment="1"/>
    <xf numFmtId="4" fontId="70" fillId="0" borderId="5" xfId="0" applyNumberFormat="1" applyFont="1" applyBorder="1" applyAlignment="1"/>
    <xf numFmtId="0" fontId="70" fillId="0" borderId="0" xfId="0" applyFont="1" applyAlignment="1">
      <alignment horizontal="center"/>
    </xf>
    <xf numFmtId="0" fontId="72" fillId="0" borderId="0" xfId="0" applyFont="1" applyAlignment="1">
      <alignment horizontal="right"/>
    </xf>
    <xf numFmtId="0" fontId="70" fillId="40" borderId="0" xfId="0" applyFont="1" applyFill="1" applyAlignment="1" applyProtection="1">
      <alignment horizontal="center"/>
      <protection locked="0"/>
    </xf>
    <xf numFmtId="40" fontId="70" fillId="0" borderId="3" xfId="0" applyNumberFormat="1" applyFont="1" applyBorder="1"/>
    <xf numFmtId="0" fontId="71" fillId="0" borderId="0" xfId="0" applyFont="1"/>
    <xf numFmtId="165" fontId="73" fillId="0" borderId="0" xfId="0" applyNumberFormat="1" applyFont="1" applyAlignment="1" applyProtection="1">
      <alignment horizontal="center"/>
    </xf>
    <xf numFmtId="165" fontId="73" fillId="0" borderId="0" xfId="0" applyNumberFormat="1" applyFont="1" applyAlignment="1" applyProtection="1">
      <alignment horizontal="left"/>
    </xf>
    <xf numFmtId="164" fontId="42"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9" fillId="7" borderId="0" xfId="0" applyNumberFormat="1" applyFont="1" applyFill="1" applyProtection="1"/>
    <xf numFmtId="49" fontId="42" fillId="0" borderId="0" xfId="0" applyNumberFormat="1" applyFont="1"/>
    <xf numFmtId="0" fontId="16" fillId="40" borderId="0" xfId="0" applyFont="1" applyFill="1"/>
    <xf numFmtId="0" fontId="0" fillId="40" borderId="0" xfId="0" applyFill="1"/>
    <xf numFmtId="0" fontId="43"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6" fillId="0" borderId="0" xfId="43"/>
    <xf numFmtId="0" fontId="6" fillId="40" borderId="0" xfId="43" applyFill="1" applyProtection="1">
      <protection locked="0"/>
    </xf>
    <xf numFmtId="40" fontId="42"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6" fillId="0" borderId="39" xfId="0" applyNumberFormat="1" applyFont="1" applyBorder="1" applyProtection="1"/>
    <xf numFmtId="0" fontId="0" fillId="0" borderId="0" xfId="0" applyAlignment="1">
      <alignment wrapText="1"/>
    </xf>
    <xf numFmtId="0" fontId="5" fillId="0" borderId="0" xfId="43" applyFont="1"/>
    <xf numFmtId="0" fontId="64" fillId="0" borderId="0" xfId="43" applyFont="1" applyAlignment="1">
      <alignment horizontal="center" vertical="center"/>
    </xf>
    <xf numFmtId="0" fontId="64" fillId="0" borderId="0" xfId="43" applyFont="1" applyAlignment="1">
      <alignment horizontal="left" vertical="center"/>
    </xf>
    <xf numFmtId="0" fontId="74" fillId="0" borderId="0" xfId="43" applyFont="1"/>
    <xf numFmtId="0" fontId="66" fillId="43" borderId="0" xfId="43" applyFont="1" applyFill="1"/>
    <xf numFmtId="0" fontId="66" fillId="43" borderId="0" xfId="43" applyFont="1" applyFill="1" applyAlignment="1">
      <alignment horizontal="center"/>
    </xf>
    <xf numFmtId="0" fontId="6" fillId="43" borderId="0" xfId="43" applyFill="1"/>
    <xf numFmtId="0" fontId="4" fillId="43" borderId="0" xfId="43" applyFont="1" applyFill="1"/>
    <xf numFmtId="0" fontId="4" fillId="43" borderId="0" xfId="43" applyFont="1" applyFill="1" applyAlignment="1">
      <alignment wrapText="1"/>
    </xf>
    <xf numFmtId="40" fontId="6" fillId="44" borderId="0" xfId="43" applyNumberFormat="1" applyFill="1" applyProtection="1"/>
    <xf numFmtId="0" fontId="3" fillId="43" borderId="0" xfId="43" applyFont="1" applyFill="1"/>
    <xf numFmtId="49" fontId="8" fillId="43" borderId="0" xfId="0" applyNumberFormat="1" applyFont="1" applyFill="1" applyBorder="1" applyProtection="1">
      <protection locked="0"/>
    </xf>
    <xf numFmtId="0" fontId="78" fillId="0" borderId="40" xfId="0" applyFont="1" applyBorder="1" applyAlignment="1" applyProtection="1">
      <alignment vertical="top" wrapText="1" readingOrder="1"/>
      <protection locked="0"/>
    </xf>
    <xf numFmtId="0" fontId="79" fillId="45" borderId="41" xfId="0" applyFont="1" applyFill="1" applyBorder="1" applyAlignment="1" applyProtection="1">
      <alignment horizontal="right" vertical="top" wrapText="1" readingOrder="1"/>
      <protection locked="0"/>
    </xf>
    <xf numFmtId="0" fontId="79" fillId="45" borderId="41" xfId="0" applyFont="1" applyFill="1" applyBorder="1" applyAlignment="1" applyProtection="1">
      <alignment vertical="top" wrapText="1" readingOrder="1"/>
      <protection locked="0"/>
    </xf>
    <xf numFmtId="0" fontId="80" fillId="0" borderId="41" xfId="0" applyFont="1" applyBorder="1" applyAlignment="1" applyProtection="1">
      <alignment vertical="top" wrapText="1" readingOrder="1"/>
      <protection locked="0"/>
    </xf>
    <xf numFmtId="0" fontId="79" fillId="45" borderId="0" xfId="0" applyFont="1" applyFill="1" applyBorder="1" applyAlignment="1" applyProtection="1">
      <alignment vertical="top" wrapText="1" readingOrder="1"/>
      <protection locked="0"/>
    </xf>
    <xf numFmtId="0" fontId="80" fillId="0" borderId="0" xfId="0" applyFont="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0" fillId="0" borderId="40" xfId="0" applyBorder="1"/>
    <xf numFmtId="0" fontId="77" fillId="43" borderId="0" xfId="0" applyFont="1" applyFill="1"/>
    <xf numFmtId="0" fontId="37" fillId="43" borderId="0" xfId="0" applyFont="1" applyFill="1"/>
    <xf numFmtId="0" fontId="0" fillId="43" borderId="0" xfId="0" applyFill="1"/>
    <xf numFmtId="0" fontId="77" fillId="46" borderId="0" xfId="0" applyFont="1" applyFill="1"/>
    <xf numFmtId="0" fontId="37" fillId="46" borderId="0" xfId="0" applyFont="1" applyFill="1"/>
    <xf numFmtId="0" fontId="0" fillId="46" borderId="0" xfId="0" applyFill="1"/>
    <xf numFmtId="0" fontId="77" fillId="47" borderId="0" xfId="0" applyFont="1" applyFill="1"/>
    <xf numFmtId="0" fontId="37" fillId="47" borderId="0" xfId="0" applyFont="1" applyFill="1"/>
    <xf numFmtId="0" fontId="0" fillId="47" borderId="0" xfId="0" applyFill="1"/>
    <xf numFmtId="0" fontId="81" fillId="0" borderId="0" xfId="43" applyFont="1" applyAlignment="1">
      <alignment horizontal="center" vertical="center"/>
    </xf>
    <xf numFmtId="0" fontId="2" fillId="40" borderId="0" xfId="43" applyFont="1" applyFill="1" applyProtection="1">
      <protection locked="0"/>
    </xf>
    <xf numFmtId="0" fontId="1" fillId="40" borderId="0" xfId="43" applyFont="1" applyFill="1" applyProtection="1">
      <protection locked="0"/>
    </xf>
    <xf numFmtId="49" fontId="16" fillId="0" borderId="0" xfId="0" applyNumberFormat="1" applyFont="1" applyAlignment="1">
      <alignment horizontal="center"/>
    </xf>
    <xf numFmtId="0" fontId="70" fillId="0" borderId="0" xfId="0" applyFont="1" applyAlignment="1">
      <alignment horizontal="center"/>
    </xf>
    <xf numFmtId="49" fontId="70" fillId="7" borderId="0" xfId="0" applyNumberFormat="1" applyFont="1" applyFill="1" applyAlignment="1"/>
    <xf numFmtId="0" fontId="70" fillId="7" borderId="0" xfId="0" applyFont="1" applyFill="1" applyAlignment="1"/>
    <xf numFmtId="0" fontId="33" fillId="0" borderId="0" xfId="0" applyFont="1" applyAlignment="1">
      <alignment horizontal="center"/>
    </xf>
    <xf numFmtId="0" fontId="33" fillId="0" borderId="0" xfId="0" applyFont="1" applyAlignment="1"/>
    <xf numFmtId="0" fontId="16" fillId="0" borderId="0" xfId="0" applyFont="1" applyAlignment="1">
      <alignment horizontal="center"/>
    </xf>
    <xf numFmtId="0" fontId="16" fillId="0" borderId="22" xfId="0" applyFont="1" applyBorder="1" applyAlignment="1">
      <alignment horizontal="center"/>
    </xf>
    <xf numFmtId="0" fontId="16" fillId="0" borderId="14" xfId="0" applyFont="1" applyBorder="1" applyAlignment="1">
      <alignment horizontal="center"/>
    </xf>
    <xf numFmtId="0" fontId="0" fillId="0" borderId="0" xfId="0" applyAlignment="1"/>
    <xf numFmtId="0" fontId="47" fillId="0" borderId="0" xfId="0" applyFont="1" applyAlignment="1">
      <alignment horizontal="left" vertical="top" wrapText="1"/>
    </xf>
    <xf numFmtId="4" fontId="43" fillId="0" borderId="0" xfId="0" applyNumberFormat="1" applyFont="1" applyBorder="1" applyAlignment="1" applyProtection="1">
      <alignment wrapText="1"/>
    </xf>
    <xf numFmtId="0" fontId="0" fillId="0" borderId="0" xfId="0" applyAlignment="1">
      <alignment wrapText="1"/>
    </xf>
    <xf numFmtId="0" fontId="31" fillId="0" borderId="0" xfId="0" applyFont="1" applyAlignment="1">
      <alignment horizontal="center"/>
    </xf>
    <xf numFmtId="49" fontId="16" fillId="0" borderId="0" xfId="0" applyNumberFormat="1" applyFont="1" applyAlignment="1" applyProtection="1">
      <alignment horizontal="center"/>
    </xf>
    <xf numFmtId="49" fontId="17" fillId="0" borderId="0" xfId="0" applyNumberFormat="1" applyFont="1" applyBorder="1" applyAlignment="1" applyProtection="1">
      <alignment horizontal="left"/>
      <protection locked="0"/>
    </xf>
    <xf numFmtId="49" fontId="17" fillId="0" borderId="10" xfId="0" applyNumberFormat="1" applyFont="1" applyBorder="1" applyAlignment="1" applyProtection="1">
      <alignment horizontal="left"/>
      <protection locked="0"/>
    </xf>
    <xf numFmtId="49" fontId="17" fillId="0" borderId="13" xfId="0" applyNumberFormat="1" applyFont="1" applyBorder="1" applyAlignment="1" applyProtection="1">
      <alignment horizontal="left"/>
      <protection locked="0"/>
    </xf>
    <xf numFmtId="49" fontId="17" fillId="0" borderId="19" xfId="0" applyNumberFormat="1" applyFont="1" applyBorder="1" applyAlignment="1" applyProtection="1">
      <alignment horizontal="left"/>
      <protection locked="0"/>
    </xf>
    <xf numFmtId="0" fontId="35" fillId="0" borderId="0" xfId="0" applyFont="1" applyAlignment="1" applyProtection="1">
      <alignment horizontal="center"/>
    </xf>
    <xf numFmtId="49" fontId="17" fillId="0" borderId="0" xfId="0" applyNumberFormat="1" applyFont="1" applyAlignment="1" applyProtection="1">
      <alignment horizontal="left"/>
      <protection locked="0"/>
    </xf>
    <xf numFmtId="49" fontId="17" fillId="0" borderId="0" xfId="0" applyNumberFormat="1" applyFont="1" applyAlignment="1" applyProtection="1">
      <alignment horizontal="left"/>
    </xf>
    <xf numFmtId="49" fontId="17" fillId="0" borderId="0" xfId="0" applyNumberFormat="1" applyFont="1" applyBorder="1" applyAlignment="1" applyProtection="1">
      <alignment horizontal="left"/>
    </xf>
    <xf numFmtId="49" fontId="17" fillId="0" borderId="10" xfId="0" applyNumberFormat="1" applyFont="1" applyBorder="1" applyAlignment="1" applyProtection="1">
      <alignment horizontal="left"/>
    </xf>
    <xf numFmtId="0" fontId="34" fillId="0" borderId="20" xfId="0" applyFont="1" applyBorder="1" applyAlignment="1">
      <alignment horizontal="center"/>
    </xf>
    <xf numFmtId="0" fontId="34" fillId="0" borderId="8" xfId="0" applyFont="1" applyBorder="1" applyAlignment="1">
      <alignment horizontal="center"/>
    </xf>
    <xf numFmtId="0" fontId="16" fillId="0" borderId="0" xfId="0" applyFont="1" applyBorder="1" applyAlignment="1">
      <alignment horizontal="center"/>
    </xf>
    <xf numFmtId="0" fontId="16" fillId="0" borderId="10" xfId="0" applyFont="1" applyBorder="1" applyAlignment="1">
      <alignment horizontal="center"/>
    </xf>
    <xf numFmtId="49" fontId="37" fillId="0" borderId="0" xfId="0" applyNumberFormat="1" applyFont="1" applyBorder="1" applyAlignment="1"/>
    <xf numFmtId="0" fontId="37" fillId="0" borderId="0" xfId="0" applyFont="1" applyBorder="1" applyAlignment="1"/>
    <xf numFmtId="0" fontId="36" fillId="0" borderId="11" xfId="0" applyFont="1" applyBorder="1" applyAlignment="1">
      <alignment horizontal="center"/>
    </xf>
    <xf numFmtId="0" fontId="36"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110" zoomScaleNormal="110" workbookViewId="0">
      <selection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1303</v>
      </c>
      <c r="B2" s="126">
        <f>INDEX('School Tables'!$AH$3:$AH$208,MATCH('DOE25'!A2,'School Tables'!$AJ$3:$AJ$208,0))</f>
        <v>377</v>
      </c>
      <c r="C2" s="126">
        <f>INDEX('School Tables'!$AI$3:$AI$208,MATCH('DOE25'!A2,'School Tables'!$AJ$3:$AJ$208,0))</f>
        <v>377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3176471.01</v>
      </c>
      <c r="G9" s="18">
        <v>36834.18</v>
      </c>
      <c r="H9" s="18">
        <v>0</v>
      </c>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24852.83</v>
      </c>
      <c r="G12" s="18">
        <v>0</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165.08</v>
      </c>
      <c r="G13" s="18">
        <v>82384.679999999993</v>
      </c>
      <c r="H13" s="18">
        <v>53259.13</v>
      </c>
      <c r="I13" s="18"/>
      <c r="J13" s="67">
        <f>SUM(I443)</f>
        <v>430000.58</v>
      </c>
      <c r="K13" s="24" t="s">
        <v>288</v>
      </c>
      <c r="L13" s="24" t="s">
        <v>288</v>
      </c>
      <c r="M13" s="8"/>
      <c r="N13" s="265"/>
    </row>
    <row r="14" spans="1:14" s="3" customFormat="1" ht="12.2" customHeight="1" x14ac:dyDescent="0.15">
      <c r="A14" s="1" t="s">
        <v>565</v>
      </c>
      <c r="B14" s="2" t="s">
        <v>289</v>
      </c>
      <c r="C14" s="6">
        <v>6</v>
      </c>
      <c r="D14" s="2" t="s">
        <v>428</v>
      </c>
      <c r="E14" s="6">
        <v>150</v>
      </c>
      <c r="F14" s="18">
        <v>7874.78</v>
      </c>
      <c r="G14" s="18">
        <v>81.78</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v>6098.78</v>
      </c>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4076.81</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3219539.2899999996</v>
      </c>
      <c r="G19" s="41">
        <f>SUM(G9:G18)</f>
        <v>119300.63999999998</v>
      </c>
      <c r="H19" s="41">
        <f>SUM(H9:H18)</f>
        <v>53259.13</v>
      </c>
      <c r="I19" s="41">
        <f>SUM(I9:I18)</f>
        <v>0</v>
      </c>
      <c r="J19" s="41">
        <f>SUM(J9:J18)</f>
        <v>430000.58</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v>24852.83</v>
      </c>
      <c r="I22" s="18" t="s">
        <v>286</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194836.12</v>
      </c>
      <c r="G23" s="18"/>
      <c r="H23" s="18" t="s">
        <v>286</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87557.759999999995</v>
      </c>
      <c r="G24" s="18">
        <f>10041.18+74.05</f>
        <v>10115.23</v>
      </c>
      <c r="H24" s="18">
        <v>8730.4599999999991</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30532.99</v>
      </c>
      <c r="G28" s="18"/>
      <c r="H28" s="18">
        <v>754.02</v>
      </c>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1000000</v>
      </c>
      <c r="G30" s="18">
        <v>3480.36</v>
      </c>
      <c r="H30" s="18">
        <v>18921.82</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v>1316.06</v>
      </c>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1312926.8700000001</v>
      </c>
      <c r="G32" s="41">
        <f>SUM(G22:G31)</f>
        <v>14911.65</v>
      </c>
      <c r="H32" s="41">
        <f>SUM(H22:H31)</f>
        <v>53259.13</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6098.78</v>
      </c>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4076.81</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104388.99</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v>93345.68</v>
      </c>
      <c r="G45" s="18" t="s">
        <v>286</v>
      </c>
      <c r="H45" s="18"/>
      <c r="I45" s="18"/>
      <c r="J45" s="13">
        <f>I456</f>
        <v>0</v>
      </c>
      <c r="K45" s="24" t="s">
        <v>288</v>
      </c>
      <c r="L45" s="24" t="s">
        <v>288</v>
      </c>
      <c r="M45" s="8"/>
      <c r="N45" s="265"/>
    </row>
    <row r="46" spans="1:14" s="3" customFormat="1" ht="12.2" customHeight="1" x14ac:dyDescent="0.15">
      <c r="A46" s="1" t="s">
        <v>874</v>
      </c>
      <c r="B46" s="6">
        <v>1</v>
      </c>
      <c r="C46" s="6">
        <v>32</v>
      </c>
      <c r="D46" s="2"/>
      <c r="E46" s="6"/>
      <c r="F46" s="18">
        <v>625000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430000.58</v>
      </c>
      <c r="K48" s="24" t="s">
        <v>288</v>
      </c>
      <c r="L48" s="24" t="s">
        <v>288</v>
      </c>
      <c r="M48" s="8"/>
      <c r="N48" s="265"/>
    </row>
    <row r="49" spans="1:14" s="3" customFormat="1" ht="12.2" customHeight="1" x14ac:dyDescent="0.15">
      <c r="A49" s="1" t="s">
        <v>859</v>
      </c>
      <c r="B49" s="2" t="s">
        <v>289</v>
      </c>
      <c r="C49" s="6">
        <v>34</v>
      </c>
      <c r="D49" s="2"/>
      <c r="E49" s="6">
        <v>753</v>
      </c>
      <c r="F49" s="18"/>
      <c r="G49" s="18"/>
      <c r="H49" s="18">
        <v>0</v>
      </c>
      <c r="I49" s="18"/>
      <c r="J49" s="13">
        <f>I455</f>
        <v>0</v>
      </c>
      <c r="K49" s="24"/>
      <c r="L49" s="24"/>
      <c r="M49" s="8"/>
      <c r="N49" s="265"/>
    </row>
    <row r="50" spans="1:14" s="3" customFormat="1" ht="12.2" customHeight="1" thickBot="1" x14ac:dyDescent="0.2">
      <c r="A50" s="29" t="s">
        <v>840</v>
      </c>
      <c r="B50" s="2" t="s">
        <v>289</v>
      </c>
      <c r="C50" s="71">
        <v>35</v>
      </c>
      <c r="D50" s="2" t="s">
        <v>653</v>
      </c>
      <c r="E50" s="6">
        <v>770</v>
      </c>
      <c r="F50" s="18">
        <v>1128091.1499999999</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1906612.42</v>
      </c>
      <c r="G51" s="41">
        <f>SUM(G35:G50)</f>
        <v>104388.99</v>
      </c>
      <c r="H51" s="41">
        <f>SUM(H35:H50)</f>
        <v>0</v>
      </c>
      <c r="I51" s="41">
        <f>SUM(I35:I50)</f>
        <v>0</v>
      </c>
      <c r="J51" s="41">
        <f>SUM(J35:J50)</f>
        <v>430000.58</v>
      </c>
      <c r="K51" s="45" t="s">
        <v>288</v>
      </c>
      <c r="L51" s="45" t="s">
        <v>288</v>
      </c>
      <c r="N51" s="263"/>
    </row>
    <row r="52" spans="1:14" s="3" customFormat="1" ht="12.2" customHeight="1" thickTop="1" x14ac:dyDescent="0.15">
      <c r="A52" s="38" t="s">
        <v>455</v>
      </c>
      <c r="B52" s="39" t="s">
        <v>289</v>
      </c>
      <c r="C52" s="6">
        <v>37</v>
      </c>
      <c r="D52" s="39" t="s">
        <v>653</v>
      </c>
      <c r="E52" s="39"/>
      <c r="F52" s="41">
        <f>F51+F32</f>
        <v>3219539.29</v>
      </c>
      <c r="G52" s="41">
        <f>G51+G32</f>
        <v>119300.64</v>
      </c>
      <c r="H52" s="41">
        <f>H51+H32</f>
        <v>53259.13</v>
      </c>
      <c r="I52" s="41">
        <f>I51+I32</f>
        <v>0</v>
      </c>
      <c r="J52" s="41">
        <f>J51+J32</f>
        <v>430000.58</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11199668</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11199668</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12060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12060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5018.1899999999996</v>
      </c>
      <c r="G96" s="18"/>
      <c r="H96" s="18"/>
      <c r="I96" s="18"/>
      <c r="J96" s="18">
        <v>47.81</v>
      </c>
      <c r="K96" s="24" t="s">
        <v>288</v>
      </c>
      <c r="L96" s="24" t="s">
        <v>288</v>
      </c>
      <c r="M96" s="8"/>
      <c r="N96" s="265"/>
    </row>
    <row r="97" spans="1:14" s="3" customFormat="1" ht="12.2" customHeight="1" x14ac:dyDescent="0.15">
      <c r="A97" s="1" t="s">
        <v>503</v>
      </c>
      <c r="B97" s="2" t="s">
        <v>315</v>
      </c>
      <c r="C97" s="6">
        <v>12</v>
      </c>
      <c r="D97" s="2" t="s">
        <v>430</v>
      </c>
      <c r="E97" s="6">
        <v>1600</v>
      </c>
      <c r="F97" s="24" t="s">
        <v>288</v>
      </c>
      <c r="G97" s="18">
        <f>506.87-74.05</f>
        <v>432.82</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3609.95</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3633.02</v>
      </c>
      <c r="G109" s="18">
        <v>55.85</v>
      </c>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84290.01</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92941.22</v>
      </c>
      <c r="G111" s="41">
        <f>SUM(G96:G110)</f>
        <v>488.67</v>
      </c>
      <c r="H111" s="41">
        <f>SUM(H96:H110)</f>
        <v>3609.95</v>
      </c>
      <c r="I111" s="41">
        <f>SUM(I96:I110)</f>
        <v>0</v>
      </c>
      <c r="J111" s="41">
        <f>SUM(J96:J110)</f>
        <v>47.81</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11304669.220000001</v>
      </c>
      <c r="G112" s="41">
        <f>G60+G111</f>
        <v>488.67</v>
      </c>
      <c r="H112" s="41">
        <f>H60+H79+H94+H111</f>
        <v>3609.95</v>
      </c>
      <c r="I112" s="41">
        <f>I60+I111</f>
        <v>0</v>
      </c>
      <c r="J112" s="41">
        <f>J60+J111</f>
        <v>47.81</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3146637.43</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1350394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4497031.43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33751.06</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2964.62</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33751.06</v>
      </c>
      <c r="G136" s="41">
        <f>SUM(G123:G135)</f>
        <v>2964.62</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4530782.4899999993</v>
      </c>
      <c r="G140" s="41">
        <f>G121+SUM(G136:G137)</f>
        <v>2964.62</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41739.33</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51080.05</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1872</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305169.39</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52723.58</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5894.32</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t="s">
        <v>286</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78260.400000000009</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5894.32</v>
      </c>
      <c r="G163" s="41">
        <f>SUM(G150:G162)</f>
        <v>305169.39</v>
      </c>
      <c r="H163" s="41">
        <f>SUM(H150:H162)</f>
        <v>225675.36000000004</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v>14133.83</v>
      </c>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5894.32</v>
      </c>
      <c r="G170" s="41">
        <f>G147+G163+SUM(G164:G169)</f>
        <v>319303.22000000003</v>
      </c>
      <c r="H170" s="41">
        <f>H147+H163+SUM(H164:H169)</f>
        <v>225675.36000000004</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15841346.030000001</v>
      </c>
      <c r="G194" s="47">
        <f>G112+G140+G170+G193</f>
        <v>322756.51</v>
      </c>
      <c r="H194" s="47">
        <f>H112+H140+H170+H193</f>
        <v>229285.31000000006</v>
      </c>
      <c r="I194" s="47">
        <f>I112+I140+I170+I193</f>
        <v>0</v>
      </c>
      <c r="J194" s="47">
        <f>J112+J140+J193</f>
        <v>47.81</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1974072.48</v>
      </c>
      <c r="G198" s="18">
        <v>980697.42999999993</v>
      </c>
      <c r="H198" s="18">
        <v>26551.09</v>
      </c>
      <c r="I198" s="18">
        <v>84210.5</v>
      </c>
      <c r="J198" s="18">
        <v>54806.47</v>
      </c>
      <c r="K198" s="18">
        <v>3400.6</v>
      </c>
      <c r="L198" s="19">
        <f>SUM(F198:K198)</f>
        <v>3123738.5700000003</v>
      </c>
      <c r="M198" s="8"/>
      <c r="N198" s="265"/>
    </row>
    <row r="199" spans="1:14" s="3" customFormat="1" ht="12.2" customHeight="1" x14ac:dyDescent="0.15">
      <c r="A199" s="1" t="s">
        <v>439</v>
      </c>
      <c r="B199" s="2" t="s">
        <v>341</v>
      </c>
      <c r="C199" s="2" t="s">
        <v>291</v>
      </c>
      <c r="D199" s="2" t="s">
        <v>431</v>
      </c>
      <c r="E199" s="6">
        <v>1200</v>
      </c>
      <c r="F199" s="18">
        <v>963835.96</v>
      </c>
      <c r="G199" s="18">
        <v>468830.24</v>
      </c>
      <c r="H199" s="18">
        <v>108303.16</v>
      </c>
      <c r="I199" s="18">
        <v>9824.27</v>
      </c>
      <c r="J199" s="18">
        <v>1244.96</v>
      </c>
      <c r="K199" s="18"/>
      <c r="L199" s="19">
        <f>SUM(F199:K199)</f>
        <v>1552038.5899999999</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45986.87</v>
      </c>
      <c r="G201" s="18">
        <v>11547.01</v>
      </c>
      <c r="H201" s="18">
        <v>0</v>
      </c>
      <c r="I201" s="18"/>
      <c r="J201" s="18"/>
      <c r="K201" s="18"/>
      <c r="L201" s="19">
        <f>SUM(F201:K201)</f>
        <v>57533.880000000005</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287801.75</v>
      </c>
      <c r="G203" s="18">
        <v>124642.61000000002</v>
      </c>
      <c r="H203" s="18">
        <v>168971.9</v>
      </c>
      <c r="I203" s="18">
        <v>13553.98</v>
      </c>
      <c r="J203" s="18">
        <v>0</v>
      </c>
      <c r="K203" s="18"/>
      <c r="L203" s="19">
        <f t="shared" ref="L203:L209" si="0">SUM(F203:K203)</f>
        <v>594970.24</v>
      </c>
      <c r="M203" s="8"/>
      <c r="N203" s="265"/>
    </row>
    <row r="204" spans="1:14" s="3" customFormat="1" ht="12.2" customHeight="1" x14ac:dyDescent="0.15">
      <c r="A204" s="1" t="s">
        <v>443</v>
      </c>
      <c r="B204" s="2" t="s">
        <v>341</v>
      </c>
      <c r="C204" s="2" t="s">
        <v>295</v>
      </c>
      <c r="D204" s="2" t="s">
        <v>431</v>
      </c>
      <c r="E204" s="6">
        <v>2200</v>
      </c>
      <c r="F204" s="18">
        <v>140400.76</v>
      </c>
      <c r="G204" s="18">
        <v>58374.049999999996</v>
      </c>
      <c r="H204" s="18">
        <v>2113.4</v>
      </c>
      <c r="I204" s="18">
        <v>26489.29</v>
      </c>
      <c r="J204" s="18">
        <v>0</v>
      </c>
      <c r="K204" s="18">
        <v>235</v>
      </c>
      <c r="L204" s="19">
        <f t="shared" si="0"/>
        <v>227612.5</v>
      </c>
      <c r="M204" s="8"/>
      <c r="N204" s="265"/>
    </row>
    <row r="205" spans="1:14" s="3" customFormat="1" ht="12.2" customHeight="1" x14ac:dyDescent="0.15">
      <c r="A205" s="1" t="s">
        <v>444</v>
      </c>
      <c r="B205" s="2" t="s">
        <v>341</v>
      </c>
      <c r="C205" s="2" t="s">
        <v>296</v>
      </c>
      <c r="D205" s="2" t="s">
        <v>431</v>
      </c>
      <c r="E205" s="6">
        <v>2300</v>
      </c>
      <c r="F205" s="18">
        <v>8725</v>
      </c>
      <c r="G205" s="18">
        <v>676.61000000000013</v>
      </c>
      <c r="H205" s="18">
        <v>540354.44999999995</v>
      </c>
      <c r="I205" s="18">
        <v>931.67</v>
      </c>
      <c r="J205" s="18"/>
      <c r="K205" s="18">
        <v>4184.37</v>
      </c>
      <c r="L205" s="19">
        <f t="shared" si="0"/>
        <v>554872.1</v>
      </c>
      <c r="M205" s="8"/>
      <c r="N205" s="265"/>
    </row>
    <row r="206" spans="1:14" s="3" customFormat="1" ht="12.2" customHeight="1" x14ac:dyDescent="0.15">
      <c r="A206" s="1" t="s">
        <v>445</v>
      </c>
      <c r="B206" s="2" t="s">
        <v>341</v>
      </c>
      <c r="C206" s="2" t="s">
        <v>297</v>
      </c>
      <c r="D206" s="2" t="s">
        <v>431</v>
      </c>
      <c r="E206" s="6">
        <v>2400</v>
      </c>
      <c r="F206" s="18">
        <v>367780.41000000003</v>
      </c>
      <c r="G206" s="18">
        <v>135110.63000000003</v>
      </c>
      <c r="H206" s="18">
        <v>9715.3099999999977</v>
      </c>
      <c r="I206" s="18">
        <v>834.32</v>
      </c>
      <c r="J206" s="18">
        <v>0</v>
      </c>
      <c r="K206" s="18">
        <v>150</v>
      </c>
      <c r="L206" s="19">
        <f t="shared" si="0"/>
        <v>513590.67000000004</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125334.95</v>
      </c>
      <c r="G208" s="18">
        <v>70370.27</v>
      </c>
      <c r="H208" s="18">
        <v>151748.63999999998</v>
      </c>
      <c r="I208" s="18">
        <v>140492.82</v>
      </c>
      <c r="J208" s="18">
        <v>18585.68</v>
      </c>
      <c r="K208" s="18"/>
      <c r="L208" s="19">
        <f t="shared" si="0"/>
        <v>506532.36</v>
      </c>
      <c r="M208" s="8"/>
      <c r="N208" s="265"/>
    </row>
    <row r="209" spans="1:14" s="3" customFormat="1" ht="12.2" customHeight="1" x14ac:dyDescent="0.15">
      <c r="A209" s="1" t="s">
        <v>448</v>
      </c>
      <c r="B209" s="2" t="s">
        <v>341</v>
      </c>
      <c r="C209" s="2" t="s">
        <v>300</v>
      </c>
      <c r="D209" s="2" t="s">
        <v>431</v>
      </c>
      <c r="E209" s="6">
        <v>2700</v>
      </c>
      <c r="F209" s="18"/>
      <c r="G209" s="18"/>
      <c r="H209" s="18">
        <v>644106.64999999991</v>
      </c>
      <c r="I209" s="18"/>
      <c r="J209" s="18"/>
      <c r="K209" s="18"/>
      <c r="L209" s="19">
        <f t="shared" si="0"/>
        <v>644106.64999999991</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3913938.1800000006</v>
      </c>
      <c r="G212" s="41">
        <f t="shared" si="1"/>
        <v>1850248.8500000003</v>
      </c>
      <c r="H212" s="41">
        <f t="shared" si="1"/>
        <v>1651864.6</v>
      </c>
      <c r="I212" s="41">
        <f t="shared" si="1"/>
        <v>276336.85000000003</v>
      </c>
      <c r="J212" s="41">
        <f t="shared" si="1"/>
        <v>74637.11</v>
      </c>
      <c r="K212" s="41">
        <f t="shared" si="1"/>
        <v>7969.9699999999993</v>
      </c>
      <c r="L212" s="41">
        <f t="shared" si="1"/>
        <v>7774995.5600000005</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0</v>
      </c>
      <c r="G216" s="18">
        <v>0</v>
      </c>
      <c r="H216" s="18">
        <v>2365846.0099999998</v>
      </c>
      <c r="I216" s="18">
        <v>0</v>
      </c>
      <c r="J216" s="18">
        <v>0</v>
      </c>
      <c r="K216" s="18">
        <v>0</v>
      </c>
      <c r="L216" s="19">
        <f>SUM(F216:K216)</f>
        <v>2365846.0099999998</v>
      </c>
      <c r="M216" s="8"/>
      <c r="N216" s="265"/>
    </row>
    <row r="217" spans="1:14" s="3" customFormat="1" ht="12.2" customHeight="1" x14ac:dyDescent="0.15">
      <c r="A217" s="1" t="s">
        <v>439</v>
      </c>
      <c r="B217" s="2" t="s">
        <v>346</v>
      </c>
      <c r="C217" s="2" t="s">
        <v>291</v>
      </c>
      <c r="D217" s="2" t="s">
        <v>431</v>
      </c>
      <c r="E217" s="6">
        <v>1200</v>
      </c>
      <c r="F217" s="18">
        <v>0</v>
      </c>
      <c r="G217" s="18">
        <v>0</v>
      </c>
      <c r="H217" s="18">
        <v>299193.03999999998</v>
      </c>
      <c r="I217" s="18">
        <v>0</v>
      </c>
      <c r="J217" s="18">
        <v>0</v>
      </c>
      <c r="K217" s="18"/>
      <c r="L217" s="19">
        <f>SUM(F217:K217)</f>
        <v>299193.03999999998</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v>1251.19</v>
      </c>
      <c r="I221" s="18"/>
      <c r="J221" s="18"/>
      <c r="K221" s="18"/>
      <c r="L221" s="19">
        <f t="shared" ref="L221:L227" si="2">SUM(F221:K221)</f>
        <v>1251.19</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v>48605.21</v>
      </c>
      <c r="I227" s="18"/>
      <c r="J227" s="18"/>
      <c r="K227" s="18"/>
      <c r="L227" s="19">
        <f t="shared" si="2"/>
        <v>48605.21</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2714895.4499999997</v>
      </c>
      <c r="I230" s="41">
        <f>SUM(I216:I229)</f>
        <v>0</v>
      </c>
      <c r="J230" s="41">
        <f>SUM(J216:J229)</f>
        <v>0</v>
      </c>
      <c r="K230" s="41">
        <f t="shared" si="3"/>
        <v>0</v>
      </c>
      <c r="L230" s="41">
        <f t="shared" si="3"/>
        <v>2714895.4499999997</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4866464.87</v>
      </c>
      <c r="I234" s="18"/>
      <c r="J234" s="18"/>
      <c r="K234" s="18"/>
      <c r="L234" s="19">
        <f>SUM(F234:K234)</f>
        <v>4866464.87</v>
      </c>
      <c r="M234" s="8"/>
      <c r="N234" s="265"/>
    </row>
    <row r="235" spans="1:14" s="3" customFormat="1" ht="12.2" customHeight="1" x14ac:dyDescent="0.15">
      <c r="A235" s="1" t="s">
        <v>439</v>
      </c>
      <c r="B235" s="2" t="s">
        <v>350</v>
      </c>
      <c r="C235" s="2" t="s">
        <v>291</v>
      </c>
      <c r="D235" s="2" t="s">
        <v>431</v>
      </c>
      <c r="E235" s="6">
        <v>1200</v>
      </c>
      <c r="F235" s="18"/>
      <c r="G235" s="18"/>
      <c r="H235" s="18">
        <v>193261.62</v>
      </c>
      <c r="I235" s="18"/>
      <c r="J235" s="18"/>
      <c r="K235" s="18"/>
      <c r="L235" s="19">
        <f>SUM(F235:K235)</f>
        <v>193261.62</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v>12258.54</v>
      </c>
      <c r="I239" s="18"/>
      <c r="J239" s="18"/>
      <c r="K239" s="18"/>
      <c r="L239" s="19">
        <f t="shared" ref="L239:L245" si="4">SUM(F239:K239)</f>
        <v>12258.54</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46615.07</v>
      </c>
      <c r="I245" s="18"/>
      <c r="J245" s="18"/>
      <c r="K245" s="18"/>
      <c r="L245" s="19">
        <f t="shared" si="4"/>
        <v>46615.07</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5118600.1000000006</v>
      </c>
      <c r="I248" s="41">
        <f t="shared" si="5"/>
        <v>0</v>
      </c>
      <c r="J248" s="41">
        <f t="shared" si="5"/>
        <v>0</v>
      </c>
      <c r="K248" s="41">
        <f t="shared" si="5"/>
        <v>0</v>
      </c>
      <c r="L248" s="41">
        <f t="shared" si="5"/>
        <v>5118600.1000000006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3913938.1800000006</v>
      </c>
      <c r="G258" s="41">
        <f t="shared" si="8"/>
        <v>1850248.8500000003</v>
      </c>
      <c r="H258" s="41">
        <f t="shared" si="8"/>
        <v>9485360.1500000004</v>
      </c>
      <c r="I258" s="41">
        <f t="shared" si="8"/>
        <v>276336.85000000003</v>
      </c>
      <c r="J258" s="41">
        <f t="shared" si="8"/>
        <v>74637.11</v>
      </c>
      <c r="K258" s="41">
        <f t="shared" si="8"/>
        <v>7969.9699999999993</v>
      </c>
      <c r="L258" s="41">
        <f t="shared" si="8"/>
        <v>15608491.109999999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5"/>
    </row>
    <row r="272" spans="1:14" s="34" customFormat="1" ht="12.2" customHeight="1" thickTop="1" x14ac:dyDescent="0.2">
      <c r="A272" s="43" t="s">
        <v>464</v>
      </c>
      <c r="B272" s="40">
        <v>10</v>
      </c>
      <c r="C272" s="40">
        <v>18</v>
      </c>
      <c r="D272" s="39" t="s">
        <v>431</v>
      </c>
      <c r="E272" s="40"/>
      <c r="F272" s="42">
        <f t="shared" ref="F272:L272" si="11">F258+F271</f>
        <v>3913938.1800000006</v>
      </c>
      <c r="G272" s="42">
        <f t="shared" si="11"/>
        <v>1850248.8500000003</v>
      </c>
      <c r="H272" s="42">
        <f t="shared" si="11"/>
        <v>9485360.1500000004</v>
      </c>
      <c r="I272" s="42">
        <f t="shared" si="11"/>
        <v>276336.85000000003</v>
      </c>
      <c r="J272" s="42">
        <f t="shared" si="11"/>
        <v>74637.11</v>
      </c>
      <c r="K272" s="42">
        <f t="shared" si="11"/>
        <v>7969.9699999999993</v>
      </c>
      <c r="L272" s="42">
        <f t="shared" si="11"/>
        <v>15608491.109999999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34255.4</v>
      </c>
      <c r="G277" s="18">
        <v>18010.47</v>
      </c>
      <c r="H277" s="18">
        <v>17763</v>
      </c>
      <c r="I277" s="18">
        <v>79778.789999999979</v>
      </c>
      <c r="J277" s="18">
        <v>4956.5200000000004</v>
      </c>
      <c r="K277" s="18"/>
      <c r="L277" s="19">
        <f>SUM(F277:K277)</f>
        <v>154764.17999999996</v>
      </c>
      <c r="M277" s="8"/>
      <c r="N277" s="265"/>
    </row>
    <row r="278" spans="1:14" s="3" customFormat="1" ht="12.2" customHeight="1" x14ac:dyDescent="0.15">
      <c r="A278" s="1" t="s">
        <v>439</v>
      </c>
      <c r="B278" s="2" t="s">
        <v>357</v>
      </c>
      <c r="C278" s="2" t="s">
        <v>291</v>
      </c>
      <c r="D278" s="2" t="s">
        <v>431</v>
      </c>
      <c r="E278" s="6">
        <v>1200</v>
      </c>
      <c r="F278" s="18">
        <v>32041</v>
      </c>
      <c r="G278" s="18">
        <v>10769.73</v>
      </c>
      <c r="H278" s="18">
        <v>2847</v>
      </c>
      <c r="I278" s="18">
        <v>779.85</v>
      </c>
      <c r="J278" s="18">
        <v>6286</v>
      </c>
      <c r="K278" s="18"/>
      <c r="L278" s="19">
        <f>SUM(F278:K278)</f>
        <v>52723.579999999994</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5956.25</v>
      </c>
      <c r="I282" s="18">
        <v>0</v>
      </c>
      <c r="J282" s="18">
        <v>0</v>
      </c>
      <c r="K282" s="18"/>
      <c r="L282" s="19">
        <f t="shared" ref="L282:L288" si="12">SUM(F282:K282)</f>
        <v>5956.25</v>
      </c>
      <c r="M282" s="8"/>
      <c r="N282" s="265"/>
    </row>
    <row r="283" spans="1:14" s="3" customFormat="1" ht="12.2" customHeight="1" x14ac:dyDescent="0.15">
      <c r="A283" s="1" t="s">
        <v>443</v>
      </c>
      <c r="B283" s="2" t="s">
        <v>357</v>
      </c>
      <c r="C283" s="2" t="s">
        <v>295</v>
      </c>
      <c r="D283" s="2" t="s">
        <v>431</v>
      </c>
      <c r="E283" s="6">
        <v>2200</v>
      </c>
      <c r="F283" s="18">
        <v>0</v>
      </c>
      <c r="G283" s="18">
        <v>0</v>
      </c>
      <c r="H283" s="18">
        <v>0</v>
      </c>
      <c r="I283" s="18">
        <v>1872</v>
      </c>
      <c r="J283" s="18">
        <v>0</v>
      </c>
      <c r="K283" s="18">
        <v>0</v>
      </c>
      <c r="L283" s="19">
        <f t="shared" si="12"/>
        <v>1872</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v>9623.18</v>
      </c>
      <c r="G285" s="18">
        <v>736.17</v>
      </c>
      <c r="H285" s="18">
        <v>0</v>
      </c>
      <c r="I285" s="18">
        <v>109.95</v>
      </c>
      <c r="J285" s="18">
        <v>0</v>
      </c>
      <c r="K285" s="18"/>
      <c r="L285" s="19">
        <f t="shared" si="12"/>
        <v>10469.300000000001</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v>3500</v>
      </c>
      <c r="I287" s="18">
        <v>0</v>
      </c>
      <c r="J287" s="18">
        <v>0</v>
      </c>
      <c r="K287" s="18"/>
      <c r="L287" s="19">
        <f t="shared" si="12"/>
        <v>3500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75919.579999999987</v>
      </c>
      <c r="G291" s="42">
        <f t="shared" si="13"/>
        <v>29516.37</v>
      </c>
      <c r="H291" s="42">
        <f t="shared" si="13"/>
        <v>30066.25</v>
      </c>
      <c r="I291" s="42">
        <f t="shared" si="13"/>
        <v>82540.589999999982</v>
      </c>
      <c r="J291" s="42">
        <f t="shared" si="13"/>
        <v>11242.52</v>
      </c>
      <c r="K291" s="42">
        <f t="shared" si="13"/>
        <v>0</v>
      </c>
      <c r="L291" s="41">
        <f t="shared" si="13"/>
        <v>229285.30999999994</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75919.579999999987</v>
      </c>
      <c r="G339" s="41">
        <f t="shared" si="20"/>
        <v>29516.37</v>
      </c>
      <c r="H339" s="41">
        <f t="shared" si="20"/>
        <v>30066.25</v>
      </c>
      <c r="I339" s="41">
        <f t="shared" si="20"/>
        <v>82540.589999999982</v>
      </c>
      <c r="J339" s="41">
        <f t="shared" si="20"/>
        <v>11242.52</v>
      </c>
      <c r="K339" s="41">
        <f t="shared" si="20"/>
        <v>0</v>
      </c>
      <c r="L339" s="41">
        <f t="shared" si="20"/>
        <v>229285.30999999994</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75919.579999999987</v>
      </c>
      <c r="G353" s="41">
        <f>G339</f>
        <v>29516.37</v>
      </c>
      <c r="H353" s="41">
        <f>H339</f>
        <v>30066.25</v>
      </c>
      <c r="I353" s="41">
        <f>I339</f>
        <v>82540.589999999982</v>
      </c>
      <c r="J353" s="41">
        <f>J339</f>
        <v>11242.52</v>
      </c>
      <c r="K353" s="47">
        <f>K339+K352</f>
        <v>0</v>
      </c>
      <c r="L353" s="41">
        <f>L339+L352</f>
        <v>229285.30999999994</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38274.130000000005</v>
      </c>
      <c r="G359" s="18">
        <v>24234.12</v>
      </c>
      <c r="H359" s="18">
        <v>9965.2099999999991</v>
      </c>
      <c r="I359" s="18">
        <v>133619.44</v>
      </c>
      <c r="J359" s="18">
        <v>0</v>
      </c>
      <c r="K359" s="18">
        <v>23234.760000000002</v>
      </c>
      <c r="L359" s="13">
        <f>SUM(F359:K359)</f>
        <v>229327.66</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38274.130000000005</v>
      </c>
      <c r="G363" s="47">
        <f t="shared" si="22"/>
        <v>24234.12</v>
      </c>
      <c r="H363" s="47">
        <f t="shared" si="22"/>
        <v>9965.2099999999991</v>
      </c>
      <c r="I363" s="47">
        <f t="shared" si="22"/>
        <v>133619.44</v>
      </c>
      <c r="J363" s="47">
        <f t="shared" si="22"/>
        <v>0</v>
      </c>
      <c r="K363" s="47">
        <f t="shared" si="22"/>
        <v>23234.760000000002</v>
      </c>
      <c r="L363" s="47">
        <f t="shared" si="22"/>
        <v>229327.66</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118092.79000000001</v>
      </c>
      <c r="G368" s="18"/>
      <c r="H368" s="18"/>
      <c r="I368" s="56">
        <f>SUM(F368:H368)</f>
        <v>118092.79000000001</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15526.65</v>
      </c>
      <c r="G369" s="63"/>
      <c r="H369" s="63"/>
      <c r="I369" s="56">
        <f>SUM(F369:H369)</f>
        <v>15526.65</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133619.44</v>
      </c>
      <c r="G370" s="47">
        <f>SUM(G368:G369)</f>
        <v>0</v>
      </c>
      <c r="H370" s="47">
        <f>SUM(H368:H369)</f>
        <v>0</v>
      </c>
      <c r="I370" s="47">
        <f>SUM(I368:I369)</f>
        <v>133619.44</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v>47.81</v>
      </c>
      <c r="I398" s="18"/>
      <c r="J398" s="24" t="s">
        <v>288</v>
      </c>
      <c r="K398" s="24" t="s">
        <v>288</v>
      </c>
      <c r="L398" s="56">
        <f t="shared" si="26"/>
        <v>47.81</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47.81</v>
      </c>
      <c r="I402" s="47">
        <f>SUM(I396:I401)</f>
        <v>0</v>
      </c>
      <c r="J402" s="45" t="s">
        <v>288</v>
      </c>
      <c r="K402" s="45" t="s">
        <v>288</v>
      </c>
      <c r="L402" s="47">
        <f>SUM(L396:L401)</f>
        <v>47.81</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47.81</v>
      </c>
      <c r="I409" s="47">
        <f>I394+I402+I408</f>
        <v>0</v>
      </c>
      <c r="J409" s="24" t="s">
        <v>288</v>
      </c>
      <c r="K409" s="24" t="s">
        <v>288</v>
      </c>
      <c r="L409" s="47">
        <f>L394+L402+L408</f>
        <v>47.81</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430000.58</v>
      </c>
      <c r="G443" s="18"/>
      <c r="H443" s="18"/>
      <c r="I443" s="56">
        <f t="shared" si="33"/>
        <v>430000.58</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430000.58</v>
      </c>
      <c r="G447" s="13">
        <f>SUM(G440:G446)</f>
        <v>0</v>
      </c>
      <c r="H447" s="13">
        <f>SUM(H440:H446)</f>
        <v>0</v>
      </c>
      <c r="I447" s="13">
        <f>SUM(I440:I446)</f>
        <v>430000.58</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430000.58</v>
      </c>
      <c r="G460" s="18"/>
      <c r="H460" s="18"/>
      <c r="I460" s="56">
        <f t="shared" si="34"/>
        <v>430000.58</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430000.58</v>
      </c>
      <c r="G461" s="83">
        <f>SUM(G455:G460)</f>
        <v>0</v>
      </c>
      <c r="H461" s="83">
        <f>SUM(H455:H460)</f>
        <v>0</v>
      </c>
      <c r="I461" s="83">
        <f>SUM(I455:I460)</f>
        <v>430000.58</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430000.58</v>
      </c>
      <c r="G462" s="42">
        <f>G453+G461</f>
        <v>0</v>
      </c>
      <c r="H462" s="42">
        <f>H453+H461</f>
        <v>0</v>
      </c>
      <c r="I462" s="42">
        <f>I453+I461</f>
        <v>430000.58</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1673757.5</v>
      </c>
      <c r="G466" s="18">
        <v>10960.140000000014</v>
      </c>
      <c r="H466" s="18">
        <v>0</v>
      </c>
      <c r="I466" s="18">
        <v>0</v>
      </c>
      <c r="J466" s="18">
        <v>429952.76999999996</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15841346.029999999</v>
      </c>
      <c r="G469" s="18">
        <v>322756.51</v>
      </c>
      <c r="H469" s="18">
        <v>229285.31</v>
      </c>
      <c r="I469" s="18"/>
      <c r="J469" s="18">
        <v>47.81</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15841346.029999999</v>
      </c>
      <c r="G471" s="53">
        <f>SUM(G469:G470)</f>
        <v>322756.51</v>
      </c>
      <c r="H471" s="53">
        <f>SUM(H469:H470)</f>
        <v>229285.31</v>
      </c>
      <c r="I471" s="53">
        <f>SUM(I469:I470)</f>
        <v>0</v>
      </c>
      <c r="J471" s="53">
        <f>SUM(J469:J470)</f>
        <v>47.81</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15608491.110000001</v>
      </c>
      <c r="G473" s="18">
        <v>229327.66000000003</v>
      </c>
      <c r="H473" s="18">
        <v>229285.31</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15608491.110000001</v>
      </c>
      <c r="G475" s="53">
        <f>SUM(G473:G474)</f>
        <v>229327.66000000003</v>
      </c>
      <c r="H475" s="53">
        <f>SUM(H473:H474)</f>
        <v>229285.31</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1906612.42</v>
      </c>
      <c r="G477" s="53">
        <f>(G466+G471)- G475</f>
        <v>104388.98999999999</v>
      </c>
      <c r="H477" s="53">
        <f>(H466+H471)- H475</f>
        <v>0</v>
      </c>
      <c r="I477" s="53">
        <f>(I466+I471)- I475</f>
        <v>0</v>
      </c>
      <c r="J477" s="53">
        <f>(J466+J471)- J475</f>
        <v>430000.57999999996</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t="s">
        <v>1802</v>
      </c>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995876.96</v>
      </c>
      <c r="G522" s="18">
        <v>479599.97</v>
      </c>
      <c r="H522" s="18">
        <v>111150.16</v>
      </c>
      <c r="I522" s="18">
        <v>10604.12</v>
      </c>
      <c r="J522" s="18">
        <v>7530.96</v>
      </c>
      <c r="K522" s="18"/>
      <c r="L522" s="88">
        <f>SUM(F522:K522)</f>
        <v>1604762.17</v>
      </c>
      <c r="N522" s="264"/>
    </row>
    <row r="523" spans="1:14" s="52" customFormat="1" ht="12.2" customHeight="1" x14ac:dyDescent="0.2">
      <c r="A523" s="22" t="s">
        <v>634</v>
      </c>
      <c r="B523" s="105">
        <v>21</v>
      </c>
      <c r="C523" s="115">
        <v>2</v>
      </c>
      <c r="D523" s="2" t="s">
        <v>432</v>
      </c>
      <c r="E523" s="115"/>
      <c r="F523" s="18"/>
      <c r="G523" s="18"/>
      <c r="H523" s="18">
        <v>299193.03999999998</v>
      </c>
      <c r="I523" s="18"/>
      <c r="J523" s="18"/>
      <c r="K523" s="18"/>
      <c r="L523" s="88">
        <f>SUM(F523:K523)</f>
        <v>299193.03999999998</v>
      </c>
      <c r="N523" s="264"/>
    </row>
    <row r="524" spans="1:14" s="52" customFormat="1" ht="12.2" customHeight="1" thickBot="1" x14ac:dyDescent="0.25">
      <c r="A524" s="22" t="s">
        <v>635</v>
      </c>
      <c r="B524" s="105">
        <v>21</v>
      </c>
      <c r="C524" s="115">
        <v>3</v>
      </c>
      <c r="D524" s="2" t="s">
        <v>432</v>
      </c>
      <c r="E524" s="115"/>
      <c r="F524" s="18"/>
      <c r="G524" s="18"/>
      <c r="H524" s="18">
        <v>193261.62</v>
      </c>
      <c r="I524" s="18"/>
      <c r="J524" s="18"/>
      <c r="K524" s="18"/>
      <c r="L524" s="88">
        <f>SUM(F524:K524)</f>
        <v>193261.62</v>
      </c>
      <c r="N524" s="264"/>
    </row>
    <row r="525" spans="1:14" s="52" customFormat="1" ht="12.2" customHeight="1" thickTop="1" x14ac:dyDescent="0.2">
      <c r="A525" s="139" t="s">
        <v>63</v>
      </c>
      <c r="B525" s="107">
        <v>21</v>
      </c>
      <c r="C525" s="194">
        <v>4</v>
      </c>
      <c r="D525" s="195" t="s">
        <v>432</v>
      </c>
      <c r="E525" s="194"/>
      <c r="F525" s="108">
        <f>SUM(F522:F524)</f>
        <v>995876.96</v>
      </c>
      <c r="G525" s="108">
        <f t="shared" ref="G525:L525" si="36">SUM(G522:G524)</f>
        <v>479599.97</v>
      </c>
      <c r="H525" s="108">
        <f t="shared" si="36"/>
        <v>603604.81999999995</v>
      </c>
      <c r="I525" s="108">
        <f t="shared" si="36"/>
        <v>10604.12</v>
      </c>
      <c r="J525" s="108">
        <f t="shared" si="36"/>
        <v>7530.96</v>
      </c>
      <c r="K525" s="108">
        <f t="shared" si="36"/>
        <v>0</v>
      </c>
      <c r="L525" s="89">
        <f t="shared" si="36"/>
        <v>2097216.83</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287801.75</v>
      </c>
      <c r="G527" s="18">
        <v>124642.60999999997</v>
      </c>
      <c r="H527" s="18">
        <v>174928.15</v>
      </c>
      <c r="I527" s="18">
        <v>13553.98</v>
      </c>
      <c r="J527" s="18">
        <v>0</v>
      </c>
      <c r="K527" s="18"/>
      <c r="L527" s="88">
        <f>SUM(F527:K527)</f>
        <v>600926.49</v>
      </c>
      <c r="M527" s="8"/>
      <c r="N527" s="265"/>
    </row>
    <row r="528" spans="1:14" s="3" customFormat="1" ht="12.2" customHeight="1" x14ac:dyDescent="0.15">
      <c r="A528" s="22" t="s">
        <v>634</v>
      </c>
      <c r="B528" s="105">
        <v>21</v>
      </c>
      <c r="C528" s="115">
        <v>6</v>
      </c>
      <c r="D528" s="2" t="s">
        <v>432</v>
      </c>
      <c r="E528" s="115"/>
      <c r="F528" s="18"/>
      <c r="G528" s="18"/>
      <c r="H528" s="18">
        <v>1251.19</v>
      </c>
      <c r="I528" s="18"/>
      <c r="J528" s="18"/>
      <c r="K528" s="18"/>
      <c r="L528" s="88">
        <f>SUM(F528:K528)</f>
        <v>1251.19</v>
      </c>
      <c r="M528" s="8"/>
      <c r="N528" s="265"/>
    </row>
    <row r="529" spans="1:14" s="3" customFormat="1" ht="12.2" customHeight="1" thickBot="1" x14ac:dyDescent="0.2">
      <c r="A529" s="22" t="s">
        <v>635</v>
      </c>
      <c r="B529" s="118">
        <v>21</v>
      </c>
      <c r="C529" s="118">
        <v>7</v>
      </c>
      <c r="D529" s="2" t="s">
        <v>432</v>
      </c>
      <c r="E529" s="118"/>
      <c r="F529" s="18"/>
      <c r="G529" s="18"/>
      <c r="H529" s="18">
        <v>12258.54</v>
      </c>
      <c r="I529" s="18"/>
      <c r="J529" s="18"/>
      <c r="K529" s="18"/>
      <c r="L529" s="88">
        <f>SUM(F529:K529)</f>
        <v>12258.54</v>
      </c>
      <c r="M529" s="8"/>
      <c r="N529" s="265"/>
    </row>
    <row r="530" spans="1:14" s="3" customFormat="1" ht="12.2" customHeight="1" thickTop="1" x14ac:dyDescent="0.15">
      <c r="A530" s="139" t="s">
        <v>65</v>
      </c>
      <c r="B530" s="107">
        <v>21</v>
      </c>
      <c r="C530" s="107">
        <v>8</v>
      </c>
      <c r="D530" s="158" t="s">
        <v>432</v>
      </c>
      <c r="E530" s="107"/>
      <c r="F530" s="89">
        <f>SUM(F527:F529)</f>
        <v>287801.75</v>
      </c>
      <c r="G530" s="89">
        <f t="shared" ref="G530:L530" si="37">SUM(G527:G529)</f>
        <v>124642.60999999997</v>
      </c>
      <c r="H530" s="89">
        <f t="shared" si="37"/>
        <v>188437.88</v>
      </c>
      <c r="I530" s="89">
        <f t="shared" si="37"/>
        <v>13553.98</v>
      </c>
      <c r="J530" s="89">
        <f t="shared" si="37"/>
        <v>0</v>
      </c>
      <c r="K530" s="89">
        <f t="shared" si="37"/>
        <v>0</v>
      </c>
      <c r="L530" s="89">
        <f t="shared" si="37"/>
        <v>614436.22</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79324</v>
      </c>
      <c r="G532" s="18">
        <v>27698</v>
      </c>
      <c r="H532" s="18"/>
      <c r="I532" s="18"/>
      <c r="J532" s="18"/>
      <c r="K532" s="18"/>
      <c r="L532" s="88">
        <f>SUM(F532:K532)</f>
        <v>107022</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79324</v>
      </c>
      <c r="G535" s="89">
        <f t="shared" ref="G535:L535" si="38">SUM(G532:G534)</f>
        <v>27698</v>
      </c>
      <c r="H535" s="89">
        <f t="shared" si="38"/>
        <v>0</v>
      </c>
      <c r="I535" s="89">
        <f t="shared" si="38"/>
        <v>0</v>
      </c>
      <c r="J535" s="89">
        <f t="shared" si="38"/>
        <v>0</v>
      </c>
      <c r="K535" s="89">
        <f t="shared" si="38"/>
        <v>0</v>
      </c>
      <c r="L535" s="89">
        <f t="shared" si="38"/>
        <v>107022</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523</v>
      </c>
      <c r="I537" s="18"/>
      <c r="J537" s="18"/>
      <c r="K537" s="18"/>
      <c r="L537" s="88">
        <f>SUM(F537:K537)</f>
        <v>523</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523</v>
      </c>
      <c r="I540" s="89">
        <f t="shared" si="39"/>
        <v>0</v>
      </c>
      <c r="J540" s="89">
        <f t="shared" si="39"/>
        <v>0</v>
      </c>
      <c r="K540" s="89">
        <f t="shared" si="39"/>
        <v>0</v>
      </c>
      <c r="L540" s="89">
        <f t="shared" si="39"/>
        <v>523</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68067.960000000006</v>
      </c>
      <c r="I542" s="18"/>
      <c r="J542" s="18"/>
      <c r="K542" s="18"/>
      <c r="L542" s="88">
        <f>SUM(F542:K542)</f>
        <v>68067.960000000006</v>
      </c>
      <c r="M542" s="8"/>
      <c r="N542" s="265"/>
    </row>
    <row r="543" spans="1:14" s="3" customFormat="1" ht="12.2" customHeight="1" x14ac:dyDescent="0.15">
      <c r="A543" s="22" t="s">
        <v>634</v>
      </c>
      <c r="B543" s="105">
        <v>21</v>
      </c>
      <c r="C543" s="105">
        <v>18</v>
      </c>
      <c r="D543" s="2" t="s">
        <v>432</v>
      </c>
      <c r="E543" s="105"/>
      <c r="F543" s="18"/>
      <c r="G543" s="18"/>
      <c r="H543" s="18">
        <v>48605.21</v>
      </c>
      <c r="I543" s="18"/>
      <c r="J543" s="18"/>
      <c r="K543" s="18"/>
      <c r="L543" s="88">
        <f>SUM(F543:K543)</f>
        <v>48605.21</v>
      </c>
      <c r="M543" s="8"/>
      <c r="N543" s="265"/>
    </row>
    <row r="544" spans="1:14" s="3" customFormat="1" ht="12.2" customHeight="1" thickBot="1" x14ac:dyDescent="0.2">
      <c r="A544" s="22" t="s">
        <v>635</v>
      </c>
      <c r="B544" s="105">
        <v>21</v>
      </c>
      <c r="C544" s="105">
        <v>19</v>
      </c>
      <c r="D544" s="2" t="s">
        <v>432</v>
      </c>
      <c r="E544" s="105"/>
      <c r="F544" s="18"/>
      <c r="G544" s="18"/>
      <c r="H544" s="18">
        <v>46615.07</v>
      </c>
      <c r="I544" s="18"/>
      <c r="J544" s="18"/>
      <c r="K544" s="18"/>
      <c r="L544" s="88">
        <f>SUM(F544:K544)</f>
        <v>46615.07</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163288.24000000002</v>
      </c>
      <c r="I545" s="192">
        <f t="shared" si="40"/>
        <v>0</v>
      </c>
      <c r="J545" s="192">
        <f t="shared" si="40"/>
        <v>0</v>
      </c>
      <c r="K545" s="192">
        <f t="shared" si="40"/>
        <v>0</v>
      </c>
      <c r="L545" s="192">
        <f t="shared" si="40"/>
        <v>163288.24000000002</v>
      </c>
      <c r="M545" s="8"/>
      <c r="N545" s="265"/>
    </row>
    <row r="546" spans="1:14" s="3" customFormat="1" ht="12.2" customHeight="1" thickTop="1" x14ac:dyDescent="0.15">
      <c r="A546" s="98" t="s">
        <v>72</v>
      </c>
      <c r="B546" s="107">
        <v>21</v>
      </c>
      <c r="C546" s="107">
        <v>21</v>
      </c>
      <c r="D546" s="158" t="s">
        <v>432</v>
      </c>
      <c r="E546" s="107"/>
      <c r="F546" s="89">
        <f>F525+F530+F535+F540+F545</f>
        <v>1363002.71</v>
      </c>
      <c r="G546" s="89">
        <f t="shared" ref="G546:L546" si="41">G525+G530+G535+G540+G545</f>
        <v>631940.57999999996</v>
      </c>
      <c r="H546" s="89">
        <f t="shared" si="41"/>
        <v>955853.94</v>
      </c>
      <c r="I546" s="89">
        <f t="shared" si="41"/>
        <v>24158.1</v>
      </c>
      <c r="J546" s="89">
        <f t="shared" si="41"/>
        <v>7530.96</v>
      </c>
      <c r="K546" s="89">
        <f t="shared" si="41"/>
        <v>0</v>
      </c>
      <c r="L546" s="89">
        <f t="shared" si="41"/>
        <v>2982486.29</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1604762.17</v>
      </c>
      <c r="G550" s="87">
        <f>L527</f>
        <v>600926.49</v>
      </c>
      <c r="H550" s="87">
        <f>L532</f>
        <v>107022</v>
      </c>
      <c r="I550" s="87">
        <f>L537</f>
        <v>523</v>
      </c>
      <c r="J550" s="87">
        <f>L542</f>
        <v>68067.960000000006</v>
      </c>
      <c r="K550" s="87">
        <f>SUM(F550:J550)</f>
        <v>2381301.62</v>
      </c>
      <c r="L550" s="24" t="s">
        <v>288</v>
      </c>
      <c r="M550" s="8"/>
      <c r="N550" s="265"/>
    </row>
    <row r="551" spans="1:14" s="3" customFormat="1" ht="12.2" customHeight="1" x14ac:dyDescent="0.15">
      <c r="A551" s="22" t="s">
        <v>634</v>
      </c>
      <c r="B551" s="75">
        <v>21</v>
      </c>
      <c r="C551" s="75">
        <v>23</v>
      </c>
      <c r="D551" s="2" t="s">
        <v>432</v>
      </c>
      <c r="E551" s="75"/>
      <c r="F551" s="87">
        <f>L523</f>
        <v>299193.03999999998</v>
      </c>
      <c r="G551" s="87">
        <f>L528</f>
        <v>1251.19</v>
      </c>
      <c r="H551" s="87">
        <f>L533</f>
        <v>0</v>
      </c>
      <c r="I551" s="87">
        <f>L538</f>
        <v>0</v>
      </c>
      <c r="J551" s="87">
        <f>L543</f>
        <v>48605.21</v>
      </c>
      <c r="K551" s="87">
        <f>SUM(F551:J551)</f>
        <v>349049.44</v>
      </c>
      <c r="L551" s="24" t="s">
        <v>288</v>
      </c>
      <c r="M551" s="8"/>
      <c r="N551" s="265"/>
    </row>
    <row r="552" spans="1:14" s="3" customFormat="1" ht="12.2" customHeight="1" thickBot="1" x14ac:dyDescent="0.2">
      <c r="A552" s="22" t="s">
        <v>635</v>
      </c>
      <c r="B552" s="75">
        <v>21</v>
      </c>
      <c r="C552" s="75">
        <v>24</v>
      </c>
      <c r="D552" s="2" t="s">
        <v>432</v>
      </c>
      <c r="E552" s="75"/>
      <c r="F552" s="87">
        <f>L524</f>
        <v>193261.62</v>
      </c>
      <c r="G552" s="87">
        <f>L529</f>
        <v>12258.54</v>
      </c>
      <c r="H552" s="87">
        <f>L534</f>
        <v>0</v>
      </c>
      <c r="I552" s="87">
        <f>L539</f>
        <v>0</v>
      </c>
      <c r="J552" s="87">
        <f>L544</f>
        <v>46615.07</v>
      </c>
      <c r="K552" s="87">
        <f>SUM(F552:J552)</f>
        <v>252135.23</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2097216.83</v>
      </c>
      <c r="G553" s="89">
        <f t="shared" si="42"/>
        <v>614436.22</v>
      </c>
      <c r="H553" s="89">
        <f t="shared" si="42"/>
        <v>107022</v>
      </c>
      <c r="I553" s="89">
        <f t="shared" si="42"/>
        <v>523</v>
      </c>
      <c r="J553" s="89">
        <f t="shared" si="42"/>
        <v>163288.24000000002</v>
      </c>
      <c r="K553" s="89">
        <f t="shared" si="42"/>
        <v>2982486.29</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5"/>
    </row>
    <row r="559" spans="1:14" s="3" customFormat="1" ht="12.2" customHeight="1" x14ac:dyDescent="0.15">
      <c r="A559" s="22" t="s">
        <v>634</v>
      </c>
      <c r="B559" s="105">
        <v>22</v>
      </c>
      <c r="C559" s="115">
        <v>2</v>
      </c>
      <c r="D559" s="2" t="s">
        <v>432</v>
      </c>
      <c r="E559" s="115"/>
      <c r="F559" s="18"/>
      <c r="G559" s="18"/>
      <c r="H559" s="18">
        <v>0</v>
      </c>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v>0</v>
      </c>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5"/>
    </row>
    <row r="564" spans="1:14" s="3" customFormat="1" ht="12.2" customHeight="1" x14ac:dyDescent="0.15">
      <c r="A564" s="22" t="s">
        <v>634</v>
      </c>
      <c r="B564" s="105">
        <v>22</v>
      </c>
      <c r="C564" s="115">
        <v>6</v>
      </c>
      <c r="D564" s="2" t="s">
        <v>432</v>
      </c>
      <c r="E564" s="115"/>
      <c r="F564" s="18"/>
      <c r="G564" s="18"/>
      <c r="H564" s="18">
        <v>0</v>
      </c>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v>0</v>
      </c>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5"/>
    </row>
    <row r="569" spans="1:14" s="3" customFormat="1" ht="12.2" customHeight="1" x14ac:dyDescent="0.15">
      <c r="A569" s="22" t="s">
        <v>634</v>
      </c>
      <c r="B569" s="105">
        <v>22</v>
      </c>
      <c r="C569" s="105">
        <v>10</v>
      </c>
      <c r="D569" s="2" t="s">
        <v>432</v>
      </c>
      <c r="E569" s="105"/>
      <c r="F569" s="18"/>
      <c r="G569" s="18"/>
      <c r="H569" s="18">
        <v>0</v>
      </c>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v>0</v>
      </c>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v>2365846.0099999998</v>
      </c>
      <c r="H576" s="18">
        <v>4866464.87</v>
      </c>
      <c r="I576" s="87">
        <f>SUM(F576:H576)</f>
        <v>7232310.8799999999</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t="s">
        <v>286</v>
      </c>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23198.62</v>
      </c>
      <c r="G580" s="18"/>
      <c r="H580" s="18"/>
      <c r="I580" s="87">
        <f t="shared" si="47"/>
        <v>23198.62</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73691.460000000006</v>
      </c>
      <c r="G583" s="18">
        <v>139330.62</v>
      </c>
      <c r="H583" s="18">
        <v>130060.92</v>
      </c>
      <c r="I583" s="87">
        <f t="shared" si="47"/>
        <v>343083</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v>19217.52</v>
      </c>
      <c r="H584" s="18">
        <v>10848.6</v>
      </c>
      <c r="I584" s="87">
        <f t="shared" si="47"/>
        <v>30066.120000000003</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563760.23</v>
      </c>
      <c r="I592" s="18"/>
      <c r="J592" s="18"/>
      <c r="K592" s="104">
        <f t="shared" ref="K592:K598" si="48">SUM(H592:J592)</f>
        <v>563760.23</v>
      </c>
      <c r="L592" s="24" t="s">
        <v>288</v>
      </c>
      <c r="M592" s="8"/>
      <c r="N592" s="265"/>
    </row>
    <row r="593" spans="1:14" s="3" customFormat="1" ht="12.2" customHeight="1" x14ac:dyDescent="0.15">
      <c r="A593" s="3" t="s">
        <v>638</v>
      </c>
      <c r="B593" s="75">
        <v>23</v>
      </c>
      <c r="C593" s="75">
        <v>2</v>
      </c>
      <c r="D593" s="2" t="s">
        <v>432</v>
      </c>
      <c r="E593" s="75"/>
      <c r="F593" s="102">
        <v>2722</v>
      </c>
      <c r="G593" s="103" t="s">
        <v>97</v>
      </c>
      <c r="H593" s="18">
        <v>68067.960000000006</v>
      </c>
      <c r="I593" s="18">
        <v>48605.21</v>
      </c>
      <c r="J593" s="18">
        <v>46615.07</v>
      </c>
      <c r="K593" s="104">
        <f t="shared" si="48"/>
        <v>163288.24000000002</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12278.46</v>
      </c>
      <c r="I596" s="18"/>
      <c r="J596" s="18"/>
      <c r="K596" s="104">
        <f t="shared" si="48"/>
        <v>12278.46</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644106.64999999991</v>
      </c>
      <c r="I599" s="108">
        <f>SUM(I592:I598)</f>
        <v>48605.21</v>
      </c>
      <c r="J599" s="108">
        <f>SUM(J592:J598)</f>
        <v>46615.07</v>
      </c>
      <c r="K599" s="108">
        <f>SUM(K592:K598)</f>
        <v>739326.92999999993</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85879.630000000019</v>
      </c>
      <c r="I605" s="18"/>
      <c r="J605" s="18"/>
      <c r="K605" s="104">
        <f>SUM(H605:J605)</f>
        <v>85879.630000000019</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85879.630000000019</v>
      </c>
      <c r="I606" s="108">
        <f>SUM(I603:I605)</f>
        <v>0</v>
      </c>
      <c r="J606" s="108">
        <f>SUM(J603:J605)</f>
        <v>0</v>
      </c>
      <c r="K606" s="108">
        <f>SUM(K603:K605)</f>
        <v>85879.630000000019</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3219539.2899999996</v>
      </c>
      <c r="H618" s="109">
        <f>SUM(F52)</f>
        <v>3219539.29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119300.63999999998</v>
      </c>
      <c r="H619" s="109">
        <f>SUM(G52)</f>
        <v>119300.64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53259.13</v>
      </c>
      <c r="H620" s="109">
        <f>SUM(H52)</f>
        <v>53259.13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430000.58</v>
      </c>
      <c r="H622" s="109">
        <f>SUM(J52)</f>
        <v>430000.58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1906612.42</v>
      </c>
      <c r="H623" s="109">
        <f>F477</f>
        <v>1906612.42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104388.99</v>
      </c>
      <c r="H624" s="109">
        <f>G477</f>
        <v>104388.98999999999</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430000.58</v>
      </c>
      <c r="H627" s="109">
        <f>J477</f>
        <v>430000.57999999996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15841346.030000001</v>
      </c>
      <c r="H628" s="104">
        <f>SUM(F469)</f>
        <v>15841346.029999999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322756.51</v>
      </c>
      <c r="H629" s="104">
        <f>SUM(G469)</f>
        <v>322756.51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229285.31000000006</v>
      </c>
      <c r="H630" s="104">
        <f>SUM(H469)</f>
        <v>229285.31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47.81</v>
      </c>
      <c r="H632" s="104">
        <f>SUM(J469)</f>
        <v>47.81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15608491.109999999</v>
      </c>
      <c r="H633" s="104">
        <f>SUM(F473)</f>
        <v>15608491.110000001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229285.30999999994</v>
      </c>
      <c r="H634" s="104">
        <f>SUM(H473)</f>
        <v>229285.31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133619.44</v>
      </c>
      <c r="H635" s="104">
        <f>I370</f>
        <v>133619.44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229327.66</v>
      </c>
      <c r="H636" s="104">
        <f>SUM(G473)</f>
        <v>229327.66000000003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47.81</v>
      </c>
      <c r="H638" s="164">
        <f>SUM(J469)</f>
        <v>47.81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430000.58</v>
      </c>
      <c r="H640" s="104">
        <f>SUM(F462)</f>
        <v>430000.58</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430000.58</v>
      </c>
      <c r="H643" s="104">
        <f>SUM(I462)</f>
        <v>430000.58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47.81</v>
      </c>
      <c r="H645" s="104">
        <f>H409</f>
        <v>47.81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47.81</v>
      </c>
      <c r="H647" s="104">
        <f>L409</f>
        <v>47.81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739326.92999999993</v>
      </c>
      <c r="H648" s="104">
        <f>L209+L227+L245</f>
        <v>739326.92999999982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85879.630000000019</v>
      </c>
      <c r="H649" s="104">
        <f>(J258+J339)-(J256+J337)</f>
        <v>85879.63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644106.64999999991</v>
      </c>
      <c r="H650" s="104">
        <f>H599</f>
        <v>644106.64999999991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48605.21</v>
      </c>
      <c r="H651" s="104">
        <f>I599</f>
        <v>48605.21</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46615.07</v>
      </c>
      <c r="H652" s="104">
        <f>J599</f>
        <v>46615.07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8233608.5300000003</v>
      </c>
      <c r="G661" s="19">
        <f>(L230+L310+L360)</f>
        <v>2714895.4499999997</v>
      </c>
      <c r="H661" s="19">
        <f>(L248+L329+L361)</f>
        <v>5118600.1000000006</v>
      </c>
      <c r="I661" s="19">
        <f>SUM(F661:H661)</f>
        <v>16067104.080000002</v>
      </c>
      <c r="J661" s="13"/>
      <c r="K661" s="13"/>
      <c r="L661" s="13"/>
      <c r="M661" s="9"/>
    </row>
    <row r="662" spans="1:13" s="3" customFormat="1" ht="12.2" customHeight="1" x14ac:dyDescent="0.2">
      <c r="A662" s="1" t="s">
        <v>127</v>
      </c>
      <c r="F662" s="19">
        <f>(L359/IF(SUM(L359:L361)=0,1,SUM(L359:L361))*(SUM(G97:G110)))</f>
        <v>488.67</v>
      </c>
      <c r="G662" s="19">
        <f>(L360/IF(SUM(L359:L361)=0,1,SUM(L359:L361))*(SUM(G97:G110)))</f>
        <v>0</v>
      </c>
      <c r="H662" s="19">
        <f>(L361/IF(SUM(L359:L361)=0,1,SUM(L359:L361))*(SUM(G97:G110)))</f>
        <v>0</v>
      </c>
      <c r="I662" s="19">
        <f>SUM(F662:H662)</f>
        <v>488.67</v>
      </c>
      <c r="J662"/>
      <c r="K662" s="13"/>
      <c r="L662" s="13"/>
      <c r="M662" s="8"/>
    </row>
    <row r="663" spans="1:13" s="3" customFormat="1" ht="12.2" customHeight="1" x14ac:dyDescent="0.2">
      <c r="A663" s="1" t="s">
        <v>128</v>
      </c>
      <c r="F663" s="19">
        <f>(L209+L288)-(J209+J288)</f>
        <v>644106.64999999991</v>
      </c>
      <c r="G663" s="19">
        <f>(L227+L307)-(J227+J307)</f>
        <v>48605.21</v>
      </c>
      <c r="H663" s="19">
        <f>(L245+L326)-(J245+J326)</f>
        <v>46615.07</v>
      </c>
      <c r="I663" s="19">
        <f>SUM(F663:H663)</f>
        <v>739326.92999999982</v>
      </c>
      <c r="J663"/>
      <c r="K663" s="13"/>
      <c r="L663" s="13"/>
      <c r="M663" s="9"/>
    </row>
    <row r="664" spans="1:13" s="3" customFormat="1" ht="12.2" customHeight="1" x14ac:dyDescent="0.15">
      <c r="A664" s="197" t="s">
        <v>129</v>
      </c>
      <c r="B664" s="169"/>
      <c r="C664" s="169"/>
      <c r="D664" s="169"/>
      <c r="E664" s="169"/>
      <c r="F664" s="198">
        <f>SUM(F576:F588)+SUM(H603:H605)+SUM(L612)</f>
        <v>182769.71000000002</v>
      </c>
      <c r="G664" s="198">
        <f>SUM(G576:G588)+SUM(I603:I605)+L613</f>
        <v>2524394.15</v>
      </c>
      <c r="H664" s="198">
        <f>SUM(H576:H588)+SUM(J603:J605)+L614</f>
        <v>5007374.3899999997</v>
      </c>
      <c r="I664" s="19">
        <f>SUM(F664:H664)</f>
        <v>7714538.25</v>
      </c>
      <c r="J664" s="13"/>
      <c r="K664" s="13"/>
      <c r="L664" s="13"/>
      <c r="M664" s="9"/>
    </row>
    <row r="665" spans="1:13" s="3" customFormat="1" ht="12.2" customHeight="1" x14ac:dyDescent="0.15">
      <c r="A665" s="1" t="s">
        <v>130</v>
      </c>
      <c r="F665" s="19">
        <f>F661-SUM(F662:F664)</f>
        <v>7406243.5</v>
      </c>
      <c r="G665" s="19">
        <f>G661-SUM(G662:G664)</f>
        <v>141896.08999999985</v>
      </c>
      <c r="H665" s="19">
        <f>H661-SUM(H662:H664)</f>
        <v>64610.640000000596</v>
      </c>
      <c r="I665" s="19">
        <f>I661-SUM(I662:I664)</f>
        <v>7612750.2300000023</v>
      </c>
      <c r="J665" s="13"/>
      <c r="K665" s="13"/>
      <c r="L665" s="13"/>
      <c r="M665" s="8"/>
    </row>
    <row r="666" spans="1:13" s="3" customFormat="1" ht="12.2" customHeight="1" x14ac:dyDescent="0.2">
      <c r="A666" s="1" t="s">
        <v>131</v>
      </c>
      <c r="F666" s="245">
        <v>474.3</v>
      </c>
      <c r="G666" s="246"/>
      <c r="H666" s="246"/>
      <c r="I666" s="19">
        <f>SUM(F666:H666)</f>
        <v>474.3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15615.1</v>
      </c>
      <c r="G668" s="19" t="e">
        <f>ROUND(G665/G666,2)</f>
        <v>#DIV/0!</v>
      </c>
      <c r="H668" s="19" t="e">
        <f>ROUND(H665/H666,2)</f>
        <v>#DIV/0!</v>
      </c>
      <c r="I668" s="19">
        <f>ROUND(I665/I666,2)</f>
        <v>16050.5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-141896.09</v>
      </c>
      <c r="H670" s="18">
        <v>-64610.64</v>
      </c>
      <c r="I670" s="19">
        <f>SUM(F670:H670)</f>
        <v>-206506.72999999998</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15615.1</v>
      </c>
      <c r="G673" s="19" t="e">
        <f>ROUND((G665+G670)/(G666+G671),2)</f>
        <v>#DIV/0!</v>
      </c>
      <c r="H673" s="19" t="e">
        <f>ROUND((H665+H670)/(H666+H671),2)</f>
        <v>#DIV/0!</v>
      </c>
      <c r="I673" s="19">
        <f>ROUND((I665+I670)/(I666+I671),2)</f>
        <v>15615.1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31" sqref="C31"/>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4" t="s">
        <v>1643</v>
      </c>
      <c r="D2" s="374"/>
      <c r="E2" s="374"/>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1872</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73" t="s">
        <v>286</v>
      </c>
      <c r="F9" s="349" t="s">
        <v>1644</v>
      </c>
    </row>
    <row r="10" spans="2:8" x14ac:dyDescent="0.25">
      <c r="B10" s="348"/>
      <c r="C10" s="348"/>
      <c r="D10" s="348"/>
      <c r="E10" s="348"/>
      <c r="F10" s="348"/>
    </row>
    <row r="11" spans="2:8" x14ac:dyDescent="0.25">
      <c r="B11" s="348"/>
      <c r="C11" s="352" t="s">
        <v>1648</v>
      </c>
      <c r="D11" s="349" t="s">
        <v>1651</v>
      </c>
      <c r="E11" s="373" t="s">
        <v>286</v>
      </c>
      <c r="F11" s="349" t="s">
        <v>1645</v>
      </c>
    </row>
    <row r="12" spans="2:8" x14ac:dyDescent="0.25">
      <c r="B12" s="348"/>
      <c r="C12" s="348"/>
      <c r="D12" s="349"/>
      <c r="E12" s="348"/>
      <c r="F12" s="348"/>
    </row>
    <row r="13" spans="2:8" x14ac:dyDescent="0.25">
      <c r="B13" s="348"/>
      <c r="C13" s="349" t="s">
        <v>1638</v>
      </c>
      <c r="D13" s="349" t="s">
        <v>1652</v>
      </c>
      <c r="E13" s="373">
        <v>1872</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72" t="s">
        <v>286</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3"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5" t="s">
        <v>1567</v>
      </c>
      <c r="B1" s="375"/>
      <c r="C1" s="375"/>
      <c r="D1" s="375"/>
      <c r="E1" s="375"/>
      <c r="F1" s="375"/>
      <c r="G1" s="375"/>
      <c r="H1" s="375"/>
    </row>
    <row r="2" spans="1:9" ht="15" x14ac:dyDescent="0.2">
      <c r="A2" s="375" t="s">
        <v>1632</v>
      </c>
      <c r="B2" s="375"/>
      <c r="C2" s="375"/>
      <c r="D2" s="375"/>
      <c r="E2" s="375"/>
      <c r="F2" s="375"/>
      <c r="G2" s="375"/>
      <c r="H2" s="375"/>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6" t="str">
        <f>'DOE25'!A2</f>
        <v>New Boston</v>
      </c>
      <c r="C5" s="377"/>
      <c r="D5" s="377"/>
      <c r="E5" s="377"/>
      <c r="F5" s="377"/>
    </row>
    <row r="8" spans="1:9" ht="18" x14ac:dyDescent="0.25">
      <c r="A8" s="312" t="s">
        <v>1568</v>
      </c>
      <c r="F8" s="319" t="s">
        <v>1586</v>
      </c>
    </row>
    <row r="9" spans="1:9" ht="15" x14ac:dyDescent="0.2">
      <c r="A9" s="310" t="s">
        <v>1569</v>
      </c>
      <c r="B9" s="313">
        <f>'DOE25'!G97</f>
        <v>432.82</v>
      </c>
      <c r="F9" s="310" t="s">
        <v>1582</v>
      </c>
    </row>
    <row r="10" spans="1:9" ht="15" x14ac:dyDescent="0.2">
      <c r="A10" s="310" t="s">
        <v>1570</v>
      </c>
      <c r="B10" s="313">
        <f>'DOE25'!G112-'DOE25'!G97</f>
        <v>55.850000000000023</v>
      </c>
      <c r="F10" s="310" t="s">
        <v>1583</v>
      </c>
    </row>
    <row r="11" spans="1:9" ht="15" x14ac:dyDescent="0.2">
      <c r="A11" s="310" t="s">
        <v>1571</v>
      </c>
      <c r="B11" s="313">
        <f>'DOE25'!G140</f>
        <v>2964.62</v>
      </c>
      <c r="F11" s="310" t="s">
        <v>1584</v>
      </c>
    </row>
    <row r="12" spans="1:9" ht="15" x14ac:dyDescent="0.2">
      <c r="A12" s="310" t="s">
        <v>1572</v>
      </c>
      <c r="B12" s="313">
        <f>'DOE25'!G170</f>
        <v>319303.22000000003</v>
      </c>
      <c r="F12" s="310" t="s">
        <v>1585</v>
      </c>
    </row>
    <row r="13" spans="1:9" ht="15" x14ac:dyDescent="0.2">
      <c r="A13" s="310" t="s">
        <v>1573</v>
      </c>
      <c r="B13" s="313">
        <f>'DOE25'!G193-'DOE25'!G180</f>
        <v>0</v>
      </c>
      <c r="F13" s="310" t="s">
        <v>1595</v>
      </c>
    </row>
    <row r="14" spans="1:9" ht="18" x14ac:dyDescent="0.25">
      <c r="A14" s="312" t="s">
        <v>732</v>
      </c>
      <c r="B14" s="314">
        <f>SUM(B9:B13)</f>
        <v>322756.51</v>
      </c>
    </row>
    <row r="16" spans="1:9" ht="18" x14ac:dyDescent="0.25">
      <c r="A16" s="312" t="s">
        <v>786</v>
      </c>
      <c r="F16" s="319" t="s">
        <v>1587</v>
      </c>
    </row>
    <row r="17" spans="1:6" ht="15" x14ac:dyDescent="0.2">
      <c r="A17" s="310" t="s">
        <v>1574</v>
      </c>
      <c r="B17" s="313">
        <f>'DOE25'!L363-'DOE25'!L362</f>
        <v>229327.66</v>
      </c>
      <c r="F17" s="310" t="s">
        <v>1588</v>
      </c>
    </row>
    <row r="18" spans="1:6" ht="15" x14ac:dyDescent="0.2">
      <c r="A18" s="310" t="s">
        <v>1575</v>
      </c>
      <c r="B18" s="323" t="s">
        <v>286</v>
      </c>
      <c r="F18" s="319" t="s">
        <v>1612</v>
      </c>
    </row>
    <row r="19" spans="1:6" ht="18" x14ac:dyDescent="0.25">
      <c r="A19" s="312" t="s">
        <v>725</v>
      </c>
      <c r="B19" s="314">
        <f>SUM(B17:B18)</f>
        <v>229327.66</v>
      </c>
    </row>
    <row r="21" spans="1:6" ht="18.75" thickBot="1" x14ac:dyDescent="0.3">
      <c r="A21" s="312" t="s">
        <v>1576</v>
      </c>
    </row>
    <row r="22" spans="1:6" ht="18.75" thickTop="1" x14ac:dyDescent="0.25">
      <c r="A22" s="312" t="s">
        <v>1577</v>
      </c>
      <c r="B22" s="318">
        <f>B14-B19</f>
        <v>93428.85</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10960.140000000014</v>
      </c>
      <c r="F31" s="310" t="s">
        <v>1592</v>
      </c>
    </row>
    <row r="33" spans="1:6" ht="15" x14ac:dyDescent="0.2">
      <c r="A33" s="310" t="s">
        <v>1635</v>
      </c>
      <c r="B33" s="313">
        <f>'DOE25'!G477</f>
        <v>104388.98999999999</v>
      </c>
      <c r="F33" s="310" t="s">
        <v>1593</v>
      </c>
    </row>
    <row r="36" spans="1:6" ht="15" x14ac:dyDescent="0.2">
      <c r="A36" s="310" t="s">
        <v>1579</v>
      </c>
      <c r="B36" s="324">
        <v>14133.83</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N35" sqref="N35"/>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New Boston</v>
      </c>
      <c r="C1" s="237" t="s">
        <v>824</v>
      </c>
    </row>
    <row r="2" spans="1:3" x14ac:dyDescent="0.2">
      <c r="A2" s="232"/>
      <c r="B2" s="231"/>
    </row>
    <row r="3" spans="1:3" x14ac:dyDescent="0.2">
      <c r="A3" s="374" t="s">
        <v>780</v>
      </c>
      <c r="B3" s="374"/>
      <c r="C3" s="374"/>
    </row>
    <row r="4" spans="1:3" x14ac:dyDescent="0.2">
      <c r="A4" s="235"/>
      <c r="B4" s="236" t="str">
        <f>'DOE25'!H1</f>
        <v>DOE 25  2021-2022</v>
      </c>
      <c r="C4" s="235"/>
    </row>
    <row r="5" spans="1:3" x14ac:dyDescent="0.2">
      <c r="A5" s="232"/>
      <c r="B5" s="231"/>
    </row>
    <row r="6" spans="1:3" x14ac:dyDescent="0.2">
      <c r="A6" s="226"/>
      <c r="B6" s="380" t="s">
        <v>779</v>
      </c>
      <c r="C6" s="380"/>
    </row>
    <row r="7" spans="1:3" x14ac:dyDescent="0.2">
      <c r="A7" s="238" t="s">
        <v>782</v>
      </c>
      <c r="B7" s="378" t="s">
        <v>778</v>
      </c>
      <c r="C7" s="379"/>
    </row>
    <row r="8" spans="1:3" x14ac:dyDescent="0.2">
      <c r="B8" s="227" t="s">
        <v>54</v>
      </c>
      <c r="C8" s="227" t="s">
        <v>772</v>
      </c>
    </row>
    <row r="9" spans="1:3" x14ac:dyDescent="0.2">
      <c r="A9" s="33" t="s">
        <v>773</v>
      </c>
      <c r="B9" s="228">
        <f>'DOE25'!F198+'DOE25'!F216+'DOE25'!F234+'DOE25'!F277+'DOE25'!F296+'DOE25'!F315</f>
        <v>2008327.88</v>
      </c>
      <c r="C9" s="228">
        <f>'DOE25'!G198+'DOE25'!G216+'DOE25'!G234+'DOE25'!G277+'DOE25'!G296+'DOE25'!G315</f>
        <v>998707.89999999991</v>
      </c>
    </row>
    <row r="10" spans="1:3" x14ac:dyDescent="0.2">
      <c r="A10" t="s">
        <v>775</v>
      </c>
      <c r="B10" s="239">
        <v>1922854.72</v>
      </c>
      <c r="C10" s="239">
        <v>956203.52559975814</v>
      </c>
    </row>
    <row r="11" spans="1:3" x14ac:dyDescent="0.2">
      <c r="A11" t="s">
        <v>776</v>
      </c>
      <c r="B11" s="239">
        <v>85473.16</v>
      </c>
      <c r="C11" s="239">
        <v>42504.374400241861</v>
      </c>
    </row>
    <row r="12" spans="1:3" x14ac:dyDescent="0.2">
      <c r="A12" t="s">
        <v>777</v>
      </c>
      <c r="B12" s="239"/>
      <c r="C12" s="239"/>
    </row>
    <row r="13" spans="1:3" x14ac:dyDescent="0.2">
      <c r="A13" t="str">
        <f>IF(B9=B13,IF(C9=C13,"Check Total OK","Check Total Error"),"Check Total Error")</f>
        <v>Check Total OK</v>
      </c>
      <c r="B13" s="230">
        <f>SUM(B10:B12)</f>
        <v>2008327.88</v>
      </c>
      <c r="C13" s="230">
        <f>SUM(C10:C12)</f>
        <v>998707.9</v>
      </c>
    </row>
    <row r="14" spans="1:3" x14ac:dyDescent="0.2">
      <c r="B14" s="229"/>
      <c r="C14" s="229"/>
    </row>
    <row r="15" spans="1:3" x14ac:dyDescent="0.2">
      <c r="B15" s="380" t="s">
        <v>779</v>
      </c>
      <c r="C15" s="380"/>
    </row>
    <row r="16" spans="1:3" x14ac:dyDescent="0.2">
      <c r="A16" s="238" t="s">
        <v>783</v>
      </c>
      <c r="B16" s="378" t="s">
        <v>703</v>
      </c>
      <c r="C16" s="379"/>
    </row>
    <row r="17" spans="1:3" x14ac:dyDescent="0.2">
      <c r="B17" s="227" t="s">
        <v>54</v>
      </c>
      <c r="C17" s="227" t="s">
        <v>772</v>
      </c>
    </row>
    <row r="18" spans="1:3" x14ac:dyDescent="0.2">
      <c r="A18" s="33" t="s">
        <v>773</v>
      </c>
      <c r="B18" s="228">
        <f>'DOE25'!F199+'DOE25'!F217+'DOE25'!F235+'DOE25'!F278+'DOE25'!F297+'DOE25'!F316</f>
        <v>995876.96</v>
      </c>
      <c r="C18" s="228">
        <f>'DOE25'!G199+'DOE25'!G217+'DOE25'!G235+'DOE25'!G278+'DOE25'!G297+'DOE25'!G316</f>
        <v>479599.97</v>
      </c>
    </row>
    <row r="19" spans="1:3" x14ac:dyDescent="0.2">
      <c r="A19" t="s">
        <v>775</v>
      </c>
      <c r="B19" s="239">
        <v>514784.13</v>
      </c>
      <c r="C19" s="239">
        <v>247912.60689922588</v>
      </c>
    </row>
    <row r="20" spans="1:3" x14ac:dyDescent="0.2">
      <c r="A20" t="s">
        <v>776</v>
      </c>
      <c r="B20" s="239">
        <v>473592.83</v>
      </c>
      <c r="C20" s="239">
        <v>228075.47135161667</v>
      </c>
    </row>
    <row r="21" spans="1:3" x14ac:dyDescent="0.2">
      <c r="A21" t="s">
        <v>777</v>
      </c>
      <c r="B21" s="239">
        <v>7500</v>
      </c>
      <c r="C21" s="239">
        <v>3611.8917491574462</v>
      </c>
    </row>
    <row r="22" spans="1:3" x14ac:dyDescent="0.2">
      <c r="A22" t="str">
        <f>IF(B18=B22,IF(C18=C22,"Check Total OK","Check Total Error"),"Check Total Error")</f>
        <v>Check Total OK</v>
      </c>
      <c r="B22" s="230">
        <f>SUM(B19:B21)</f>
        <v>995876.96</v>
      </c>
      <c r="C22" s="230">
        <f>SUM(C19:C21)</f>
        <v>479599.97</v>
      </c>
    </row>
    <row r="23" spans="1:3" x14ac:dyDescent="0.2">
      <c r="B23" s="229"/>
      <c r="C23" s="229"/>
    </row>
    <row r="24" spans="1:3" x14ac:dyDescent="0.2">
      <c r="B24" s="380" t="s">
        <v>779</v>
      </c>
      <c r="C24" s="380"/>
    </row>
    <row r="25" spans="1:3" x14ac:dyDescent="0.2">
      <c r="A25" s="238" t="s">
        <v>784</v>
      </c>
      <c r="B25" s="378" t="s">
        <v>704</v>
      </c>
      <c r="C25" s="379"/>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80" t="s">
        <v>779</v>
      </c>
      <c r="C33" s="380"/>
    </row>
    <row r="34" spans="1:3" x14ac:dyDescent="0.2">
      <c r="A34" s="238" t="s">
        <v>785</v>
      </c>
      <c r="B34" s="378" t="s">
        <v>705</v>
      </c>
      <c r="C34" s="379"/>
    </row>
    <row r="35" spans="1:3" x14ac:dyDescent="0.2">
      <c r="B35" s="227" t="s">
        <v>54</v>
      </c>
      <c r="C35" s="227" t="s">
        <v>772</v>
      </c>
    </row>
    <row r="36" spans="1:3" x14ac:dyDescent="0.2">
      <c r="A36" s="33" t="s">
        <v>773</v>
      </c>
      <c r="B36" s="234">
        <f>'DOE25'!F201+'DOE25'!F219+'DOE25'!F237+'DOE25'!F280+'DOE25'!F299+'DOE25'!F318</f>
        <v>45986.87</v>
      </c>
      <c r="C36" s="234">
        <f>'DOE25'!G201+'DOE25'!G219+'DOE25'!G237+'DOE25'!G280+'DOE25'!G299+'DOE25'!G318</f>
        <v>11547.01</v>
      </c>
    </row>
    <row r="37" spans="1:3" x14ac:dyDescent="0.2">
      <c r="A37" t="s">
        <v>775</v>
      </c>
      <c r="B37" s="239">
        <v>37369.370000000003</v>
      </c>
      <c r="C37" s="239">
        <v>9383.2106660814279</v>
      </c>
    </row>
    <row r="38" spans="1:3" x14ac:dyDescent="0.2">
      <c r="A38" t="s">
        <v>776</v>
      </c>
      <c r="B38" s="239">
        <v>8617.5</v>
      </c>
      <c r="C38" s="239">
        <v>2163.7993339185728</v>
      </c>
    </row>
    <row r="39" spans="1:3" x14ac:dyDescent="0.2">
      <c r="A39" t="s">
        <v>777</v>
      </c>
      <c r="B39" s="239"/>
      <c r="C39" s="239"/>
    </row>
    <row r="40" spans="1:3" x14ac:dyDescent="0.2">
      <c r="A40" t="str">
        <f>IF(B36=B40,IF(C36=C40,"Check Total OK","Check Total Error"),"Check Total Error")</f>
        <v>Check Total OK</v>
      </c>
      <c r="B40" s="230">
        <f>SUM(B37:B39)</f>
        <v>45986.87</v>
      </c>
      <c r="C40" s="230">
        <f>SUM(C37:C39)</f>
        <v>11547.01</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G38" sqref="G3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80" t="s">
        <v>892</v>
      </c>
      <c r="B1" s="383"/>
      <c r="C1" s="383"/>
      <c r="D1" s="383"/>
      <c r="E1" s="383"/>
      <c r="F1" s="383"/>
      <c r="G1" s="383"/>
      <c r="H1" s="383"/>
      <c r="I1" s="180"/>
    </row>
    <row r="2" spans="1:9" x14ac:dyDescent="0.2">
      <c r="A2" s="33" t="s">
        <v>713</v>
      </c>
      <c r="B2" s="259" t="str">
        <f>'DOE25'!A2</f>
        <v>New Boston</v>
      </c>
      <c r="C2" s="276"/>
      <c r="D2" s="180" t="s">
        <v>787</v>
      </c>
      <c r="E2" s="180" t="s">
        <v>789</v>
      </c>
      <c r="F2" s="381" t="s">
        <v>891</v>
      </c>
      <c r="G2" s="382"/>
      <c r="H2" s="382"/>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12458076.58</v>
      </c>
      <c r="D5" s="20">
        <f>SUM('DOE25'!L198:L201)+SUM('DOE25'!L216:L219)+SUM('DOE25'!L234:L237)-F5-G5-H5</f>
        <v>12398624.550000001</v>
      </c>
      <c r="E5" s="242"/>
      <c r="F5" s="243"/>
      <c r="G5" s="53">
        <f>SUM('DOE25'!J198:J201)+SUM('DOE25'!J216:J219)+SUM('DOE25'!J234:J237)</f>
        <v>56051.43</v>
      </c>
      <c r="H5" s="53">
        <f>SUM('DOE25'!K198:K201)+SUM('DOE25'!K216:K219)+SUM('DOE25'!K234:K237)</f>
        <v>3400.6</v>
      </c>
      <c r="I5" s="255"/>
    </row>
    <row r="6" spans="1:9" x14ac:dyDescent="0.2">
      <c r="A6" s="32">
        <v>2100</v>
      </c>
      <c r="B6" t="s">
        <v>796</v>
      </c>
      <c r="C6" s="274">
        <f t="shared" si="0"/>
        <v>608479.97</v>
      </c>
      <c r="D6" s="20">
        <f>'DOE25'!L203+'DOE25'!L221+'DOE25'!L239-F6-G6-H6</f>
        <v>491333.97</v>
      </c>
      <c r="E6" s="242"/>
      <c r="F6" s="243">
        <v>117146</v>
      </c>
      <c r="G6" s="53">
        <f>'DOE25'!J203+'DOE25'!J221+'DOE25'!J239</f>
        <v>0</v>
      </c>
      <c r="H6" s="53">
        <f>'DOE25'!K203+'DOE25'!K221+'DOE25'!K239</f>
        <v>0</v>
      </c>
      <c r="I6" s="255"/>
    </row>
    <row r="7" spans="1:9" x14ac:dyDescent="0.2">
      <c r="A7" s="32">
        <v>2200</v>
      </c>
      <c r="B7" t="s">
        <v>821</v>
      </c>
      <c r="C7" s="274">
        <f t="shared" si="0"/>
        <v>227612.5</v>
      </c>
      <c r="D7" s="20">
        <f>'DOE25'!L204+'DOE25'!L222+'DOE25'!L240-F7-G7-H7</f>
        <v>227377.5</v>
      </c>
      <c r="E7" s="242"/>
      <c r="F7" s="243"/>
      <c r="G7" s="53">
        <f>'DOE25'!J204+'DOE25'!J222+'DOE25'!J240</f>
        <v>0</v>
      </c>
      <c r="H7" s="53">
        <f>'DOE25'!K204+'DOE25'!K222+'DOE25'!K240</f>
        <v>235</v>
      </c>
      <c r="I7" s="255"/>
    </row>
    <row r="8" spans="1:9" x14ac:dyDescent="0.2">
      <c r="A8" s="32">
        <v>2300</v>
      </c>
      <c r="B8" t="s">
        <v>797</v>
      </c>
      <c r="C8" s="274">
        <f t="shared" si="0"/>
        <v>422227.41999999993</v>
      </c>
      <c r="D8" s="242"/>
      <c r="E8" s="20">
        <f>'DOE25'!L205+'DOE25'!L223+'DOE25'!L241-F8-G8-H8-D9-D11</f>
        <v>418043.04999999993</v>
      </c>
      <c r="F8" s="243"/>
      <c r="G8" s="53">
        <f>'DOE25'!J205+'DOE25'!J223+'DOE25'!J241</f>
        <v>0</v>
      </c>
      <c r="H8" s="53">
        <f>'DOE25'!K205+'DOE25'!K223+'DOE25'!K241</f>
        <v>4184.37</v>
      </c>
      <c r="I8" s="255"/>
    </row>
    <row r="9" spans="1:9" ht="14.25" x14ac:dyDescent="0.2">
      <c r="A9" s="32">
        <v>2310</v>
      </c>
      <c r="B9" s="184" t="s">
        <v>888</v>
      </c>
      <c r="C9" s="274">
        <f t="shared" si="0"/>
        <v>15034.68</v>
      </c>
      <c r="D9" s="243">
        <v>15034.68</v>
      </c>
      <c r="E9" s="242"/>
      <c r="F9" s="252"/>
      <c r="G9" s="252"/>
      <c r="H9" s="252"/>
      <c r="I9" s="255"/>
    </row>
    <row r="10" spans="1:9" ht="14.25" x14ac:dyDescent="0.2">
      <c r="A10" s="32">
        <v>2317</v>
      </c>
      <c r="B10" s="184" t="s">
        <v>889</v>
      </c>
      <c r="C10" s="274">
        <f t="shared" si="0"/>
        <v>8840</v>
      </c>
      <c r="D10" s="242"/>
      <c r="E10" s="243">
        <v>8840</v>
      </c>
      <c r="F10" s="252"/>
      <c r="G10" s="252"/>
      <c r="H10" s="252"/>
      <c r="I10" s="255"/>
    </row>
    <row r="11" spans="1:9" ht="14.25" x14ac:dyDescent="0.2">
      <c r="A11" s="32">
        <v>2321</v>
      </c>
      <c r="B11" s="184" t="s">
        <v>890</v>
      </c>
      <c r="C11" s="274">
        <f t="shared" si="0"/>
        <v>117610</v>
      </c>
      <c r="D11" s="243">
        <v>117610</v>
      </c>
      <c r="E11" s="242"/>
      <c r="F11" s="252"/>
      <c r="G11" s="252"/>
      <c r="H11" s="252"/>
      <c r="I11" s="255"/>
    </row>
    <row r="12" spans="1:9" x14ac:dyDescent="0.2">
      <c r="A12" s="32">
        <v>2400</v>
      </c>
      <c r="B12" t="s">
        <v>711</v>
      </c>
      <c r="C12" s="274">
        <f t="shared" si="0"/>
        <v>513590.67000000004</v>
      </c>
      <c r="D12" s="20">
        <f>'DOE25'!L206+'DOE25'!L224+'DOE25'!L242-F12-G12-H12</f>
        <v>513440.67000000004</v>
      </c>
      <c r="E12" s="242"/>
      <c r="F12" s="243"/>
      <c r="G12" s="53">
        <f>'DOE25'!J206+'DOE25'!J224+'DOE25'!J242</f>
        <v>0</v>
      </c>
      <c r="H12" s="53">
        <f>'DOE25'!K206+'DOE25'!K224+'DOE25'!K242</f>
        <v>150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506532.36</v>
      </c>
      <c r="D14" s="20">
        <f>'DOE25'!L208+'DOE25'!L226+'DOE25'!L244-F14-G14-H14</f>
        <v>446015.43</v>
      </c>
      <c r="E14" s="242"/>
      <c r="F14" s="243">
        <v>41931.25</v>
      </c>
      <c r="G14" s="53">
        <f>'DOE25'!J208+'DOE25'!J226+'DOE25'!J244</f>
        <v>18585.68</v>
      </c>
      <c r="H14" s="53">
        <f>'DOE25'!K208+'DOE25'!K226+'DOE25'!K244</f>
        <v>0</v>
      </c>
      <c r="I14" s="255"/>
    </row>
    <row r="15" spans="1:9" x14ac:dyDescent="0.2">
      <c r="A15" s="32">
        <v>2700</v>
      </c>
      <c r="B15" t="s">
        <v>799</v>
      </c>
      <c r="C15" s="274">
        <f t="shared" si="0"/>
        <v>739326.92999999982</v>
      </c>
      <c r="D15" s="20">
        <f>'DOE25'!L209+'DOE25'!L227+'DOE25'!L245-F15-G15-H15</f>
        <v>13553.819999999832</v>
      </c>
      <c r="E15" s="242"/>
      <c r="F15" s="243">
        <v>725773.11</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111234.87</v>
      </c>
      <c r="D29" s="282">
        <f>'DOE25'!L359+'DOE25'!L360+'DOE25'!L361-'DOE25'!I368-F29-G29-H29</f>
        <v>88000.109999999986</v>
      </c>
      <c r="E29" s="242"/>
      <c r="F29" s="243"/>
      <c r="G29" s="53">
        <f>'DOE25'!J359+'DOE25'!J360+'DOE25'!J361</f>
        <v>0</v>
      </c>
      <c r="H29" s="53">
        <f>'DOE25'!K359+'DOE25'!K360+'DOE25'!K361</f>
        <v>23234.760000000002</v>
      </c>
      <c r="I29" s="255"/>
    </row>
    <row r="30" spans="1:9" x14ac:dyDescent="0.2">
      <c r="A30" s="32"/>
      <c r="C30" s="275"/>
      <c r="D30" s="20"/>
      <c r="E30" s="279"/>
      <c r="F30" s="269"/>
      <c r="G30" s="53"/>
      <c r="H30" s="53"/>
      <c r="I30" s="255"/>
    </row>
    <row r="31" spans="1:9" x14ac:dyDescent="0.2">
      <c r="A31" s="32" t="s">
        <v>818</v>
      </c>
      <c r="B31" t="s">
        <v>817</v>
      </c>
      <c r="C31" s="274">
        <f>SUM(D31:I31)</f>
        <v>229285.30999999994</v>
      </c>
      <c r="D31" s="20">
        <f>'DOE25'!L291+'DOE25'!L310+'DOE25'!L329+'DOE25'!L334+'DOE25'!L335+'DOE25'!L336-F31-G31-H31</f>
        <v>218042.78999999995</v>
      </c>
      <c r="E31" s="242"/>
      <c r="F31" s="243"/>
      <c r="G31" s="53">
        <f>'DOE25'!J291+'DOE25'!J310+'DOE25'!J329+'DOE25'!J334+'DOE25'!J335+'DOE25'!J336</f>
        <v>11242.52</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14529033.52</v>
      </c>
      <c r="E33" s="244">
        <f t="shared" si="1"/>
        <v>426883.04999999993</v>
      </c>
      <c r="F33" s="244">
        <f t="shared" si="1"/>
        <v>884850.36</v>
      </c>
      <c r="G33" s="244">
        <f t="shared" si="1"/>
        <v>85879.63</v>
      </c>
      <c r="H33" s="244">
        <f t="shared" si="1"/>
        <v>31204.730000000003</v>
      </c>
      <c r="I33" s="244">
        <f t="shared" si="1"/>
        <v>0</v>
      </c>
    </row>
    <row r="35" spans="1:9" ht="12" thickBot="1" x14ac:dyDescent="0.25">
      <c r="B35" s="250" t="s">
        <v>831</v>
      </c>
      <c r="D35" s="251">
        <f>E33</f>
        <v>426883.04999999993</v>
      </c>
      <c r="E35" s="247"/>
      <c r="F35" s="328" t="s">
        <v>1617</v>
      </c>
      <c r="G35" s="329"/>
      <c r="H35" s="329"/>
      <c r="I35" s="329"/>
    </row>
    <row r="36" spans="1:9" ht="12" thickTop="1" x14ac:dyDescent="0.2">
      <c r="B36" t="s">
        <v>810</v>
      </c>
      <c r="D36" s="20">
        <f>D33</f>
        <v>14529033.52</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4" t="s">
        <v>900</v>
      </c>
      <c r="C53" s="384"/>
      <c r="D53" s="384"/>
      <c r="E53" s="384"/>
      <c r="F53" s="384"/>
      <c r="G53" s="384"/>
      <c r="H53" s="384"/>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J19" sqref="J1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New Boston</v>
      </c>
      <c r="B2" s="126">
        <f>'DOE25'!B2</f>
        <v>377</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8004280.8699999964</v>
      </c>
      <c r="G4" s="299">
        <f>'DOE25'!L212+'DOE25'!L291</f>
        <v>8004280.8700000001</v>
      </c>
      <c r="H4" s="340">
        <f>F4-G4</f>
        <v>0</v>
      </c>
      <c r="I4" s="385"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6"/>
      <c r="N5"/>
    </row>
    <row r="6" spans="1:18" x14ac:dyDescent="0.2">
      <c r="A6" s="126" t="str" cm="1">
        <f t="array" ref="A6">IFERROR(INDEX('School Tables'!$A$4:$G$325,'School Tables'!$J4,3),"")</f>
        <v>New Boston Central School</v>
      </c>
      <c r="B6" s="300">
        <f>IFERROR(VLOOKUP(A6,'School Tables'!$C$3:$D$365,2,FALSE),"")</f>
        <v>20715</v>
      </c>
      <c r="C6" s="293" t="str">
        <f>IFERROR(INDEX('School Tables'!$B$3:$B$365,MATCH('School Level Expenditures'!B6,'School Tables'!$D$3:$D$365,0)),"")</f>
        <v>New Boston</v>
      </c>
      <c r="D6" s="290">
        <v>7774995.5599999968</v>
      </c>
      <c r="E6" s="290">
        <v>229285.31</v>
      </c>
      <c r="F6" s="303">
        <f t="shared" ref="F6:F20" si="0">D6+E6</f>
        <v>8004280.8699999964</v>
      </c>
      <c r="G6" s="293"/>
      <c r="H6" s="293"/>
      <c r="I6" s="386"/>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7774995.5599999968</v>
      </c>
      <c r="E21" s="338">
        <f>SUM(E5:E20)</f>
        <v>229285.31</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2714895.45</v>
      </c>
      <c r="G24" s="299">
        <f>'DOE25'!L230+'DOE25'!L310</f>
        <v>2714895.4499999997</v>
      </c>
      <c r="H24" s="340">
        <f>F24-G24</f>
        <v>0</v>
      </c>
      <c r="I24" s="385" t="str">
        <f>IF(H24=0,"","ISSUES!! Please review page 8 and 12 totals in comparison with total on this page")</f>
        <v/>
      </c>
      <c r="N24"/>
    </row>
    <row r="25" spans="1:14" x14ac:dyDescent="0.2">
      <c r="A25" s="126" t="s">
        <v>1548</v>
      </c>
      <c r="B25" s="300">
        <v>99999</v>
      </c>
      <c r="C25" s="293" t="s">
        <v>1548</v>
      </c>
      <c r="D25" s="290">
        <v>2714895.45</v>
      </c>
      <c r="E25" s="290"/>
      <c r="F25" s="303">
        <f>D25+E25</f>
        <v>2714895.45</v>
      </c>
      <c r="G25" s="293"/>
      <c r="H25" s="293"/>
      <c r="I25" s="386"/>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6"/>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2714895.45</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5118600.0999999996</v>
      </c>
      <c r="G36" s="299">
        <f>'DOE25'!L248+'DOE25'!L329</f>
        <v>5118600.1000000006</v>
      </c>
      <c r="H36" s="340">
        <f>F36-G36</f>
        <v>0</v>
      </c>
      <c r="I36" s="385" t="str">
        <f>IF(H36=0,"","ISSUES!! Please review page 9 and 13 totals in comparison with total on this page")</f>
        <v/>
      </c>
      <c r="N36"/>
    </row>
    <row r="37" spans="1:14" x14ac:dyDescent="0.2">
      <c r="A37" s="126" t="s">
        <v>1548</v>
      </c>
      <c r="B37" s="300">
        <v>99999</v>
      </c>
      <c r="C37" s="293" t="s">
        <v>1548</v>
      </c>
      <c r="D37" s="290">
        <v>5118600.0999999996</v>
      </c>
      <c r="E37" s="290"/>
      <c r="F37" s="303">
        <f t="shared" ref="F37:F42" si="2">D37+E37</f>
        <v>5118600.0999999996</v>
      </c>
      <c r="G37" s="293"/>
      <c r="H37" s="293"/>
      <c r="I37" s="386"/>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6"/>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5118600.0999999996</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4"/>
      <c r="B58" s="384"/>
      <c r="C58" s="384"/>
      <c r="D58" s="384"/>
      <c r="E58" s="384"/>
      <c r="F58" s="384"/>
      <c r="G58" s="384"/>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R37" sqref="R3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 Boston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3176471.01</v>
      </c>
      <c r="D8" s="95">
        <f>'DOE25'!G9</f>
        <v>36834.18</v>
      </c>
      <c r="E8" s="95">
        <f>'DOE25'!H9</f>
        <v>0</v>
      </c>
      <c r="F8" s="95">
        <f>'DOE25'!I9</f>
        <v>0</v>
      </c>
      <c r="G8" s="95">
        <f>'DOE25'!J9</f>
        <v>0</v>
      </c>
      <c r="H8" s="124">
        <f>SUM(C8:G8)</f>
        <v>3213305.19</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24852.83</v>
      </c>
      <c r="D11" s="95">
        <f>'DOE25'!G12</f>
        <v>0</v>
      </c>
      <c r="E11" s="95">
        <f>'DOE25'!H12</f>
        <v>0</v>
      </c>
      <c r="F11" s="95">
        <f>'DOE25'!I12</f>
        <v>0</v>
      </c>
      <c r="G11" s="95">
        <f>'DOE25'!J12</f>
        <v>0</v>
      </c>
      <c r="H11" s="124">
        <f t="shared" si="0"/>
        <v>24852.83</v>
      </c>
      <c r="I11" s="124"/>
    </row>
    <row r="12" spans="1:9" x14ac:dyDescent="0.2">
      <c r="A12" s="1" t="s">
        <v>143</v>
      </c>
      <c r="B12" s="6">
        <v>140</v>
      </c>
      <c r="C12" s="95">
        <f>'DOE25'!F13</f>
        <v>165.08</v>
      </c>
      <c r="D12" s="95">
        <f>'DOE25'!G13</f>
        <v>82384.679999999993</v>
      </c>
      <c r="E12" s="95">
        <f>'DOE25'!H13</f>
        <v>53259.13</v>
      </c>
      <c r="F12" s="95">
        <f>'DOE25'!I13</f>
        <v>0</v>
      </c>
      <c r="G12" s="95">
        <f>'DOE25'!J13</f>
        <v>430000.58</v>
      </c>
      <c r="H12" s="124">
        <f t="shared" si="0"/>
        <v>565809.47</v>
      </c>
      <c r="I12" s="124"/>
    </row>
    <row r="13" spans="1:9" x14ac:dyDescent="0.2">
      <c r="A13" s="1" t="s">
        <v>144</v>
      </c>
      <c r="B13" s="6">
        <v>150</v>
      </c>
      <c r="C13" s="95">
        <f>'DOE25'!F14</f>
        <v>7874.78</v>
      </c>
      <c r="D13" s="95">
        <f>'DOE25'!G14</f>
        <v>81.78</v>
      </c>
      <c r="E13" s="95">
        <f>'DOE25'!H14</f>
        <v>0</v>
      </c>
      <c r="F13" s="95">
        <f>'DOE25'!I14</f>
        <v>0</v>
      </c>
      <c r="G13" s="95">
        <f>'DOE25'!J14</f>
        <v>0</v>
      </c>
      <c r="H13" s="124">
        <f t="shared" si="0"/>
        <v>7956.5599999999995</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6098.78</v>
      </c>
      <c r="D15" s="95">
        <f>'DOE25'!G16</f>
        <v>0</v>
      </c>
      <c r="E15" s="95">
        <f>'DOE25'!H16</f>
        <v>0</v>
      </c>
      <c r="F15" s="95">
        <f>'DOE25'!I16</f>
        <v>0</v>
      </c>
      <c r="G15" s="24" t="s">
        <v>288</v>
      </c>
      <c r="H15" s="124">
        <f t="shared" si="0"/>
        <v>6098.78</v>
      </c>
      <c r="I15" s="124"/>
    </row>
    <row r="16" spans="1:9" x14ac:dyDescent="0.2">
      <c r="A16" s="1" t="s">
        <v>147</v>
      </c>
      <c r="B16" s="6">
        <v>180</v>
      </c>
      <c r="C16" s="95">
        <f>'DOE25'!F17</f>
        <v>4076.81</v>
      </c>
      <c r="D16" s="95">
        <f>'DOE25'!G17</f>
        <v>0</v>
      </c>
      <c r="E16" s="95">
        <f>'DOE25'!H17</f>
        <v>0</v>
      </c>
      <c r="F16" s="95">
        <f>'DOE25'!I17</f>
        <v>0</v>
      </c>
      <c r="G16" s="95">
        <f>'DOE25'!J17</f>
        <v>0</v>
      </c>
      <c r="H16" s="124">
        <f t="shared" si="0"/>
        <v>4076.81</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3219539.2899999996</v>
      </c>
      <c r="D18" s="41">
        <f>SUM(D8:D17)</f>
        <v>119300.63999999998</v>
      </c>
      <c r="E18" s="41">
        <f>SUM(E8:E17)</f>
        <v>53259.13</v>
      </c>
      <c r="F18" s="41">
        <f>SUM(F8:F17)</f>
        <v>0</v>
      </c>
      <c r="G18" s="41">
        <f>SUM(G8:G17)</f>
        <v>430000.58</v>
      </c>
      <c r="H18" s="41">
        <f t="shared" si="0"/>
        <v>3822099.6399999997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24852.83</v>
      </c>
      <c r="F21" s="95" t="str">
        <f>'DOE25'!I22</f>
        <v xml:space="preserve"> </v>
      </c>
      <c r="G21" s="95">
        <f>'DOE25'!J22</f>
        <v>0</v>
      </c>
      <c r="H21" s="124">
        <f t="shared" ref="H21:H31" si="1">SUM(C21:G21)</f>
        <v>24852.83</v>
      </c>
      <c r="I21" s="124"/>
    </row>
    <row r="22" spans="1:9" x14ac:dyDescent="0.2">
      <c r="A22" s="1" t="s">
        <v>151</v>
      </c>
      <c r="B22" s="6">
        <v>410</v>
      </c>
      <c r="C22" s="95">
        <f>'DOE25'!F23</f>
        <v>194836.12</v>
      </c>
      <c r="D22" s="95">
        <f>'DOE25'!G23</f>
        <v>0</v>
      </c>
      <c r="E22" s="95" t="str">
        <f>'DOE25'!H23</f>
        <v xml:space="preserve"> </v>
      </c>
      <c r="F22" s="95">
        <f>'DOE25'!I23</f>
        <v>0</v>
      </c>
      <c r="G22" s="95">
        <f>'DOE25'!J23</f>
        <v>0</v>
      </c>
      <c r="H22" s="124">
        <f t="shared" si="1"/>
        <v>194836.12</v>
      </c>
      <c r="I22" s="124"/>
    </row>
    <row r="23" spans="1:9" x14ac:dyDescent="0.2">
      <c r="A23" s="1" t="s">
        <v>152</v>
      </c>
      <c r="B23" s="6">
        <v>420</v>
      </c>
      <c r="C23" s="95">
        <f>'DOE25'!F24</f>
        <v>87557.759999999995</v>
      </c>
      <c r="D23" s="95">
        <f>'DOE25'!G24</f>
        <v>10115.23</v>
      </c>
      <c r="E23" s="95">
        <f>'DOE25'!H24</f>
        <v>8730.4599999999991</v>
      </c>
      <c r="F23" s="95">
        <f>'DOE25'!I24</f>
        <v>0</v>
      </c>
      <c r="G23" s="95">
        <f>'DOE25'!J24</f>
        <v>0</v>
      </c>
      <c r="H23" s="124">
        <f t="shared" si="1"/>
        <v>106403.44999999998</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30532.99</v>
      </c>
      <c r="D27" s="95">
        <f>'DOE25'!G28</f>
        <v>0</v>
      </c>
      <c r="E27" s="95">
        <f>'DOE25'!H28</f>
        <v>754.02</v>
      </c>
      <c r="F27" s="95">
        <f>'DOE25'!I28</f>
        <v>0</v>
      </c>
      <c r="G27" s="24" t="s">
        <v>288</v>
      </c>
      <c r="H27" s="124">
        <f t="shared" si="1"/>
        <v>31287.010000000002</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1000000</v>
      </c>
      <c r="D29" s="95">
        <f>'DOE25'!G30</f>
        <v>3480.36</v>
      </c>
      <c r="E29" s="95">
        <f>'DOE25'!H30</f>
        <v>18921.82</v>
      </c>
      <c r="F29" s="95">
        <f>'DOE25'!I30</f>
        <v>0</v>
      </c>
      <c r="G29" s="24" t="s">
        <v>288</v>
      </c>
      <c r="H29" s="124">
        <f t="shared" si="1"/>
        <v>1022402.1799999999</v>
      </c>
      <c r="I29" s="124"/>
    </row>
    <row r="30" spans="1:9" ht="12" thickBot="1" x14ac:dyDescent="0.25">
      <c r="A30" s="1" t="s">
        <v>159</v>
      </c>
      <c r="B30" s="71">
        <v>490</v>
      </c>
      <c r="C30" s="95">
        <f>'DOE25'!F31</f>
        <v>0</v>
      </c>
      <c r="D30" s="95">
        <f>'DOE25'!G31</f>
        <v>1316.06</v>
      </c>
      <c r="E30" s="95">
        <f>'DOE25'!H31</f>
        <v>0</v>
      </c>
      <c r="F30" s="95">
        <f>'DOE25'!I31</f>
        <v>0</v>
      </c>
      <c r="G30" s="95">
        <f>'DOE25'!J31</f>
        <v>0</v>
      </c>
      <c r="H30" s="124">
        <f t="shared" si="1"/>
        <v>1316.06</v>
      </c>
      <c r="I30" s="124"/>
    </row>
    <row r="31" spans="1:9" ht="12" thickTop="1" x14ac:dyDescent="0.2">
      <c r="A31" s="38" t="s">
        <v>160</v>
      </c>
      <c r="B31" s="2"/>
      <c r="C31" s="41">
        <f>SUM(C21:C30)</f>
        <v>1312926.8700000001</v>
      </c>
      <c r="D31" s="41">
        <f>SUM(D21:D30)</f>
        <v>14911.65</v>
      </c>
      <c r="E31" s="41">
        <f>SUM(E21:E30)</f>
        <v>53259.13</v>
      </c>
      <c r="F31" s="41">
        <f>SUM(F21:F30)</f>
        <v>0</v>
      </c>
      <c r="G31" s="41">
        <f>SUM(G21:G30)</f>
        <v>0</v>
      </c>
      <c r="H31" s="41">
        <f t="shared" si="1"/>
        <v>1381097.65</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6098.78</v>
      </c>
      <c r="D34" s="95">
        <f>'DOE25'!G35</f>
        <v>0</v>
      </c>
      <c r="E34" s="95">
        <f>'DOE25'!H35</f>
        <v>0</v>
      </c>
      <c r="F34" s="95">
        <f>'DOE25'!I35</f>
        <v>0</v>
      </c>
      <c r="G34" s="24" t="s">
        <v>288</v>
      </c>
      <c r="H34" s="124">
        <f t="shared" ref="H34:H51" si="2">SUM(C34:G34)</f>
        <v>6098.78</v>
      </c>
      <c r="I34" s="124"/>
    </row>
    <row r="35" spans="1:9" x14ac:dyDescent="0.2">
      <c r="A35" s="1" t="s">
        <v>850</v>
      </c>
      <c r="B35" s="6">
        <v>752</v>
      </c>
      <c r="C35" s="95">
        <f>'DOE25'!F36</f>
        <v>4076.81</v>
      </c>
      <c r="D35" s="95">
        <f>'DOE25'!G36</f>
        <v>0</v>
      </c>
      <c r="E35" s="95">
        <f>'DOE25'!H36</f>
        <v>0</v>
      </c>
      <c r="F35" s="95">
        <f>'DOE25'!I36</f>
        <v>0</v>
      </c>
      <c r="G35" s="24" t="s">
        <v>288</v>
      </c>
      <c r="H35" s="124">
        <f t="shared" si="2"/>
        <v>4076.81</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104388.99</v>
      </c>
      <c r="E39" s="24" t="s">
        <v>288</v>
      </c>
      <c r="F39" s="24" t="s">
        <v>288</v>
      </c>
      <c r="G39" s="24" t="s">
        <v>288</v>
      </c>
      <c r="H39" s="124">
        <f t="shared" si="2"/>
        <v>104388.99</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50000</v>
      </c>
      <c r="D43" s="95">
        <f>'DOE25'!G44</f>
        <v>0</v>
      </c>
      <c r="E43" s="95">
        <f>'DOE25'!H44</f>
        <v>0</v>
      </c>
      <c r="F43" s="95">
        <f>'DOE25'!I44</f>
        <v>0</v>
      </c>
      <c r="G43" s="24" t="s">
        <v>288</v>
      </c>
      <c r="H43" s="124">
        <f t="shared" si="2"/>
        <v>50000</v>
      </c>
      <c r="I43" s="124"/>
    </row>
    <row r="44" spans="1:9" x14ac:dyDescent="0.2">
      <c r="A44" s="1" t="s">
        <v>864</v>
      </c>
      <c r="B44" s="6">
        <v>753</v>
      </c>
      <c r="C44" s="95">
        <f>'DOE25'!F45</f>
        <v>93345.68</v>
      </c>
      <c r="D44" s="95" t="str">
        <f>'DOE25'!G45</f>
        <v xml:space="preserve"> </v>
      </c>
      <c r="E44" s="95">
        <f>'DOE25'!H45</f>
        <v>0</v>
      </c>
      <c r="F44" s="95">
        <f>'DOE25'!I45</f>
        <v>0</v>
      </c>
      <c r="G44" s="95">
        <f>'DOE25'!J45</f>
        <v>0</v>
      </c>
      <c r="H44" s="124">
        <f t="shared" si="2"/>
        <v>93345.68</v>
      </c>
      <c r="I44" s="124"/>
    </row>
    <row r="45" spans="1:9" x14ac:dyDescent="0.2">
      <c r="A45" s="1" t="s">
        <v>880</v>
      </c>
      <c r="B45" s="6"/>
      <c r="C45" s="95">
        <f>'DOE25'!F46</f>
        <v>625000</v>
      </c>
      <c r="D45" s="24" t="s">
        <v>288</v>
      </c>
      <c r="E45" s="24" t="s">
        <v>288</v>
      </c>
      <c r="F45" s="24" t="s">
        <v>288</v>
      </c>
      <c r="G45" s="24" t="s">
        <v>288</v>
      </c>
      <c r="H45" s="124">
        <f t="shared" si="2"/>
        <v>625000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430000.58</v>
      </c>
      <c r="H47" s="124">
        <f t="shared" si="2"/>
        <v>430000.58</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1128091.1499999999</v>
      </c>
      <c r="D49" s="24" t="s">
        <v>288</v>
      </c>
      <c r="E49" s="24" t="s">
        <v>288</v>
      </c>
      <c r="F49" s="24" t="s">
        <v>288</v>
      </c>
      <c r="G49" s="24" t="s">
        <v>288</v>
      </c>
      <c r="H49" s="124">
        <f t="shared" si="2"/>
        <v>1128091.1499999999</v>
      </c>
      <c r="I49" s="124"/>
    </row>
    <row r="50" spans="1:9" ht="12.75" thickTop="1" thickBot="1" x14ac:dyDescent="0.25">
      <c r="A50" s="38" t="s">
        <v>884</v>
      </c>
      <c r="B50" s="48"/>
      <c r="C50" s="41">
        <f>SUM(C34:C49)</f>
        <v>1906612.42</v>
      </c>
      <c r="D50" s="41">
        <f>SUM(D34:D49)</f>
        <v>104388.99</v>
      </c>
      <c r="E50" s="41">
        <f>SUM(E34:E49)</f>
        <v>0</v>
      </c>
      <c r="F50" s="41">
        <f>SUM(F34:F49)</f>
        <v>0</v>
      </c>
      <c r="G50" s="41">
        <f>SUM(G34:G49)</f>
        <v>430000.58</v>
      </c>
      <c r="H50" s="41">
        <f t="shared" si="2"/>
        <v>2441001.9899999998</v>
      </c>
      <c r="I50" s="124"/>
    </row>
    <row r="51" spans="1:9" ht="12" thickTop="1" x14ac:dyDescent="0.2">
      <c r="A51" s="38" t="s">
        <v>885</v>
      </c>
      <c r="B51" s="2"/>
      <c r="C51" s="41">
        <f>C50+C31</f>
        <v>3219539.29</v>
      </c>
      <c r="D51" s="41">
        <f>D50+D31</f>
        <v>119300.64</v>
      </c>
      <c r="E51" s="41">
        <f>E50+E31</f>
        <v>53259.13</v>
      </c>
      <c r="F51" s="41">
        <f>F50+F31</f>
        <v>0</v>
      </c>
      <c r="G51" s="41">
        <f>G50+G31</f>
        <v>430000.58</v>
      </c>
      <c r="H51" s="41">
        <f t="shared" si="2"/>
        <v>3822099.64</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11199668</v>
      </c>
      <c r="D56" s="95">
        <f>'DOE25'!G60</f>
        <v>0</v>
      </c>
      <c r="E56" s="95">
        <f>'DOE25'!H60</f>
        <v>0</v>
      </c>
      <c r="F56" s="95">
        <f>'DOE25'!I60</f>
        <v>0</v>
      </c>
      <c r="G56" s="95">
        <f>'DOE25'!J60</f>
        <v>0</v>
      </c>
      <c r="H56" s="124">
        <f t="shared" ref="H56:H63" si="3">SUM(C56:G56)</f>
        <v>11199668</v>
      </c>
      <c r="I56"/>
    </row>
    <row r="57" spans="1:9" x14ac:dyDescent="0.2">
      <c r="A57" s="1" t="s">
        <v>164</v>
      </c>
      <c r="B57" s="6" t="s">
        <v>165</v>
      </c>
      <c r="C57" s="95">
        <f>'DOE25'!F79</f>
        <v>12060</v>
      </c>
      <c r="D57" s="24" t="s">
        <v>288</v>
      </c>
      <c r="E57" s="95">
        <f>'DOE25'!H79</f>
        <v>0</v>
      </c>
      <c r="F57" s="24" t="s">
        <v>288</v>
      </c>
      <c r="G57" s="24" t="s">
        <v>288</v>
      </c>
      <c r="H57" s="124">
        <f t="shared" si="3"/>
        <v>12060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5018.1899999999996</v>
      </c>
      <c r="D59" s="95">
        <f>'DOE25'!G96</f>
        <v>0</v>
      </c>
      <c r="E59" s="95">
        <f>'DOE25'!H96</f>
        <v>0</v>
      </c>
      <c r="F59" s="95">
        <f>'DOE25'!I96</f>
        <v>0</v>
      </c>
      <c r="G59" s="95">
        <f>'DOE25'!J96</f>
        <v>47.81</v>
      </c>
      <c r="H59" s="124">
        <f t="shared" si="3"/>
        <v>5066</v>
      </c>
      <c r="I59"/>
    </row>
    <row r="60" spans="1:9" x14ac:dyDescent="0.2">
      <c r="A60" s="1" t="s">
        <v>170</v>
      </c>
      <c r="B60" s="118" t="s">
        <v>171</v>
      </c>
      <c r="C60" s="24" t="s">
        <v>288</v>
      </c>
      <c r="D60" s="95">
        <f>'DOE25'!G97</f>
        <v>432.82</v>
      </c>
      <c r="E60" s="24" t="s">
        <v>288</v>
      </c>
      <c r="F60" s="24" t="s">
        <v>288</v>
      </c>
      <c r="G60" s="24" t="s">
        <v>288</v>
      </c>
      <c r="H60" s="124">
        <f t="shared" si="3"/>
        <v>432.82</v>
      </c>
      <c r="I60"/>
    </row>
    <row r="61" spans="1:9" ht="12" thickBot="1" x14ac:dyDescent="0.25">
      <c r="A61" s="1" t="s">
        <v>172</v>
      </c>
      <c r="B61" s="118" t="s">
        <v>173</v>
      </c>
      <c r="C61" s="95">
        <f>SUM('DOE25'!F98:F110)</f>
        <v>87923.03</v>
      </c>
      <c r="D61" s="95">
        <f>SUM('DOE25'!G98:G110)</f>
        <v>55.85</v>
      </c>
      <c r="E61" s="95">
        <f>SUM('DOE25'!H98:H110)</f>
        <v>3609.95</v>
      </c>
      <c r="F61" s="95">
        <f>SUM('DOE25'!I98:I110)</f>
        <v>0</v>
      </c>
      <c r="G61" s="95">
        <f>SUM('DOE25'!J98:J110)</f>
        <v>0</v>
      </c>
      <c r="H61" s="124">
        <f t="shared" si="3"/>
        <v>91588.83</v>
      </c>
      <c r="I61"/>
    </row>
    <row r="62" spans="1:9" ht="12.75" thickTop="1" thickBot="1" x14ac:dyDescent="0.25">
      <c r="A62" s="29" t="s">
        <v>174</v>
      </c>
      <c r="B62" s="6"/>
      <c r="C62" s="130">
        <f>SUM(C57:C61)</f>
        <v>105001.22</v>
      </c>
      <c r="D62" s="130">
        <f>SUM(D57:D61)</f>
        <v>488.67</v>
      </c>
      <c r="E62" s="130">
        <f>SUM(E57:E61)</f>
        <v>3609.95</v>
      </c>
      <c r="F62" s="130">
        <f>SUM(F57:F61)</f>
        <v>0</v>
      </c>
      <c r="G62" s="130">
        <f>SUM(G57:G61)</f>
        <v>47.81</v>
      </c>
      <c r="H62" s="124">
        <f t="shared" si="3"/>
        <v>109147.65</v>
      </c>
      <c r="I62"/>
    </row>
    <row r="63" spans="1:9" ht="12" thickTop="1" x14ac:dyDescent="0.2">
      <c r="A63" s="29" t="s">
        <v>175</v>
      </c>
      <c r="B63" s="6"/>
      <c r="C63" s="22">
        <f>C56+C62</f>
        <v>11304669.220000001</v>
      </c>
      <c r="D63" s="22">
        <f>D56+D62</f>
        <v>488.67</v>
      </c>
      <c r="E63" s="22">
        <f>E56+E62</f>
        <v>3609.95</v>
      </c>
      <c r="F63" s="22">
        <f>F56+F62</f>
        <v>0</v>
      </c>
      <c r="G63" s="22">
        <f>G56+G62</f>
        <v>47.81</v>
      </c>
      <c r="H63" s="124">
        <f t="shared" si="3"/>
        <v>11308815.65</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3146637.43</v>
      </c>
      <c r="D66" s="24" t="s">
        <v>288</v>
      </c>
      <c r="E66" s="24" t="s">
        <v>288</v>
      </c>
      <c r="F66" s="24" t="s">
        <v>288</v>
      </c>
      <c r="G66" s="24" t="s">
        <v>288</v>
      </c>
      <c r="H66" s="124">
        <f t="shared" ref="H66:H81" si="4">SUM(C66:G66)</f>
        <v>3146637.43</v>
      </c>
      <c r="I66"/>
    </row>
    <row r="67" spans="1:9" x14ac:dyDescent="0.2">
      <c r="A67" s="1" t="s">
        <v>770</v>
      </c>
      <c r="B67" s="6">
        <v>3112</v>
      </c>
      <c r="C67" s="95">
        <f>'DOE25'!F118</f>
        <v>1350394</v>
      </c>
      <c r="D67" s="24"/>
      <c r="E67" s="24"/>
      <c r="F67" s="24"/>
      <c r="G67" s="24"/>
      <c r="H67" s="124">
        <f t="shared" si="4"/>
        <v>1350394</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4497031.43</v>
      </c>
      <c r="D70" s="139">
        <f>D69</f>
        <v>0</v>
      </c>
      <c r="E70" s="139">
        <f>E69</f>
        <v>0</v>
      </c>
      <c r="F70" s="139">
        <f>F69</f>
        <v>0</v>
      </c>
      <c r="G70" s="139">
        <f>G69</f>
        <v>0</v>
      </c>
      <c r="H70" s="124">
        <f t="shared" si="4"/>
        <v>4497031.43</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33751.06</v>
      </c>
      <c r="D75" s="24" t="s">
        <v>288</v>
      </c>
      <c r="E75" s="24" t="s">
        <v>288</v>
      </c>
      <c r="F75" s="24" t="s">
        <v>288</v>
      </c>
      <c r="G75" s="24" t="s">
        <v>288</v>
      </c>
      <c r="H75" s="124">
        <f t="shared" si="4"/>
        <v>33751.06</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2964.62</v>
      </c>
      <c r="E77" s="95">
        <f>SUM('DOE25'!H131:H135)</f>
        <v>0</v>
      </c>
      <c r="F77" s="95">
        <f>SUM('DOE25'!I131:I135)</f>
        <v>0</v>
      </c>
      <c r="G77" s="95">
        <f>SUM('DOE25'!J131:J135)</f>
        <v>0</v>
      </c>
      <c r="H77" s="124">
        <f t="shared" si="4"/>
        <v>2964.62</v>
      </c>
      <c r="I77"/>
    </row>
    <row r="78" spans="1:9" ht="12.75" thickTop="1" thickBot="1" x14ac:dyDescent="0.25">
      <c r="A78" s="29" t="s">
        <v>259</v>
      </c>
      <c r="B78" s="6"/>
      <c r="C78" s="130">
        <f>SUM(C72:C77)</f>
        <v>33751.06</v>
      </c>
      <c r="D78" s="130">
        <f>SUM(D72:D77)</f>
        <v>2964.62</v>
      </c>
      <c r="E78" s="130">
        <f>SUM(E72:E77)</f>
        <v>0</v>
      </c>
      <c r="F78" s="130">
        <f>SUM(F72:F77)</f>
        <v>0</v>
      </c>
      <c r="G78" s="130">
        <f>SUM(G72:G77)</f>
        <v>0</v>
      </c>
      <c r="H78" s="124">
        <f t="shared" si="4"/>
        <v>36715.68</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4530782.4899999993</v>
      </c>
      <c r="D81" s="130">
        <f>SUM(D79:D80)+D78+D70</f>
        <v>2964.62</v>
      </c>
      <c r="E81" s="130">
        <f>SUM(E79:E80)+E78+E70</f>
        <v>0</v>
      </c>
      <c r="F81" s="130">
        <f>SUM(F79:F80)+F78+F70</f>
        <v>0</v>
      </c>
      <c r="G81" s="130">
        <f>SUM(G79:G80)+G78+G70</f>
        <v>0</v>
      </c>
      <c r="H81" s="130">
        <f t="shared" si="4"/>
        <v>4533747.1099999994</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41739.33</v>
      </c>
      <c r="F87" s="95">
        <f>SUM('DOE25'!I149:I152)</f>
        <v>0</v>
      </c>
      <c r="G87" s="24" t="s">
        <v>288</v>
      </c>
      <c r="H87" s="124">
        <f t="shared" si="5"/>
        <v>41739.33</v>
      </c>
    </row>
    <row r="88" spans="1:9" x14ac:dyDescent="0.2">
      <c r="A88" s="287" t="s">
        <v>747</v>
      </c>
      <c r="B88" s="325" t="s">
        <v>184</v>
      </c>
      <c r="C88" s="326">
        <f>SUM('DOE25'!F153:F162)</f>
        <v>5894.32</v>
      </c>
      <c r="D88" s="326">
        <f>SUM('DOE25'!G153:G162)</f>
        <v>305169.39</v>
      </c>
      <c r="E88" s="326">
        <f>SUM('DOE25'!H153:H162)</f>
        <v>183936.03000000003</v>
      </c>
      <c r="F88" s="326">
        <f>SUM('DOE25'!I153:I162)</f>
        <v>0</v>
      </c>
      <c r="G88" s="24" t="s">
        <v>288</v>
      </c>
      <c r="H88" s="124">
        <f t="shared" si="5"/>
        <v>494999.74000000005</v>
      </c>
    </row>
    <row r="89" spans="1:9" x14ac:dyDescent="0.2">
      <c r="A89" t="s">
        <v>748</v>
      </c>
      <c r="B89" s="32" t="s">
        <v>185</v>
      </c>
      <c r="C89" s="95">
        <f>'DOE25'!F164+'DOE25'!F167+'DOE25'!F169</f>
        <v>0</v>
      </c>
      <c r="D89" s="95">
        <f>'DOE25'!G164+'DOE25'!G169</f>
        <v>14133.83</v>
      </c>
      <c r="E89" s="95">
        <f>'DOE25'!H164+'DOE25'!H169</f>
        <v>0</v>
      </c>
      <c r="F89" s="95">
        <f>'DOE25'!I164</f>
        <v>0</v>
      </c>
      <c r="G89" s="24" t="s">
        <v>288</v>
      </c>
      <c r="H89" s="124">
        <f t="shared" si="5"/>
        <v>14133.83</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5894.32</v>
      </c>
      <c r="D91" s="131">
        <f>SUM(D85:D90)</f>
        <v>319303.22000000003</v>
      </c>
      <c r="E91" s="131">
        <f>SUM(E85:E90)</f>
        <v>225675.36000000004</v>
      </c>
      <c r="F91" s="131">
        <f>SUM(F85:F90)</f>
        <v>0</v>
      </c>
      <c r="G91" s="24" t="s">
        <v>288</v>
      </c>
      <c r="H91" s="124">
        <f t="shared" si="5"/>
        <v>550872.90000000014</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15841346.030000001</v>
      </c>
      <c r="D104" s="86">
        <f>D63+D81+D91+D103</f>
        <v>322756.51</v>
      </c>
      <c r="E104" s="86">
        <f>E63+E81+E91+E103</f>
        <v>229285.31000000006</v>
      </c>
      <c r="F104" s="86">
        <f>F63+F81+F91+F103</f>
        <v>0</v>
      </c>
      <c r="G104" s="86">
        <f>G63+G81+G103</f>
        <v>47.81</v>
      </c>
      <c r="H104" s="86">
        <f t="shared" si="5"/>
        <v>16393435.660000002</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10356049.449999999</v>
      </c>
      <c r="D109" s="24" t="s">
        <v>288</v>
      </c>
      <c r="E109" s="95">
        <f>('DOE25'!L277)+('DOE25'!L296)+('DOE25'!L315)</f>
        <v>154764.17999999996</v>
      </c>
      <c r="F109" s="24" t="s">
        <v>288</v>
      </c>
      <c r="G109" s="24" t="s">
        <v>288</v>
      </c>
      <c r="H109" s="124">
        <f t="shared" ref="H109:H115" si="6">SUM(C109:G109)</f>
        <v>10510813.629999999</v>
      </c>
    </row>
    <row r="110" spans="1:8" x14ac:dyDescent="0.2">
      <c r="A110" t="s">
        <v>198</v>
      </c>
      <c r="B110" s="32" t="s">
        <v>199</v>
      </c>
      <c r="C110" s="95">
        <f>('DOE25'!L199)+('DOE25'!L217)+('DOE25'!L235)</f>
        <v>2044493.25</v>
      </c>
      <c r="D110" s="24" t="s">
        <v>288</v>
      </c>
      <c r="E110" s="95">
        <f>('DOE25'!L278)+('DOE25'!L297)+('DOE25'!L316)</f>
        <v>52723.579999999994</v>
      </c>
      <c r="F110" s="24" t="s">
        <v>288</v>
      </c>
      <c r="G110" s="24" t="s">
        <v>288</v>
      </c>
      <c r="H110" s="124">
        <f t="shared" si="6"/>
        <v>2097216.83</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57533.880000000005</v>
      </c>
      <c r="D112" s="24" t="s">
        <v>288</v>
      </c>
      <c r="E112" s="95">
        <f>+('DOE25'!L280)+('DOE25'!L299)+('DOE25'!L318)</f>
        <v>0</v>
      </c>
      <c r="F112" s="24" t="s">
        <v>288</v>
      </c>
      <c r="G112" s="24" t="s">
        <v>288</v>
      </c>
      <c r="H112" s="124">
        <f t="shared" si="6"/>
        <v>57533.880000000005</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12458076.58</v>
      </c>
      <c r="D115" s="86">
        <f>SUM(D109:D114)</f>
        <v>0</v>
      </c>
      <c r="E115" s="86">
        <f>SUM(E109:E114)</f>
        <v>207487.75999999995</v>
      </c>
      <c r="F115" s="86">
        <f>SUM(F109:F114)</f>
        <v>0</v>
      </c>
      <c r="G115" s="86">
        <f>SUM(G109:G114)</f>
        <v>0</v>
      </c>
      <c r="H115" s="86">
        <f t="shared" si="6"/>
        <v>12665564.34</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608479.97</v>
      </c>
      <c r="D118" s="24" t="s">
        <v>288</v>
      </c>
      <c r="E118" s="95">
        <f>+('DOE25'!L282)+('DOE25'!L301)+('DOE25'!L320)</f>
        <v>5956.25</v>
      </c>
      <c r="F118" s="24" t="s">
        <v>288</v>
      </c>
      <c r="G118" s="24" t="s">
        <v>288</v>
      </c>
      <c r="H118" s="124">
        <f t="shared" ref="H118:H145" si="7">SUM(C118:G118)</f>
        <v>614436.22</v>
      </c>
    </row>
    <row r="119" spans="1:8" x14ac:dyDescent="0.2">
      <c r="A119" t="s">
        <v>208</v>
      </c>
      <c r="B119" s="32" t="s">
        <v>209</v>
      </c>
      <c r="C119" s="95">
        <f>('DOE25'!L204)+('DOE25'!L222)+('DOE25'!L240)</f>
        <v>227612.5</v>
      </c>
      <c r="D119" s="24" t="s">
        <v>288</v>
      </c>
      <c r="E119" s="95">
        <f>+('DOE25'!L283)+('DOE25'!L302)+('DOE25'!L321)</f>
        <v>1872</v>
      </c>
      <c r="F119" s="24" t="s">
        <v>288</v>
      </c>
      <c r="G119" s="24" t="s">
        <v>288</v>
      </c>
      <c r="H119" s="124">
        <f t="shared" si="7"/>
        <v>229484.5</v>
      </c>
    </row>
    <row r="120" spans="1:8" x14ac:dyDescent="0.2">
      <c r="A120" t="s">
        <v>210</v>
      </c>
      <c r="B120" s="32" t="s">
        <v>211</v>
      </c>
      <c r="C120" s="95">
        <f>('DOE25'!L205)+('DOE25'!L223)+('DOE25'!L241)</f>
        <v>554872.1</v>
      </c>
      <c r="D120" s="24" t="s">
        <v>288</v>
      </c>
      <c r="E120" s="95">
        <f>+('DOE25'!L284)+('DOE25'!L303)+('DOE25'!L322)</f>
        <v>0</v>
      </c>
      <c r="F120" s="24" t="s">
        <v>288</v>
      </c>
      <c r="G120" s="24" t="s">
        <v>288</v>
      </c>
      <c r="H120" s="124">
        <f t="shared" si="7"/>
        <v>554872.1</v>
      </c>
    </row>
    <row r="121" spans="1:8" x14ac:dyDescent="0.2">
      <c r="A121" t="s">
        <v>212</v>
      </c>
      <c r="B121" s="32" t="s">
        <v>213</v>
      </c>
      <c r="C121" s="95">
        <f>('DOE25'!L206)+('DOE25'!L224)+('DOE25'!L242)</f>
        <v>513590.67000000004</v>
      </c>
      <c r="D121" s="24" t="s">
        <v>288</v>
      </c>
      <c r="E121" s="95">
        <f>+('DOE25'!L285)+('DOE25'!L304)+('DOE25'!L323)</f>
        <v>10469.300000000001</v>
      </c>
      <c r="F121" s="24" t="s">
        <v>288</v>
      </c>
      <c r="G121" s="24" t="s">
        <v>288</v>
      </c>
      <c r="H121" s="124">
        <f t="shared" si="7"/>
        <v>524059.97000000003</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506532.36</v>
      </c>
      <c r="D123" s="24" t="s">
        <v>288</v>
      </c>
      <c r="E123" s="95">
        <f>+('DOE25'!L287)+('DOE25'!L306)+('DOE25'!L325)</f>
        <v>3500</v>
      </c>
      <c r="F123" s="24" t="s">
        <v>288</v>
      </c>
      <c r="G123" s="24" t="s">
        <v>288</v>
      </c>
      <c r="H123" s="124">
        <f t="shared" si="7"/>
        <v>510032.36</v>
      </c>
    </row>
    <row r="124" spans="1:8" x14ac:dyDescent="0.2">
      <c r="A124" t="s">
        <v>218</v>
      </c>
      <c r="B124" s="32" t="s">
        <v>219</v>
      </c>
      <c r="C124" s="95">
        <f>('DOE25'!L209)+('DOE25'!L227)+('DOE25'!L245+'DOE25'!L255)</f>
        <v>739326.92999999982</v>
      </c>
      <c r="D124" s="24" t="s">
        <v>288</v>
      </c>
      <c r="E124" s="95">
        <f>+('DOE25'!L288)+('DOE25'!L307)+('DOE25'!L326)</f>
        <v>0</v>
      </c>
      <c r="F124" s="24" t="s">
        <v>288</v>
      </c>
      <c r="G124" s="24" t="s">
        <v>288</v>
      </c>
      <c r="H124" s="124">
        <f t="shared" si="7"/>
        <v>739326.92999999982</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229327.66</v>
      </c>
      <c r="E127" s="24" t="s">
        <v>288</v>
      </c>
      <c r="F127" s="24" t="s">
        <v>288</v>
      </c>
      <c r="G127" s="24" t="s">
        <v>288</v>
      </c>
      <c r="H127" s="124">
        <f t="shared" si="7"/>
        <v>229327.66</v>
      </c>
    </row>
    <row r="128" spans="1:8" ht="12.75" thickTop="1" thickBot="1" x14ac:dyDescent="0.25">
      <c r="A128" s="33" t="s">
        <v>226</v>
      </c>
      <c r="C128" s="86">
        <f>SUM(C118:C127)</f>
        <v>3150414.5299999993</v>
      </c>
      <c r="D128" s="86">
        <f>SUM(D118:D127)</f>
        <v>229327.66</v>
      </c>
      <c r="E128" s="86">
        <f>SUM(E118:E127)</f>
        <v>21797.550000000003</v>
      </c>
      <c r="F128" s="86">
        <f>SUM(F118:F127)</f>
        <v>0</v>
      </c>
      <c r="G128" s="86">
        <f>SUM(G118:G127)</f>
        <v>0</v>
      </c>
      <c r="H128" s="86">
        <f t="shared" si="7"/>
        <v>3401539.7399999993</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47.81</v>
      </c>
      <c r="D139" s="24" t="s">
        <v>288</v>
      </c>
      <c r="E139" s="24" t="s">
        <v>288</v>
      </c>
      <c r="F139" s="24" t="s">
        <v>288</v>
      </c>
      <c r="G139" s="24" t="s">
        <v>288</v>
      </c>
      <c r="H139" s="124">
        <f t="shared" si="7"/>
        <v>47.81</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-47.81</v>
      </c>
      <c r="D141" s="24" t="s">
        <v>288</v>
      </c>
      <c r="E141" s="24" t="s">
        <v>288</v>
      </c>
      <c r="F141" s="24" t="s">
        <v>288</v>
      </c>
      <c r="G141" s="24" t="s">
        <v>288</v>
      </c>
      <c r="H141" s="124">
        <f t="shared" si="7"/>
        <v>-47.81</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0</v>
      </c>
      <c r="D144" s="141">
        <f>SUM(D130:D143)</f>
        <v>0</v>
      </c>
      <c r="E144" s="141">
        <f>SUM(E130:E143)</f>
        <v>0</v>
      </c>
      <c r="F144" s="141">
        <f>SUM(F130:F143)</f>
        <v>0</v>
      </c>
      <c r="G144" s="141">
        <f>SUM(G130:G143)</f>
        <v>0</v>
      </c>
      <c r="H144" s="141">
        <f t="shared" si="7"/>
        <v>0</v>
      </c>
    </row>
    <row r="145" spans="1:9" ht="12.75" thickTop="1" thickBot="1" x14ac:dyDescent="0.25">
      <c r="A145" s="33" t="s">
        <v>244</v>
      </c>
      <c r="C145" s="86">
        <f>(C115+C128+C144)</f>
        <v>15608491.109999999</v>
      </c>
      <c r="D145" s="86">
        <f>(D115+D128+D144)</f>
        <v>229327.66</v>
      </c>
      <c r="E145" s="86">
        <f>(E115+E128+E144)</f>
        <v>229285.30999999994</v>
      </c>
      <c r="F145" s="86">
        <f>(F115+F128+F144)</f>
        <v>0</v>
      </c>
      <c r="G145" s="86">
        <f>(G115+G128+G144)</f>
        <v>0</v>
      </c>
      <c r="H145" s="86">
        <f t="shared" si="7"/>
        <v>16067104.08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R26" sqref="R25:R26"/>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7" t="s">
        <v>736</v>
      </c>
      <c r="B1" s="387"/>
      <c r="C1" s="387"/>
      <c r="D1" s="387"/>
    </row>
    <row r="2" spans="1:4" x14ac:dyDescent="0.2">
      <c r="A2" s="186" t="s">
        <v>713</v>
      </c>
      <c r="B2" s="185" t="str">
        <f>'DOE25'!A2</f>
        <v>New Boston</v>
      </c>
    </row>
    <row r="3" spans="1:4" x14ac:dyDescent="0.2">
      <c r="B3" s="187" t="s">
        <v>1799</v>
      </c>
    </row>
    <row r="4" spans="1:4" x14ac:dyDescent="0.2">
      <c r="B4" t="s">
        <v>61</v>
      </c>
      <c r="C4" s="178">
        <f>IF('DOE25'!F666+'DOE25'!F671=0,0,ROUND('DOE25'!F673,0))</f>
        <v>15615</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15615</v>
      </c>
    </row>
    <row r="9" spans="1:4" x14ac:dyDescent="0.2">
      <c r="A9" s="186" t="s">
        <v>94</v>
      </c>
      <c r="B9" s="187" t="s">
        <v>1800</v>
      </c>
      <c r="C9" s="180" t="s">
        <v>720</v>
      </c>
      <c r="D9" s="180" t="s">
        <v>721</v>
      </c>
    </row>
    <row r="10" spans="1:4" x14ac:dyDescent="0.2">
      <c r="A10">
        <v>1100</v>
      </c>
      <c r="B10" t="s">
        <v>702</v>
      </c>
      <c r="C10" s="178">
        <f>ROUND('DOE25'!L198+'DOE25'!L216+'DOE25'!L234+'DOE25'!L277+'DOE25'!L296+'DOE25'!L315,0)</f>
        <v>10510814</v>
      </c>
      <c r="D10" s="181">
        <f>ROUND((C10/$C$28)*100,1)</f>
        <v>65.400000000000006</v>
      </c>
    </row>
    <row r="11" spans="1:4" x14ac:dyDescent="0.2">
      <c r="A11">
        <v>1200</v>
      </c>
      <c r="B11" t="s">
        <v>703</v>
      </c>
      <c r="C11" s="178">
        <f>ROUND('DOE25'!L199+'DOE25'!L217+'DOE25'!L235+'DOE25'!L278+'DOE25'!L297+'DOE25'!L316,0)</f>
        <v>2097217</v>
      </c>
      <c r="D11" s="181">
        <f>ROUND((C11/$C$28)*100,1)</f>
        <v>13.1</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57534</v>
      </c>
      <c r="D13" s="181">
        <f>ROUND((C13/$C$28)*100,1)</f>
        <v>0.4</v>
      </c>
    </row>
    <row r="14" spans="1:4" x14ac:dyDescent="0.2">
      <c r="D14" s="181"/>
    </row>
    <row r="15" spans="1:4" x14ac:dyDescent="0.2">
      <c r="A15">
        <v>2100</v>
      </c>
      <c r="B15" t="s">
        <v>706</v>
      </c>
      <c r="C15" s="178">
        <f>ROUND('DOE25'!L203+'DOE25'!L221+'DOE25'!L239+'DOE25'!L282+'DOE25'!L301+'DOE25'!L320,0)</f>
        <v>614436</v>
      </c>
      <c r="D15" s="181">
        <f t="shared" ref="D15:D27" si="0">ROUND((C15/$C$28)*100,1)</f>
        <v>3.8</v>
      </c>
    </row>
    <row r="16" spans="1:4" x14ac:dyDescent="0.2">
      <c r="A16">
        <v>2200</v>
      </c>
      <c r="B16" t="s">
        <v>707</v>
      </c>
      <c r="C16" s="178">
        <f>ROUND('DOE25'!L204+'DOE25'!L222+'DOE25'!L240+'DOE25'!L283+'DOE25'!L302+'DOE25'!L321,0)</f>
        <v>229485</v>
      </c>
      <c r="D16" s="181">
        <f t="shared" si="0"/>
        <v>1.4</v>
      </c>
    </row>
    <row r="17" spans="1:4" x14ac:dyDescent="0.2">
      <c r="A17" s="182" t="s">
        <v>723</v>
      </c>
      <c r="B17" t="s">
        <v>738</v>
      </c>
      <c r="C17" s="178">
        <f>ROUND('DOE25'!L205+'DOE25'!L210+'DOE25'!L223+'DOE25'!L228+'DOE25'!L241+'DOE25'!L246+'DOE25'!L284+'DOE25'!L289+'DOE25'!L303+'DOE25'!L308+'DOE25'!L322+'DOE25'!L327,0)</f>
        <v>554872</v>
      </c>
      <c r="D17" s="181">
        <f t="shared" si="0"/>
        <v>3.5</v>
      </c>
    </row>
    <row r="18" spans="1:4" x14ac:dyDescent="0.2">
      <c r="A18">
        <v>2400</v>
      </c>
      <c r="B18" t="s">
        <v>711</v>
      </c>
      <c r="C18" s="178">
        <f>ROUND('DOE25'!L206+'DOE25'!L224+'DOE25'!L242+'DOE25'!L285+'DOE25'!L304+'DOE25'!L323,0)</f>
        <v>524060</v>
      </c>
      <c r="D18" s="181">
        <f t="shared" si="0"/>
        <v>3.3</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510032</v>
      </c>
      <c r="D20" s="181">
        <f t="shared" si="0"/>
        <v>3.2</v>
      </c>
    </row>
    <row r="21" spans="1:4" x14ac:dyDescent="0.2">
      <c r="A21">
        <v>2700</v>
      </c>
      <c r="B21" t="s">
        <v>710</v>
      </c>
      <c r="C21" s="178">
        <f>ROUND('DOE25'!L209+'DOE25'!L227+'DOE25'!L245+'DOE25'!L288+'DOE25'!L307+'DOE25'!L326,0)</f>
        <v>739327</v>
      </c>
      <c r="D21" s="181">
        <f t="shared" si="0"/>
        <v>4.5999999999999996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228839.33</v>
      </c>
      <c r="D27" s="181">
        <f t="shared" si="0"/>
        <v>1.4</v>
      </c>
    </row>
    <row r="28" spans="1:4" x14ac:dyDescent="0.2">
      <c r="B28" s="186" t="s">
        <v>719</v>
      </c>
      <c r="C28" s="179">
        <f>SUM(C10:C27)</f>
        <v>16066616.33</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16066616.33</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11199668</v>
      </c>
      <c r="D35" s="181">
        <f t="shared" ref="D35:D40" si="1">ROUND((C35/$C$41)*100,1)</f>
        <v>68.3</v>
      </c>
    </row>
    <row r="36" spans="1:4" x14ac:dyDescent="0.2">
      <c r="B36" s="184" t="s">
        <v>739</v>
      </c>
      <c r="C36" s="178">
        <f>SUM('DOE25'!F112:J112)-SUM('DOE25'!G97:G110)+('DOE25'!F175+'DOE25'!F176+'DOE25'!I175+'DOE25'!I176)-C35</f>
        <v>108658.98000000045</v>
      </c>
      <c r="D36" s="181">
        <f t="shared" si="1"/>
        <v>0.7</v>
      </c>
    </row>
    <row r="37" spans="1:4" x14ac:dyDescent="0.2">
      <c r="A37" s="182" t="s">
        <v>835</v>
      </c>
      <c r="B37" s="184" t="s">
        <v>728</v>
      </c>
      <c r="C37" s="178">
        <f>ROUND('DOE25'!F117+'DOE25'!F118,0)</f>
        <v>4497031</v>
      </c>
      <c r="D37" s="181">
        <f t="shared" si="1"/>
        <v>27.4</v>
      </c>
    </row>
    <row r="38" spans="1:4" x14ac:dyDescent="0.2">
      <c r="A38" s="182" t="s">
        <v>734</v>
      </c>
      <c r="B38" s="184" t="s">
        <v>729</v>
      </c>
      <c r="C38" s="178">
        <f>ROUND(SUM('DOE25'!F140:J140)-SUM('DOE25'!F117:F119),0)</f>
        <v>36716</v>
      </c>
      <c r="D38" s="181">
        <f t="shared" si="1"/>
        <v>0.2</v>
      </c>
    </row>
    <row r="39" spans="1:4" x14ac:dyDescent="0.2">
      <c r="A39">
        <v>4000</v>
      </c>
      <c r="B39" s="184" t="s">
        <v>730</v>
      </c>
      <c r="C39" s="178">
        <f>ROUND('DOE25'!F170+'DOE25'!G170+'DOE25'!H170+'DOE25'!I170,0)</f>
        <v>550873</v>
      </c>
      <c r="D39" s="181">
        <f t="shared" si="1"/>
        <v>3.4</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16392946.98</v>
      </c>
      <c r="D41" s="183">
        <f>SUM(D35:D40)</f>
        <v>100.00000000000001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8" t="s">
        <v>766</v>
      </c>
      <c r="B1" s="399"/>
      <c r="C1" s="399"/>
      <c r="D1" s="399"/>
      <c r="E1" s="399"/>
      <c r="F1" s="399"/>
      <c r="G1" s="399"/>
      <c r="H1" s="399"/>
      <c r="I1" s="399"/>
      <c r="J1" s="212"/>
      <c r="K1" s="212"/>
      <c r="L1" s="212"/>
      <c r="M1" s="213"/>
    </row>
    <row r="2" spans="1:26" ht="12.75" x14ac:dyDescent="0.2">
      <c r="A2" s="404" t="s">
        <v>763</v>
      </c>
      <c r="B2" s="405"/>
      <c r="C2" s="405"/>
      <c r="D2" s="405"/>
      <c r="E2" s="405"/>
      <c r="F2" s="402" t="str">
        <f>'DOE25'!A2</f>
        <v>New Boston</v>
      </c>
      <c r="G2" s="403"/>
      <c r="H2" s="403"/>
      <c r="I2" s="403"/>
      <c r="J2" s="52"/>
      <c r="K2" s="52"/>
      <c r="L2" s="52"/>
      <c r="M2" s="214"/>
    </row>
    <row r="3" spans="1:26" x14ac:dyDescent="0.2">
      <c r="A3" s="215" t="s">
        <v>764</v>
      </c>
      <c r="B3" s="216" t="s">
        <v>765</v>
      </c>
      <c r="C3" s="400" t="s">
        <v>767</v>
      </c>
      <c r="D3" s="400"/>
      <c r="E3" s="400"/>
      <c r="F3" s="400"/>
      <c r="G3" s="400"/>
      <c r="H3" s="400"/>
      <c r="I3" s="400"/>
      <c r="J3" s="400"/>
      <c r="K3" s="400"/>
      <c r="L3" s="400"/>
      <c r="M3" s="401"/>
    </row>
    <row r="4" spans="1:26" x14ac:dyDescent="0.2">
      <c r="A4" s="217"/>
      <c r="B4" s="218"/>
      <c r="C4" s="389"/>
      <c r="D4" s="389"/>
      <c r="E4" s="389"/>
      <c r="F4" s="389"/>
      <c r="G4" s="389"/>
      <c r="H4" s="389"/>
      <c r="I4" s="389"/>
      <c r="J4" s="389"/>
      <c r="K4" s="389"/>
      <c r="L4" s="389"/>
      <c r="M4" s="390"/>
      <c r="N4" s="126"/>
      <c r="O4" s="126"/>
      <c r="P4" s="126"/>
      <c r="Q4" s="126"/>
      <c r="R4" s="126"/>
      <c r="S4" s="126"/>
      <c r="T4" s="126"/>
      <c r="U4" s="126"/>
      <c r="V4" s="126"/>
      <c r="W4" s="126"/>
      <c r="X4" s="126"/>
      <c r="Y4" s="126"/>
      <c r="Z4" s="126"/>
    </row>
    <row r="5" spans="1:26" x14ac:dyDescent="0.2">
      <c r="A5" s="217"/>
      <c r="B5" s="218"/>
      <c r="C5" s="389"/>
      <c r="D5" s="389"/>
      <c r="E5" s="389"/>
      <c r="F5" s="389"/>
      <c r="G5" s="389"/>
      <c r="H5" s="389"/>
      <c r="I5" s="389"/>
      <c r="J5" s="389"/>
      <c r="K5" s="389"/>
      <c r="L5" s="389"/>
      <c r="M5" s="390"/>
      <c r="N5" s="126"/>
      <c r="O5" s="126"/>
      <c r="P5" s="126"/>
      <c r="Q5" s="126"/>
      <c r="R5" s="126"/>
      <c r="S5" s="126"/>
      <c r="T5" s="126"/>
      <c r="U5" s="126"/>
      <c r="V5" s="126"/>
      <c r="W5" s="126"/>
      <c r="X5" s="126"/>
      <c r="Y5" s="126"/>
      <c r="Z5" s="126"/>
    </row>
    <row r="6" spans="1:26" x14ac:dyDescent="0.2">
      <c r="A6" s="217"/>
      <c r="B6" s="218"/>
      <c r="C6" s="389"/>
      <c r="D6" s="389"/>
      <c r="E6" s="389"/>
      <c r="F6" s="389"/>
      <c r="G6" s="389"/>
      <c r="H6" s="389"/>
      <c r="I6" s="389"/>
      <c r="J6" s="389"/>
      <c r="K6" s="389"/>
      <c r="L6" s="389"/>
      <c r="M6" s="390"/>
      <c r="N6" s="126"/>
      <c r="O6" s="126"/>
      <c r="P6" s="126"/>
      <c r="Q6" s="126"/>
      <c r="R6" s="126"/>
      <c r="S6" s="126"/>
      <c r="T6" s="126"/>
      <c r="U6" s="126"/>
      <c r="V6" s="126"/>
      <c r="W6" s="126"/>
      <c r="X6" s="126"/>
      <c r="Y6" s="126"/>
      <c r="Z6" s="126"/>
    </row>
    <row r="7" spans="1:26" x14ac:dyDescent="0.2">
      <c r="A7" s="217"/>
      <c r="B7" s="218"/>
      <c r="C7" s="389"/>
      <c r="D7" s="389"/>
      <c r="E7" s="389"/>
      <c r="F7" s="389"/>
      <c r="G7" s="389"/>
      <c r="H7" s="389"/>
      <c r="I7" s="389"/>
      <c r="J7" s="389"/>
      <c r="K7" s="389"/>
      <c r="L7" s="389"/>
      <c r="M7" s="390"/>
      <c r="N7" s="126"/>
      <c r="O7" s="126"/>
      <c r="P7" s="126"/>
      <c r="Q7" s="126"/>
      <c r="R7" s="126"/>
      <c r="S7" s="126"/>
      <c r="T7" s="126"/>
      <c r="U7" s="126"/>
      <c r="V7" s="126"/>
      <c r="W7" s="126"/>
      <c r="X7" s="126"/>
      <c r="Y7" s="126"/>
      <c r="Z7" s="126"/>
    </row>
    <row r="8" spans="1:26" x14ac:dyDescent="0.2">
      <c r="A8" s="217"/>
      <c r="B8" s="218"/>
      <c r="C8" s="389"/>
      <c r="D8" s="389"/>
      <c r="E8" s="389"/>
      <c r="F8" s="389"/>
      <c r="G8" s="389"/>
      <c r="H8" s="389"/>
      <c r="I8" s="389"/>
      <c r="J8" s="389"/>
      <c r="K8" s="389"/>
      <c r="L8" s="389"/>
      <c r="M8" s="390"/>
      <c r="N8" s="126"/>
      <c r="O8" s="126"/>
      <c r="P8" s="126"/>
      <c r="Q8" s="126"/>
      <c r="R8" s="126"/>
      <c r="S8" s="126"/>
      <c r="T8" s="126"/>
      <c r="U8" s="126"/>
      <c r="V8" s="126"/>
      <c r="W8" s="126"/>
      <c r="X8" s="126"/>
      <c r="Y8" s="126"/>
      <c r="Z8" s="126"/>
    </row>
    <row r="9" spans="1:26" x14ac:dyDescent="0.2">
      <c r="A9" s="217"/>
      <c r="B9" s="218"/>
      <c r="C9" s="389"/>
      <c r="D9" s="389"/>
      <c r="E9" s="389"/>
      <c r="F9" s="389"/>
      <c r="G9" s="389"/>
      <c r="H9" s="389"/>
      <c r="I9" s="389"/>
      <c r="J9" s="389"/>
      <c r="K9" s="389"/>
      <c r="L9" s="389"/>
      <c r="M9" s="390"/>
      <c r="N9" s="126"/>
      <c r="O9" s="126"/>
      <c r="P9" s="126"/>
      <c r="Q9" s="126"/>
      <c r="R9" s="126"/>
      <c r="S9" s="126"/>
      <c r="T9" s="126"/>
      <c r="U9" s="126"/>
      <c r="V9" s="126"/>
      <c r="W9" s="126"/>
      <c r="X9" s="126"/>
      <c r="Y9" s="126"/>
      <c r="Z9" s="126"/>
    </row>
    <row r="10" spans="1:26" x14ac:dyDescent="0.2">
      <c r="A10" s="217"/>
      <c r="B10" s="218"/>
      <c r="C10" s="389"/>
      <c r="D10" s="389"/>
      <c r="E10" s="389"/>
      <c r="F10" s="389"/>
      <c r="G10" s="389"/>
      <c r="H10" s="389"/>
      <c r="I10" s="389"/>
      <c r="J10" s="389"/>
      <c r="K10" s="389"/>
      <c r="L10" s="389"/>
      <c r="M10" s="390"/>
      <c r="N10" s="126"/>
      <c r="O10" s="126"/>
      <c r="P10" s="126"/>
      <c r="Q10" s="126"/>
      <c r="R10" s="126"/>
      <c r="S10" s="126"/>
      <c r="T10" s="126"/>
      <c r="U10" s="126"/>
      <c r="V10" s="126"/>
      <c r="W10" s="126"/>
      <c r="X10" s="126"/>
      <c r="Y10" s="126"/>
      <c r="Z10" s="126"/>
    </row>
    <row r="11" spans="1:26" x14ac:dyDescent="0.2">
      <c r="A11" s="217"/>
      <c r="B11" s="218"/>
      <c r="C11" s="389"/>
      <c r="D11" s="389"/>
      <c r="E11" s="389"/>
      <c r="F11" s="389"/>
      <c r="G11" s="389"/>
      <c r="H11" s="389"/>
      <c r="I11" s="389"/>
      <c r="J11" s="389"/>
      <c r="K11" s="389"/>
      <c r="L11" s="389"/>
      <c r="M11" s="390"/>
      <c r="N11" s="126"/>
      <c r="O11" s="126"/>
      <c r="P11" s="126"/>
      <c r="Q11" s="126"/>
      <c r="R11" s="126"/>
      <c r="S11" s="126"/>
      <c r="T11" s="126"/>
      <c r="U11" s="126"/>
      <c r="V11" s="126"/>
      <c r="W11" s="126"/>
      <c r="X11" s="126"/>
      <c r="Y11" s="126"/>
      <c r="Z11" s="126"/>
    </row>
    <row r="12" spans="1:26" x14ac:dyDescent="0.2">
      <c r="A12" s="217"/>
      <c r="B12" s="218"/>
      <c r="C12" s="389"/>
      <c r="D12" s="389"/>
      <c r="E12" s="389"/>
      <c r="F12" s="389"/>
      <c r="G12" s="389"/>
      <c r="H12" s="389"/>
      <c r="I12" s="389"/>
      <c r="J12" s="389"/>
      <c r="K12" s="389"/>
      <c r="L12" s="389"/>
      <c r="M12" s="390"/>
      <c r="N12" s="126"/>
      <c r="O12" s="126"/>
      <c r="P12" s="126"/>
      <c r="Q12" s="126"/>
      <c r="R12" s="126"/>
      <c r="S12" s="126"/>
      <c r="T12" s="126"/>
      <c r="U12" s="126"/>
      <c r="V12" s="126"/>
      <c r="W12" s="126"/>
      <c r="X12" s="126"/>
      <c r="Y12" s="126"/>
      <c r="Z12" s="126"/>
    </row>
    <row r="13" spans="1:26" x14ac:dyDescent="0.2">
      <c r="A13" s="217"/>
      <c r="B13" s="218"/>
      <c r="C13" s="389"/>
      <c r="D13" s="389"/>
      <c r="E13" s="389"/>
      <c r="F13" s="389"/>
      <c r="G13" s="389"/>
      <c r="H13" s="389"/>
      <c r="I13" s="389"/>
      <c r="J13" s="389"/>
      <c r="K13" s="389"/>
      <c r="L13" s="389"/>
      <c r="M13" s="390"/>
      <c r="N13" s="126"/>
      <c r="O13" s="126"/>
      <c r="P13" s="126"/>
      <c r="Q13" s="126"/>
      <c r="R13" s="126"/>
      <c r="S13" s="126"/>
      <c r="T13" s="126"/>
      <c r="U13" s="126"/>
      <c r="V13" s="126"/>
      <c r="W13" s="126"/>
      <c r="X13" s="126"/>
      <c r="Y13" s="126"/>
      <c r="Z13" s="126"/>
    </row>
    <row r="14" spans="1:26" x14ac:dyDescent="0.2">
      <c r="A14" s="217"/>
      <c r="B14" s="218"/>
      <c r="C14" s="389"/>
      <c r="D14" s="389"/>
      <c r="E14" s="389"/>
      <c r="F14" s="389"/>
      <c r="G14" s="389"/>
      <c r="H14" s="389"/>
      <c r="I14" s="389"/>
      <c r="J14" s="389"/>
      <c r="K14" s="389"/>
      <c r="L14" s="389"/>
      <c r="M14" s="390"/>
      <c r="N14" s="126"/>
      <c r="O14" s="126"/>
      <c r="P14" s="126"/>
      <c r="Q14" s="126"/>
      <c r="R14" s="126"/>
      <c r="S14" s="126"/>
      <c r="T14" s="126"/>
      <c r="U14" s="126"/>
      <c r="V14" s="126"/>
      <c r="W14" s="126"/>
      <c r="X14" s="126"/>
      <c r="Y14" s="126"/>
      <c r="Z14" s="126"/>
    </row>
    <row r="15" spans="1:26" x14ac:dyDescent="0.2">
      <c r="A15" s="217"/>
      <c r="B15" s="218"/>
      <c r="C15" s="389"/>
      <c r="D15" s="389"/>
      <c r="E15" s="389"/>
      <c r="F15" s="389"/>
      <c r="G15" s="389"/>
      <c r="H15" s="389"/>
      <c r="I15" s="389"/>
      <c r="J15" s="389"/>
      <c r="K15" s="389"/>
      <c r="L15" s="389"/>
      <c r="M15" s="390"/>
      <c r="N15" s="126"/>
      <c r="O15" s="126"/>
      <c r="P15" s="126"/>
      <c r="Q15" s="126"/>
      <c r="R15" s="126"/>
      <c r="S15" s="126"/>
      <c r="T15" s="126"/>
      <c r="U15" s="126"/>
      <c r="V15" s="126"/>
      <c r="W15" s="126"/>
      <c r="X15" s="126"/>
      <c r="Y15" s="126"/>
      <c r="Z15" s="126"/>
    </row>
    <row r="16" spans="1:26" x14ac:dyDescent="0.2">
      <c r="A16" s="217"/>
      <c r="B16" s="218"/>
      <c r="C16" s="389"/>
      <c r="D16" s="389"/>
      <c r="E16" s="389"/>
      <c r="F16" s="389"/>
      <c r="G16" s="389"/>
      <c r="H16" s="389"/>
      <c r="I16" s="389"/>
      <c r="J16" s="389"/>
      <c r="K16" s="389"/>
      <c r="L16" s="389"/>
      <c r="M16" s="390"/>
      <c r="N16" s="126"/>
      <c r="O16" s="126"/>
      <c r="P16" s="126"/>
      <c r="Q16" s="126"/>
      <c r="R16" s="126"/>
      <c r="S16" s="126"/>
      <c r="T16" s="126"/>
      <c r="U16" s="126"/>
      <c r="V16" s="126"/>
      <c r="W16" s="126"/>
      <c r="X16" s="126"/>
      <c r="Y16" s="126"/>
      <c r="Z16" s="126"/>
    </row>
    <row r="17" spans="1:256" x14ac:dyDescent="0.2">
      <c r="A17" s="217"/>
      <c r="B17" s="218"/>
      <c r="C17" s="389"/>
      <c r="D17" s="389"/>
      <c r="E17" s="389"/>
      <c r="F17" s="389"/>
      <c r="G17" s="389"/>
      <c r="H17" s="389"/>
      <c r="I17" s="389"/>
      <c r="J17" s="389"/>
      <c r="K17" s="389"/>
      <c r="L17" s="389"/>
      <c r="M17" s="390"/>
      <c r="N17" s="126"/>
      <c r="O17" s="126"/>
      <c r="P17" s="126"/>
      <c r="Q17" s="126"/>
      <c r="R17" s="126"/>
      <c r="S17" s="126"/>
      <c r="T17" s="126"/>
      <c r="U17" s="126"/>
      <c r="V17" s="126"/>
      <c r="W17" s="126"/>
      <c r="X17" s="126"/>
      <c r="Y17" s="126"/>
      <c r="Z17" s="126"/>
    </row>
    <row r="18" spans="1:256" x14ac:dyDescent="0.2">
      <c r="A18" s="217"/>
      <c r="B18" s="218"/>
      <c r="C18" s="389"/>
      <c r="D18" s="389"/>
      <c r="E18" s="389"/>
      <c r="F18" s="389"/>
      <c r="G18" s="389"/>
      <c r="H18" s="389"/>
      <c r="I18" s="389"/>
      <c r="J18" s="389"/>
      <c r="K18" s="389"/>
      <c r="L18" s="389"/>
      <c r="M18" s="390"/>
      <c r="N18" s="126"/>
      <c r="O18" s="126"/>
      <c r="P18" s="126"/>
      <c r="Q18" s="126"/>
      <c r="R18" s="126"/>
      <c r="S18" s="126"/>
      <c r="T18" s="126"/>
      <c r="U18" s="126"/>
      <c r="V18" s="126"/>
      <c r="W18" s="126"/>
      <c r="X18" s="126"/>
      <c r="Y18" s="126"/>
      <c r="Z18" s="126"/>
    </row>
    <row r="19" spans="1:256" x14ac:dyDescent="0.2">
      <c r="A19" s="217"/>
      <c r="B19" s="218"/>
      <c r="C19" s="389"/>
      <c r="D19" s="389"/>
      <c r="E19" s="389"/>
      <c r="F19" s="389"/>
      <c r="G19" s="389"/>
      <c r="H19" s="389"/>
      <c r="I19" s="389"/>
      <c r="J19" s="389"/>
      <c r="K19" s="389"/>
      <c r="L19" s="389"/>
      <c r="M19" s="390"/>
      <c r="N19" s="126"/>
      <c r="O19" s="126"/>
      <c r="P19" s="126"/>
      <c r="Q19" s="126"/>
      <c r="R19" s="126"/>
      <c r="S19" s="126"/>
      <c r="T19" s="126"/>
      <c r="U19" s="126"/>
      <c r="V19" s="126"/>
      <c r="W19" s="126"/>
      <c r="X19" s="126"/>
      <c r="Y19" s="126"/>
      <c r="Z19" s="126"/>
    </row>
    <row r="20" spans="1:256" x14ac:dyDescent="0.2">
      <c r="A20" s="217"/>
      <c r="B20" s="218"/>
      <c r="C20" s="389"/>
      <c r="D20" s="389"/>
      <c r="E20" s="389"/>
      <c r="F20" s="389"/>
      <c r="G20" s="389"/>
      <c r="H20" s="389"/>
      <c r="I20" s="389"/>
      <c r="J20" s="389"/>
      <c r="K20" s="389"/>
      <c r="L20" s="389"/>
      <c r="M20" s="390"/>
      <c r="N20" s="126"/>
      <c r="O20" s="126"/>
      <c r="P20" s="126"/>
      <c r="Q20" s="126"/>
      <c r="R20" s="126"/>
      <c r="S20" s="126"/>
      <c r="T20" s="126"/>
      <c r="U20" s="126"/>
      <c r="V20" s="126"/>
      <c r="W20" s="126"/>
      <c r="X20" s="126"/>
      <c r="Y20" s="126"/>
      <c r="Z20" s="126"/>
    </row>
    <row r="21" spans="1:256" x14ac:dyDescent="0.2">
      <c r="A21" s="217"/>
      <c r="B21" s="218"/>
      <c r="C21" s="389"/>
      <c r="D21" s="389"/>
      <c r="E21" s="389"/>
      <c r="F21" s="389"/>
      <c r="G21" s="389"/>
      <c r="H21" s="389"/>
      <c r="I21" s="389"/>
      <c r="J21" s="389"/>
      <c r="K21" s="389"/>
      <c r="L21" s="389"/>
      <c r="M21" s="390"/>
      <c r="N21" s="126"/>
      <c r="O21" s="126"/>
      <c r="P21" s="126"/>
      <c r="Q21" s="126"/>
      <c r="R21" s="126"/>
      <c r="S21" s="126"/>
      <c r="T21" s="126"/>
      <c r="U21" s="126"/>
      <c r="V21" s="126"/>
      <c r="W21" s="126"/>
      <c r="X21" s="126"/>
      <c r="Y21" s="126"/>
      <c r="Z21" s="126"/>
    </row>
    <row r="22" spans="1:256" x14ac:dyDescent="0.2">
      <c r="A22" s="217"/>
      <c r="B22" s="218"/>
      <c r="C22" s="389"/>
      <c r="D22" s="389"/>
      <c r="E22" s="389"/>
      <c r="F22" s="389"/>
      <c r="G22" s="389"/>
      <c r="H22" s="389"/>
      <c r="I22" s="389"/>
      <c r="J22" s="389"/>
      <c r="K22" s="389"/>
      <c r="L22" s="389"/>
      <c r="M22" s="390"/>
      <c r="N22" s="126"/>
      <c r="O22" s="126"/>
      <c r="P22" s="126"/>
      <c r="Q22" s="126"/>
      <c r="R22" s="126"/>
      <c r="S22" s="126"/>
      <c r="T22" s="126"/>
      <c r="U22" s="126"/>
      <c r="V22" s="126"/>
      <c r="W22" s="126"/>
      <c r="X22" s="126"/>
      <c r="Y22" s="126"/>
      <c r="Z22" s="126"/>
    </row>
    <row r="23" spans="1:256" x14ac:dyDescent="0.2">
      <c r="A23" s="217"/>
      <c r="B23" s="218"/>
      <c r="C23" s="389"/>
      <c r="D23" s="389"/>
      <c r="E23" s="389"/>
      <c r="F23" s="389"/>
      <c r="G23" s="389"/>
      <c r="H23" s="389"/>
      <c r="I23" s="389"/>
      <c r="J23" s="389"/>
      <c r="K23" s="389"/>
      <c r="L23" s="389"/>
      <c r="M23" s="390"/>
      <c r="N23" s="126"/>
      <c r="O23" s="126"/>
      <c r="P23" s="126"/>
      <c r="Q23" s="126"/>
      <c r="R23" s="126"/>
      <c r="S23" s="126"/>
      <c r="T23" s="126"/>
      <c r="U23" s="126"/>
      <c r="V23" s="126"/>
      <c r="W23" s="126"/>
      <c r="X23" s="126"/>
      <c r="Y23" s="126"/>
      <c r="Z23" s="126"/>
    </row>
    <row r="24" spans="1:256" x14ac:dyDescent="0.2">
      <c r="A24" s="217"/>
      <c r="B24" s="218"/>
      <c r="C24" s="389"/>
      <c r="D24" s="389"/>
      <c r="E24" s="389"/>
      <c r="F24" s="389"/>
      <c r="G24" s="389"/>
      <c r="H24" s="389"/>
      <c r="I24" s="389"/>
      <c r="J24" s="389"/>
      <c r="K24" s="389"/>
      <c r="L24" s="389"/>
      <c r="M24" s="390"/>
      <c r="N24" s="126"/>
      <c r="O24" s="126"/>
      <c r="P24" s="126"/>
      <c r="Q24" s="126"/>
      <c r="R24" s="126"/>
      <c r="S24" s="126"/>
      <c r="T24" s="126"/>
      <c r="U24" s="126"/>
      <c r="V24" s="126"/>
      <c r="W24" s="126"/>
      <c r="X24" s="126"/>
      <c r="Y24" s="126"/>
      <c r="Z24" s="126"/>
    </row>
    <row r="25" spans="1:256" x14ac:dyDescent="0.2">
      <c r="A25" s="217"/>
      <c r="B25" s="218"/>
      <c r="C25" s="389"/>
      <c r="D25" s="389"/>
      <c r="E25" s="389"/>
      <c r="F25" s="389"/>
      <c r="G25" s="389"/>
      <c r="H25" s="389"/>
      <c r="I25" s="389"/>
      <c r="J25" s="389"/>
      <c r="K25" s="389"/>
      <c r="L25" s="389"/>
      <c r="M25" s="390"/>
      <c r="N25" s="126"/>
      <c r="O25" s="126"/>
      <c r="P25" s="126"/>
      <c r="Q25" s="126"/>
      <c r="R25" s="126"/>
      <c r="S25" s="126"/>
      <c r="T25" s="126"/>
      <c r="U25" s="126"/>
      <c r="V25" s="126"/>
      <c r="W25" s="126"/>
      <c r="X25" s="126"/>
      <c r="Y25" s="126"/>
      <c r="Z25" s="126"/>
    </row>
    <row r="26" spans="1:256" x14ac:dyDescent="0.2">
      <c r="A26" s="217"/>
      <c r="B26" s="218"/>
      <c r="C26" s="389"/>
      <c r="D26" s="389"/>
      <c r="E26" s="389"/>
      <c r="F26" s="389"/>
      <c r="G26" s="389"/>
      <c r="H26" s="389"/>
      <c r="I26" s="389"/>
      <c r="J26" s="389"/>
      <c r="K26" s="389"/>
      <c r="L26" s="389"/>
      <c r="M26" s="390"/>
      <c r="N26" s="126"/>
      <c r="O26" s="126"/>
      <c r="P26" s="126"/>
      <c r="Q26" s="126"/>
      <c r="R26" s="126"/>
      <c r="S26" s="126"/>
      <c r="T26" s="126"/>
      <c r="U26" s="126"/>
      <c r="V26" s="126"/>
      <c r="W26" s="126"/>
      <c r="X26" s="126"/>
      <c r="Y26" s="126"/>
      <c r="Z26" s="126"/>
    </row>
    <row r="27" spans="1:256" x14ac:dyDescent="0.2">
      <c r="A27" s="217"/>
      <c r="B27" s="218"/>
      <c r="C27" s="389"/>
      <c r="D27" s="389"/>
      <c r="E27" s="389"/>
      <c r="F27" s="389"/>
      <c r="G27" s="389"/>
      <c r="H27" s="389"/>
      <c r="I27" s="389"/>
      <c r="J27" s="389"/>
      <c r="K27" s="389"/>
      <c r="L27" s="389"/>
      <c r="M27" s="390"/>
      <c r="N27" s="126"/>
      <c r="O27" s="126"/>
      <c r="P27" s="126"/>
      <c r="Q27" s="126"/>
      <c r="R27" s="126"/>
      <c r="S27" s="126"/>
      <c r="T27" s="126"/>
      <c r="U27" s="126"/>
      <c r="V27" s="126"/>
      <c r="W27" s="126"/>
      <c r="X27" s="126"/>
      <c r="Y27" s="126"/>
      <c r="Z27" s="126"/>
    </row>
    <row r="28" spans="1:256" x14ac:dyDescent="0.2">
      <c r="A28" s="217"/>
      <c r="B28" s="218"/>
      <c r="C28" s="389"/>
      <c r="D28" s="389"/>
      <c r="E28" s="389"/>
      <c r="F28" s="389"/>
      <c r="G28" s="389"/>
      <c r="H28" s="389"/>
      <c r="I28" s="389"/>
      <c r="J28" s="389"/>
      <c r="K28" s="389"/>
      <c r="L28" s="389"/>
      <c r="M28" s="390"/>
      <c r="N28" s="126"/>
      <c r="O28" s="126"/>
      <c r="P28" s="126"/>
      <c r="Q28" s="126"/>
      <c r="R28" s="126"/>
      <c r="S28" s="126"/>
      <c r="T28" s="126"/>
      <c r="U28" s="126"/>
      <c r="V28" s="126"/>
      <c r="W28" s="126"/>
      <c r="X28" s="126"/>
      <c r="Y28" s="126"/>
      <c r="Z28" s="126"/>
    </row>
    <row r="29" spans="1:256" x14ac:dyDescent="0.2">
      <c r="A29" s="217"/>
      <c r="B29" s="218"/>
      <c r="C29" s="389"/>
      <c r="D29" s="389"/>
      <c r="E29" s="389"/>
      <c r="F29" s="389"/>
      <c r="G29" s="389"/>
      <c r="H29" s="389"/>
      <c r="I29" s="389"/>
      <c r="J29" s="389"/>
      <c r="K29" s="389"/>
      <c r="L29" s="389"/>
      <c r="M29" s="390"/>
      <c r="N29" s="210"/>
      <c r="O29" s="210"/>
      <c r="P29" s="395"/>
      <c r="Q29" s="395"/>
      <c r="R29" s="395"/>
      <c r="S29" s="395"/>
      <c r="T29" s="395"/>
      <c r="U29" s="395"/>
      <c r="V29" s="395"/>
      <c r="W29" s="395"/>
      <c r="X29" s="395"/>
      <c r="Y29" s="395"/>
      <c r="Z29" s="395"/>
      <c r="AA29" s="206"/>
      <c r="AB29" s="206"/>
      <c r="AC29" s="394"/>
      <c r="AD29" s="394"/>
      <c r="AE29" s="394"/>
      <c r="AF29" s="394"/>
      <c r="AG29" s="394"/>
      <c r="AH29" s="394"/>
      <c r="AI29" s="394"/>
      <c r="AJ29" s="394"/>
      <c r="AK29" s="394"/>
      <c r="AL29" s="394"/>
      <c r="AM29" s="394"/>
      <c r="AN29" s="206"/>
      <c r="AO29" s="206"/>
      <c r="AP29" s="394"/>
      <c r="AQ29" s="394"/>
      <c r="AR29" s="394"/>
      <c r="AS29" s="394"/>
      <c r="AT29" s="394"/>
      <c r="AU29" s="394"/>
      <c r="AV29" s="394"/>
      <c r="AW29" s="394"/>
      <c r="AX29" s="394"/>
      <c r="AY29" s="394"/>
      <c r="AZ29" s="394"/>
      <c r="BA29" s="206"/>
      <c r="BB29" s="206"/>
      <c r="BC29" s="394"/>
      <c r="BD29" s="394"/>
      <c r="BE29" s="394"/>
      <c r="BF29" s="394"/>
      <c r="BG29" s="394"/>
      <c r="BH29" s="394"/>
      <c r="BI29" s="394"/>
      <c r="BJ29" s="394"/>
      <c r="BK29" s="394"/>
      <c r="BL29" s="394"/>
      <c r="BM29" s="394"/>
      <c r="BN29" s="206"/>
      <c r="BO29" s="206"/>
      <c r="BP29" s="394"/>
      <c r="BQ29" s="394"/>
      <c r="BR29" s="394"/>
      <c r="BS29" s="394"/>
      <c r="BT29" s="394"/>
      <c r="BU29" s="394"/>
      <c r="BV29" s="394"/>
      <c r="BW29" s="394"/>
      <c r="BX29" s="394"/>
      <c r="BY29" s="394"/>
      <c r="BZ29" s="394"/>
      <c r="CA29" s="206"/>
      <c r="CB29" s="206"/>
      <c r="CC29" s="394"/>
      <c r="CD29" s="394"/>
      <c r="CE29" s="394"/>
      <c r="CF29" s="394"/>
      <c r="CG29" s="394"/>
      <c r="CH29" s="394"/>
      <c r="CI29" s="394"/>
      <c r="CJ29" s="394"/>
      <c r="CK29" s="394"/>
      <c r="CL29" s="394"/>
      <c r="CM29" s="394"/>
      <c r="CN29" s="206"/>
      <c r="CO29" s="206"/>
      <c r="CP29" s="394"/>
      <c r="CQ29" s="394"/>
      <c r="CR29" s="394"/>
      <c r="CS29" s="394"/>
      <c r="CT29" s="394"/>
      <c r="CU29" s="394"/>
      <c r="CV29" s="394"/>
      <c r="CW29" s="394"/>
      <c r="CX29" s="394"/>
      <c r="CY29" s="394"/>
      <c r="CZ29" s="394"/>
      <c r="DA29" s="206"/>
      <c r="DB29" s="206"/>
      <c r="DC29" s="394"/>
      <c r="DD29" s="394"/>
      <c r="DE29" s="394"/>
      <c r="DF29" s="394"/>
      <c r="DG29" s="394"/>
      <c r="DH29" s="394"/>
      <c r="DI29" s="394"/>
      <c r="DJ29" s="394"/>
      <c r="DK29" s="394"/>
      <c r="DL29" s="394"/>
      <c r="DM29" s="394"/>
      <c r="DN29" s="206"/>
      <c r="DO29" s="206"/>
      <c r="DP29" s="394"/>
      <c r="DQ29" s="394"/>
      <c r="DR29" s="394"/>
      <c r="DS29" s="394"/>
      <c r="DT29" s="394"/>
      <c r="DU29" s="394"/>
      <c r="DV29" s="394"/>
      <c r="DW29" s="394"/>
      <c r="DX29" s="394"/>
      <c r="DY29" s="394"/>
      <c r="DZ29" s="394"/>
      <c r="EA29" s="206"/>
      <c r="EB29" s="206"/>
      <c r="EC29" s="394"/>
      <c r="ED29" s="394"/>
      <c r="EE29" s="394"/>
      <c r="EF29" s="394"/>
      <c r="EG29" s="394"/>
      <c r="EH29" s="394"/>
      <c r="EI29" s="394"/>
      <c r="EJ29" s="394"/>
      <c r="EK29" s="394"/>
      <c r="EL29" s="394"/>
      <c r="EM29" s="394"/>
      <c r="EN29" s="206"/>
      <c r="EO29" s="206"/>
      <c r="EP29" s="394"/>
      <c r="EQ29" s="394"/>
      <c r="ER29" s="394"/>
      <c r="ES29" s="394"/>
      <c r="ET29" s="394"/>
      <c r="EU29" s="394"/>
      <c r="EV29" s="394"/>
      <c r="EW29" s="394"/>
      <c r="EX29" s="394"/>
      <c r="EY29" s="394"/>
      <c r="EZ29" s="394"/>
      <c r="FA29" s="206"/>
      <c r="FB29" s="206"/>
      <c r="FC29" s="394"/>
      <c r="FD29" s="394"/>
      <c r="FE29" s="394"/>
      <c r="FF29" s="394"/>
      <c r="FG29" s="394"/>
      <c r="FH29" s="394"/>
      <c r="FI29" s="394"/>
      <c r="FJ29" s="394"/>
      <c r="FK29" s="394"/>
      <c r="FL29" s="394"/>
      <c r="FM29" s="394"/>
      <c r="FN29" s="206"/>
      <c r="FO29" s="206"/>
      <c r="FP29" s="394"/>
      <c r="FQ29" s="394"/>
      <c r="FR29" s="394"/>
      <c r="FS29" s="394"/>
      <c r="FT29" s="394"/>
      <c r="FU29" s="394"/>
      <c r="FV29" s="394"/>
      <c r="FW29" s="394"/>
      <c r="FX29" s="394"/>
      <c r="FY29" s="394"/>
      <c r="FZ29" s="394"/>
      <c r="GA29" s="206"/>
      <c r="GB29" s="206"/>
      <c r="GC29" s="394"/>
      <c r="GD29" s="394"/>
      <c r="GE29" s="394"/>
      <c r="GF29" s="394"/>
      <c r="GG29" s="394"/>
      <c r="GH29" s="394"/>
      <c r="GI29" s="394"/>
      <c r="GJ29" s="394"/>
      <c r="GK29" s="394"/>
      <c r="GL29" s="394"/>
      <c r="GM29" s="394"/>
      <c r="GN29" s="206"/>
      <c r="GO29" s="206"/>
      <c r="GP29" s="394"/>
      <c r="GQ29" s="394"/>
      <c r="GR29" s="394"/>
      <c r="GS29" s="394"/>
      <c r="GT29" s="394"/>
      <c r="GU29" s="394"/>
      <c r="GV29" s="394"/>
      <c r="GW29" s="394"/>
      <c r="GX29" s="394"/>
      <c r="GY29" s="394"/>
      <c r="GZ29" s="394"/>
      <c r="HA29" s="206"/>
      <c r="HB29" s="206"/>
      <c r="HC29" s="394"/>
      <c r="HD29" s="394"/>
      <c r="HE29" s="394"/>
      <c r="HF29" s="394"/>
      <c r="HG29" s="394"/>
      <c r="HH29" s="394"/>
      <c r="HI29" s="394"/>
      <c r="HJ29" s="394"/>
      <c r="HK29" s="394"/>
      <c r="HL29" s="394"/>
      <c r="HM29" s="394"/>
      <c r="HN29" s="206"/>
      <c r="HO29" s="206"/>
      <c r="HP29" s="394"/>
      <c r="HQ29" s="394"/>
      <c r="HR29" s="394"/>
      <c r="HS29" s="394"/>
      <c r="HT29" s="394"/>
      <c r="HU29" s="394"/>
      <c r="HV29" s="394"/>
      <c r="HW29" s="394"/>
      <c r="HX29" s="394"/>
      <c r="HY29" s="394"/>
      <c r="HZ29" s="394"/>
      <c r="IA29" s="206"/>
      <c r="IB29" s="206"/>
      <c r="IC29" s="394"/>
      <c r="ID29" s="394"/>
      <c r="IE29" s="394"/>
      <c r="IF29" s="394"/>
      <c r="IG29" s="394"/>
      <c r="IH29" s="394"/>
      <c r="II29" s="394"/>
      <c r="IJ29" s="394"/>
      <c r="IK29" s="394"/>
      <c r="IL29" s="394"/>
      <c r="IM29" s="394"/>
      <c r="IN29" s="206"/>
      <c r="IO29" s="206"/>
      <c r="IP29" s="394"/>
      <c r="IQ29" s="394"/>
      <c r="IR29" s="394"/>
      <c r="IS29" s="394"/>
      <c r="IT29" s="394"/>
      <c r="IU29" s="394"/>
      <c r="IV29" s="394"/>
    </row>
    <row r="30" spans="1:256" x14ac:dyDescent="0.2">
      <c r="A30" s="217"/>
      <c r="B30" s="218"/>
      <c r="C30" s="389"/>
      <c r="D30" s="389"/>
      <c r="E30" s="389"/>
      <c r="F30" s="389"/>
      <c r="G30" s="389"/>
      <c r="H30" s="389"/>
      <c r="I30" s="389"/>
      <c r="J30" s="389"/>
      <c r="K30" s="389"/>
      <c r="L30" s="389"/>
      <c r="M30" s="390"/>
      <c r="N30" s="210"/>
      <c r="O30" s="210"/>
      <c r="P30" s="395"/>
      <c r="Q30" s="395"/>
      <c r="R30" s="395"/>
      <c r="S30" s="395"/>
      <c r="T30" s="395"/>
      <c r="U30" s="395"/>
      <c r="V30" s="395"/>
      <c r="W30" s="395"/>
      <c r="X30" s="395"/>
      <c r="Y30" s="395"/>
      <c r="Z30" s="395"/>
      <c r="AA30" s="206"/>
      <c r="AB30" s="206"/>
      <c r="AC30" s="394"/>
      <c r="AD30" s="394"/>
      <c r="AE30" s="394"/>
      <c r="AF30" s="394"/>
      <c r="AG30" s="394"/>
      <c r="AH30" s="394"/>
      <c r="AI30" s="394"/>
      <c r="AJ30" s="394"/>
      <c r="AK30" s="394"/>
      <c r="AL30" s="394"/>
      <c r="AM30" s="394"/>
      <c r="AN30" s="206"/>
      <c r="AO30" s="206"/>
      <c r="AP30" s="394"/>
      <c r="AQ30" s="394"/>
      <c r="AR30" s="394"/>
      <c r="AS30" s="394"/>
      <c r="AT30" s="394"/>
      <c r="AU30" s="394"/>
      <c r="AV30" s="394"/>
      <c r="AW30" s="394"/>
      <c r="AX30" s="394"/>
      <c r="AY30" s="394"/>
      <c r="AZ30" s="394"/>
      <c r="BA30" s="206"/>
      <c r="BB30" s="206"/>
      <c r="BC30" s="394"/>
      <c r="BD30" s="394"/>
      <c r="BE30" s="394"/>
      <c r="BF30" s="394"/>
      <c r="BG30" s="394"/>
      <c r="BH30" s="394"/>
      <c r="BI30" s="394"/>
      <c r="BJ30" s="394"/>
      <c r="BK30" s="394"/>
      <c r="BL30" s="394"/>
      <c r="BM30" s="394"/>
      <c r="BN30" s="206"/>
      <c r="BO30" s="206"/>
      <c r="BP30" s="394"/>
      <c r="BQ30" s="394"/>
      <c r="BR30" s="394"/>
      <c r="BS30" s="394"/>
      <c r="BT30" s="394"/>
      <c r="BU30" s="394"/>
      <c r="BV30" s="394"/>
      <c r="BW30" s="394"/>
      <c r="BX30" s="394"/>
      <c r="BY30" s="394"/>
      <c r="BZ30" s="394"/>
      <c r="CA30" s="206"/>
      <c r="CB30" s="206"/>
      <c r="CC30" s="394"/>
      <c r="CD30" s="394"/>
      <c r="CE30" s="394"/>
      <c r="CF30" s="394"/>
      <c r="CG30" s="394"/>
      <c r="CH30" s="394"/>
      <c r="CI30" s="394"/>
      <c r="CJ30" s="394"/>
      <c r="CK30" s="394"/>
      <c r="CL30" s="394"/>
      <c r="CM30" s="394"/>
      <c r="CN30" s="206"/>
      <c r="CO30" s="206"/>
      <c r="CP30" s="394"/>
      <c r="CQ30" s="394"/>
      <c r="CR30" s="394"/>
      <c r="CS30" s="394"/>
      <c r="CT30" s="394"/>
      <c r="CU30" s="394"/>
      <c r="CV30" s="394"/>
      <c r="CW30" s="394"/>
      <c r="CX30" s="394"/>
      <c r="CY30" s="394"/>
      <c r="CZ30" s="394"/>
      <c r="DA30" s="206"/>
      <c r="DB30" s="206"/>
      <c r="DC30" s="394"/>
      <c r="DD30" s="394"/>
      <c r="DE30" s="394"/>
      <c r="DF30" s="394"/>
      <c r="DG30" s="394"/>
      <c r="DH30" s="394"/>
      <c r="DI30" s="394"/>
      <c r="DJ30" s="394"/>
      <c r="DK30" s="394"/>
      <c r="DL30" s="394"/>
      <c r="DM30" s="394"/>
      <c r="DN30" s="206"/>
      <c r="DO30" s="206"/>
      <c r="DP30" s="394"/>
      <c r="DQ30" s="394"/>
      <c r="DR30" s="394"/>
      <c r="DS30" s="394"/>
      <c r="DT30" s="394"/>
      <c r="DU30" s="394"/>
      <c r="DV30" s="394"/>
      <c r="DW30" s="394"/>
      <c r="DX30" s="394"/>
      <c r="DY30" s="394"/>
      <c r="DZ30" s="394"/>
      <c r="EA30" s="206"/>
      <c r="EB30" s="206"/>
      <c r="EC30" s="394"/>
      <c r="ED30" s="394"/>
      <c r="EE30" s="394"/>
      <c r="EF30" s="394"/>
      <c r="EG30" s="394"/>
      <c r="EH30" s="394"/>
      <c r="EI30" s="394"/>
      <c r="EJ30" s="394"/>
      <c r="EK30" s="394"/>
      <c r="EL30" s="394"/>
      <c r="EM30" s="394"/>
      <c r="EN30" s="206"/>
      <c r="EO30" s="206"/>
      <c r="EP30" s="394"/>
      <c r="EQ30" s="394"/>
      <c r="ER30" s="394"/>
      <c r="ES30" s="394"/>
      <c r="ET30" s="394"/>
      <c r="EU30" s="394"/>
      <c r="EV30" s="394"/>
      <c r="EW30" s="394"/>
      <c r="EX30" s="394"/>
      <c r="EY30" s="394"/>
      <c r="EZ30" s="394"/>
      <c r="FA30" s="206"/>
      <c r="FB30" s="206"/>
      <c r="FC30" s="394"/>
      <c r="FD30" s="394"/>
      <c r="FE30" s="394"/>
      <c r="FF30" s="394"/>
      <c r="FG30" s="394"/>
      <c r="FH30" s="394"/>
      <c r="FI30" s="394"/>
      <c r="FJ30" s="394"/>
      <c r="FK30" s="394"/>
      <c r="FL30" s="394"/>
      <c r="FM30" s="394"/>
      <c r="FN30" s="206"/>
      <c r="FO30" s="206"/>
      <c r="FP30" s="394"/>
      <c r="FQ30" s="394"/>
      <c r="FR30" s="394"/>
      <c r="FS30" s="394"/>
      <c r="FT30" s="394"/>
      <c r="FU30" s="394"/>
      <c r="FV30" s="394"/>
      <c r="FW30" s="394"/>
      <c r="FX30" s="394"/>
      <c r="FY30" s="394"/>
      <c r="FZ30" s="394"/>
      <c r="GA30" s="206"/>
      <c r="GB30" s="206"/>
      <c r="GC30" s="394"/>
      <c r="GD30" s="394"/>
      <c r="GE30" s="394"/>
      <c r="GF30" s="394"/>
      <c r="GG30" s="394"/>
      <c r="GH30" s="394"/>
      <c r="GI30" s="394"/>
      <c r="GJ30" s="394"/>
      <c r="GK30" s="394"/>
      <c r="GL30" s="394"/>
      <c r="GM30" s="394"/>
      <c r="GN30" s="206"/>
      <c r="GO30" s="206"/>
      <c r="GP30" s="394"/>
      <c r="GQ30" s="394"/>
      <c r="GR30" s="394"/>
      <c r="GS30" s="394"/>
      <c r="GT30" s="394"/>
      <c r="GU30" s="394"/>
      <c r="GV30" s="394"/>
      <c r="GW30" s="394"/>
      <c r="GX30" s="394"/>
      <c r="GY30" s="394"/>
      <c r="GZ30" s="394"/>
      <c r="HA30" s="206"/>
      <c r="HB30" s="206"/>
      <c r="HC30" s="394"/>
      <c r="HD30" s="394"/>
      <c r="HE30" s="394"/>
      <c r="HF30" s="394"/>
      <c r="HG30" s="394"/>
      <c r="HH30" s="394"/>
      <c r="HI30" s="394"/>
      <c r="HJ30" s="394"/>
      <c r="HK30" s="394"/>
      <c r="HL30" s="394"/>
      <c r="HM30" s="394"/>
      <c r="HN30" s="206"/>
      <c r="HO30" s="206"/>
      <c r="HP30" s="394"/>
      <c r="HQ30" s="394"/>
      <c r="HR30" s="394"/>
      <c r="HS30" s="394"/>
      <c r="HT30" s="394"/>
      <c r="HU30" s="394"/>
      <c r="HV30" s="394"/>
      <c r="HW30" s="394"/>
      <c r="HX30" s="394"/>
      <c r="HY30" s="394"/>
      <c r="HZ30" s="394"/>
      <c r="IA30" s="206"/>
      <c r="IB30" s="206"/>
      <c r="IC30" s="394"/>
      <c r="ID30" s="394"/>
      <c r="IE30" s="394"/>
      <c r="IF30" s="394"/>
      <c r="IG30" s="394"/>
      <c r="IH30" s="394"/>
      <c r="II30" s="394"/>
      <c r="IJ30" s="394"/>
      <c r="IK30" s="394"/>
      <c r="IL30" s="394"/>
      <c r="IM30" s="394"/>
      <c r="IN30" s="206"/>
      <c r="IO30" s="206"/>
      <c r="IP30" s="394"/>
      <c r="IQ30" s="394"/>
      <c r="IR30" s="394"/>
      <c r="IS30" s="394"/>
      <c r="IT30" s="394"/>
      <c r="IU30" s="394"/>
      <c r="IV30" s="394"/>
    </row>
    <row r="31" spans="1:256" x14ac:dyDescent="0.2">
      <c r="A31" s="217"/>
      <c r="B31" s="218"/>
      <c r="C31" s="389"/>
      <c r="D31" s="389"/>
      <c r="E31" s="389"/>
      <c r="F31" s="389"/>
      <c r="G31" s="389"/>
      <c r="H31" s="389"/>
      <c r="I31" s="389"/>
      <c r="J31" s="389"/>
      <c r="K31" s="389"/>
      <c r="L31" s="389"/>
      <c r="M31" s="390"/>
      <c r="N31" s="210"/>
      <c r="O31" s="210"/>
      <c r="P31" s="395"/>
      <c r="Q31" s="395"/>
      <c r="R31" s="395"/>
      <c r="S31" s="395"/>
      <c r="T31" s="395"/>
      <c r="U31" s="395"/>
      <c r="V31" s="395"/>
      <c r="W31" s="395"/>
      <c r="X31" s="395"/>
      <c r="Y31" s="395"/>
      <c r="Z31" s="395"/>
      <c r="AA31" s="206"/>
      <c r="AB31" s="206"/>
      <c r="AC31" s="394"/>
      <c r="AD31" s="394"/>
      <c r="AE31" s="394"/>
      <c r="AF31" s="394"/>
      <c r="AG31" s="394"/>
      <c r="AH31" s="394"/>
      <c r="AI31" s="394"/>
      <c r="AJ31" s="394"/>
      <c r="AK31" s="394"/>
      <c r="AL31" s="394"/>
      <c r="AM31" s="394"/>
      <c r="AN31" s="206"/>
      <c r="AO31" s="206"/>
      <c r="AP31" s="394"/>
      <c r="AQ31" s="394"/>
      <c r="AR31" s="394"/>
      <c r="AS31" s="394"/>
      <c r="AT31" s="394"/>
      <c r="AU31" s="394"/>
      <c r="AV31" s="394"/>
      <c r="AW31" s="394"/>
      <c r="AX31" s="394"/>
      <c r="AY31" s="394"/>
      <c r="AZ31" s="394"/>
      <c r="BA31" s="206"/>
      <c r="BB31" s="206"/>
      <c r="BC31" s="394"/>
      <c r="BD31" s="394"/>
      <c r="BE31" s="394"/>
      <c r="BF31" s="394"/>
      <c r="BG31" s="394"/>
      <c r="BH31" s="394"/>
      <c r="BI31" s="394"/>
      <c r="BJ31" s="394"/>
      <c r="BK31" s="394"/>
      <c r="BL31" s="394"/>
      <c r="BM31" s="394"/>
      <c r="BN31" s="206"/>
      <c r="BO31" s="206"/>
      <c r="BP31" s="394"/>
      <c r="BQ31" s="394"/>
      <c r="BR31" s="394"/>
      <c r="BS31" s="394"/>
      <c r="BT31" s="394"/>
      <c r="BU31" s="394"/>
      <c r="BV31" s="394"/>
      <c r="BW31" s="394"/>
      <c r="BX31" s="394"/>
      <c r="BY31" s="394"/>
      <c r="BZ31" s="394"/>
      <c r="CA31" s="206"/>
      <c r="CB31" s="206"/>
      <c r="CC31" s="394"/>
      <c r="CD31" s="394"/>
      <c r="CE31" s="394"/>
      <c r="CF31" s="394"/>
      <c r="CG31" s="394"/>
      <c r="CH31" s="394"/>
      <c r="CI31" s="394"/>
      <c r="CJ31" s="394"/>
      <c r="CK31" s="394"/>
      <c r="CL31" s="394"/>
      <c r="CM31" s="394"/>
      <c r="CN31" s="206"/>
      <c r="CO31" s="206"/>
      <c r="CP31" s="394"/>
      <c r="CQ31" s="394"/>
      <c r="CR31" s="394"/>
      <c r="CS31" s="394"/>
      <c r="CT31" s="394"/>
      <c r="CU31" s="394"/>
      <c r="CV31" s="394"/>
      <c r="CW31" s="394"/>
      <c r="CX31" s="394"/>
      <c r="CY31" s="394"/>
      <c r="CZ31" s="394"/>
      <c r="DA31" s="206"/>
      <c r="DB31" s="206"/>
      <c r="DC31" s="394"/>
      <c r="DD31" s="394"/>
      <c r="DE31" s="394"/>
      <c r="DF31" s="394"/>
      <c r="DG31" s="394"/>
      <c r="DH31" s="394"/>
      <c r="DI31" s="394"/>
      <c r="DJ31" s="394"/>
      <c r="DK31" s="394"/>
      <c r="DL31" s="394"/>
      <c r="DM31" s="394"/>
      <c r="DN31" s="206"/>
      <c r="DO31" s="206"/>
      <c r="DP31" s="394"/>
      <c r="DQ31" s="394"/>
      <c r="DR31" s="394"/>
      <c r="DS31" s="394"/>
      <c r="DT31" s="394"/>
      <c r="DU31" s="394"/>
      <c r="DV31" s="394"/>
      <c r="DW31" s="394"/>
      <c r="DX31" s="394"/>
      <c r="DY31" s="394"/>
      <c r="DZ31" s="394"/>
      <c r="EA31" s="206"/>
      <c r="EB31" s="206"/>
      <c r="EC31" s="394"/>
      <c r="ED31" s="394"/>
      <c r="EE31" s="394"/>
      <c r="EF31" s="394"/>
      <c r="EG31" s="394"/>
      <c r="EH31" s="394"/>
      <c r="EI31" s="394"/>
      <c r="EJ31" s="394"/>
      <c r="EK31" s="394"/>
      <c r="EL31" s="394"/>
      <c r="EM31" s="394"/>
      <c r="EN31" s="206"/>
      <c r="EO31" s="206"/>
      <c r="EP31" s="394"/>
      <c r="EQ31" s="394"/>
      <c r="ER31" s="394"/>
      <c r="ES31" s="394"/>
      <c r="ET31" s="394"/>
      <c r="EU31" s="394"/>
      <c r="EV31" s="394"/>
      <c r="EW31" s="394"/>
      <c r="EX31" s="394"/>
      <c r="EY31" s="394"/>
      <c r="EZ31" s="394"/>
      <c r="FA31" s="206"/>
      <c r="FB31" s="206"/>
      <c r="FC31" s="394"/>
      <c r="FD31" s="394"/>
      <c r="FE31" s="394"/>
      <c r="FF31" s="394"/>
      <c r="FG31" s="394"/>
      <c r="FH31" s="394"/>
      <c r="FI31" s="394"/>
      <c r="FJ31" s="394"/>
      <c r="FK31" s="394"/>
      <c r="FL31" s="394"/>
      <c r="FM31" s="394"/>
      <c r="FN31" s="206"/>
      <c r="FO31" s="206"/>
      <c r="FP31" s="394"/>
      <c r="FQ31" s="394"/>
      <c r="FR31" s="394"/>
      <c r="FS31" s="394"/>
      <c r="FT31" s="394"/>
      <c r="FU31" s="394"/>
      <c r="FV31" s="394"/>
      <c r="FW31" s="394"/>
      <c r="FX31" s="394"/>
      <c r="FY31" s="394"/>
      <c r="FZ31" s="394"/>
      <c r="GA31" s="206"/>
      <c r="GB31" s="206"/>
      <c r="GC31" s="394"/>
      <c r="GD31" s="394"/>
      <c r="GE31" s="394"/>
      <c r="GF31" s="394"/>
      <c r="GG31" s="394"/>
      <c r="GH31" s="394"/>
      <c r="GI31" s="394"/>
      <c r="GJ31" s="394"/>
      <c r="GK31" s="394"/>
      <c r="GL31" s="394"/>
      <c r="GM31" s="394"/>
      <c r="GN31" s="206"/>
      <c r="GO31" s="206"/>
      <c r="GP31" s="394"/>
      <c r="GQ31" s="394"/>
      <c r="GR31" s="394"/>
      <c r="GS31" s="394"/>
      <c r="GT31" s="394"/>
      <c r="GU31" s="394"/>
      <c r="GV31" s="394"/>
      <c r="GW31" s="394"/>
      <c r="GX31" s="394"/>
      <c r="GY31" s="394"/>
      <c r="GZ31" s="394"/>
      <c r="HA31" s="206"/>
      <c r="HB31" s="206"/>
      <c r="HC31" s="394"/>
      <c r="HD31" s="394"/>
      <c r="HE31" s="394"/>
      <c r="HF31" s="394"/>
      <c r="HG31" s="394"/>
      <c r="HH31" s="394"/>
      <c r="HI31" s="394"/>
      <c r="HJ31" s="394"/>
      <c r="HK31" s="394"/>
      <c r="HL31" s="394"/>
      <c r="HM31" s="394"/>
      <c r="HN31" s="206"/>
      <c r="HO31" s="206"/>
      <c r="HP31" s="394"/>
      <c r="HQ31" s="394"/>
      <c r="HR31" s="394"/>
      <c r="HS31" s="394"/>
      <c r="HT31" s="394"/>
      <c r="HU31" s="394"/>
      <c r="HV31" s="394"/>
      <c r="HW31" s="394"/>
      <c r="HX31" s="394"/>
      <c r="HY31" s="394"/>
      <c r="HZ31" s="394"/>
      <c r="IA31" s="206"/>
      <c r="IB31" s="206"/>
      <c r="IC31" s="394"/>
      <c r="ID31" s="394"/>
      <c r="IE31" s="394"/>
      <c r="IF31" s="394"/>
      <c r="IG31" s="394"/>
      <c r="IH31" s="394"/>
      <c r="II31" s="394"/>
      <c r="IJ31" s="394"/>
      <c r="IK31" s="394"/>
      <c r="IL31" s="394"/>
      <c r="IM31" s="394"/>
      <c r="IN31" s="206"/>
      <c r="IO31" s="206"/>
      <c r="IP31" s="394"/>
      <c r="IQ31" s="394"/>
      <c r="IR31" s="394"/>
      <c r="IS31" s="394"/>
      <c r="IT31" s="394"/>
      <c r="IU31" s="394"/>
      <c r="IV31" s="394"/>
    </row>
    <row r="32" spans="1:256" x14ac:dyDescent="0.2">
      <c r="A32" s="217"/>
      <c r="B32" s="218"/>
      <c r="C32" s="389"/>
      <c r="D32" s="389"/>
      <c r="E32" s="389"/>
      <c r="F32" s="389"/>
      <c r="G32" s="389"/>
      <c r="H32" s="389"/>
      <c r="I32" s="389"/>
      <c r="J32" s="389"/>
      <c r="K32" s="389"/>
      <c r="L32" s="389"/>
      <c r="M32" s="390"/>
      <c r="N32" s="222"/>
      <c r="O32" s="222"/>
      <c r="P32" s="396"/>
      <c r="Q32" s="396"/>
      <c r="R32" s="396"/>
      <c r="S32" s="396"/>
      <c r="T32" s="396"/>
      <c r="U32" s="396"/>
      <c r="V32" s="396"/>
      <c r="W32" s="396"/>
      <c r="X32" s="396"/>
      <c r="Y32" s="396"/>
      <c r="Z32" s="397"/>
      <c r="AA32" s="217"/>
      <c r="AB32" s="218"/>
      <c r="AC32" s="389"/>
      <c r="AD32" s="389"/>
      <c r="AE32" s="389"/>
      <c r="AF32" s="389"/>
      <c r="AG32" s="389"/>
      <c r="AH32" s="389"/>
      <c r="AI32" s="389"/>
      <c r="AJ32" s="389"/>
      <c r="AK32" s="389"/>
      <c r="AL32" s="389"/>
      <c r="AM32" s="390"/>
      <c r="AN32" s="217"/>
      <c r="AO32" s="218"/>
      <c r="AP32" s="389"/>
      <c r="AQ32" s="389"/>
      <c r="AR32" s="389"/>
      <c r="AS32" s="389"/>
      <c r="AT32" s="389"/>
      <c r="AU32" s="389"/>
      <c r="AV32" s="389"/>
      <c r="AW32" s="389"/>
      <c r="AX32" s="389"/>
      <c r="AY32" s="389"/>
      <c r="AZ32" s="390"/>
      <c r="BA32" s="217"/>
      <c r="BB32" s="218"/>
      <c r="BC32" s="389"/>
      <c r="BD32" s="389"/>
      <c r="BE32" s="389"/>
      <c r="BF32" s="389"/>
      <c r="BG32" s="389"/>
      <c r="BH32" s="389"/>
      <c r="BI32" s="389"/>
      <c r="BJ32" s="389"/>
      <c r="BK32" s="389"/>
      <c r="BL32" s="389"/>
      <c r="BM32" s="390"/>
      <c r="BN32" s="217"/>
      <c r="BO32" s="218"/>
      <c r="BP32" s="389"/>
      <c r="BQ32" s="389"/>
      <c r="BR32" s="389"/>
      <c r="BS32" s="389"/>
      <c r="BT32" s="389"/>
      <c r="BU32" s="389"/>
      <c r="BV32" s="389"/>
      <c r="BW32" s="389"/>
      <c r="BX32" s="389"/>
      <c r="BY32" s="389"/>
      <c r="BZ32" s="390"/>
      <c r="CA32" s="217"/>
      <c r="CB32" s="218"/>
      <c r="CC32" s="389"/>
      <c r="CD32" s="389"/>
      <c r="CE32" s="389"/>
      <c r="CF32" s="389"/>
      <c r="CG32" s="389"/>
      <c r="CH32" s="389"/>
      <c r="CI32" s="389"/>
      <c r="CJ32" s="389"/>
      <c r="CK32" s="389"/>
      <c r="CL32" s="389"/>
      <c r="CM32" s="390"/>
      <c r="CN32" s="217"/>
      <c r="CO32" s="218"/>
      <c r="CP32" s="389"/>
      <c r="CQ32" s="389"/>
      <c r="CR32" s="389"/>
      <c r="CS32" s="389"/>
      <c r="CT32" s="389"/>
      <c r="CU32" s="389"/>
      <c r="CV32" s="389"/>
      <c r="CW32" s="389"/>
      <c r="CX32" s="389"/>
      <c r="CY32" s="389"/>
      <c r="CZ32" s="390"/>
      <c r="DA32" s="217"/>
      <c r="DB32" s="218"/>
      <c r="DC32" s="389"/>
      <c r="DD32" s="389"/>
      <c r="DE32" s="389"/>
      <c r="DF32" s="389"/>
      <c r="DG32" s="389"/>
      <c r="DH32" s="389"/>
      <c r="DI32" s="389"/>
      <c r="DJ32" s="389"/>
      <c r="DK32" s="389"/>
      <c r="DL32" s="389"/>
      <c r="DM32" s="390"/>
      <c r="DN32" s="217"/>
      <c r="DO32" s="218"/>
      <c r="DP32" s="389"/>
      <c r="DQ32" s="389"/>
      <c r="DR32" s="389"/>
      <c r="DS32" s="389"/>
      <c r="DT32" s="389"/>
      <c r="DU32" s="389"/>
      <c r="DV32" s="389"/>
      <c r="DW32" s="389"/>
      <c r="DX32" s="389"/>
      <c r="DY32" s="389"/>
      <c r="DZ32" s="390"/>
      <c r="EA32" s="217"/>
      <c r="EB32" s="218"/>
      <c r="EC32" s="389"/>
      <c r="ED32" s="389"/>
      <c r="EE32" s="389"/>
      <c r="EF32" s="389"/>
      <c r="EG32" s="389"/>
      <c r="EH32" s="389"/>
      <c r="EI32" s="389"/>
      <c r="EJ32" s="389"/>
      <c r="EK32" s="389"/>
      <c r="EL32" s="389"/>
      <c r="EM32" s="390"/>
      <c r="EN32" s="217"/>
      <c r="EO32" s="218"/>
      <c r="EP32" s="389"/>
      <c r="EQ32" s="389"/>
      <c r="ER32" s="389"/>
      <c r="ES32" s="389"/>
      <c r="ET32" s="389"/>
      <c r="EU32" s="389"/>
      <c r="EV32" s="389"/>
      <c r="EW32" s="389"/>
      <c r="EX32" s="389"/>
      <c r="EY32" s="389"/>
      <c r="EZ32" s="390"/>
      <c r="FA32" s="217"/>
      <c r="FB32" s="218"/>
      <c r="FC32" s="389"/>
      <c r="FD32" s="389"/>
      <c r="FE32" s="389"/>
      <c r="FF32" s="389"/>
      <c r="FG32" s="389"/>
      <c r="FH32" s="389"/>
      <c r="FI32" s="389"/>
      <c r="FJ32" s="389"/>
      <c r="FK32" s="389"/>
      <c r="FL32" s="389"/>
      <c r="FM32" s="390"/>
      <c r="FN32" s="217"/>
      <c r="FO32" s="218"/>
      <c r="FP32" s="389"/>
      <c r="FQ32" s="389"/>
      <c r="FR32" s="389"/>
      <c r="FS32" s="389"/>
      <c r="FT32" s="389"/>
      <c r="FU32" s="389"/>
      <c r="FV32" s="389"/>
      <c r="FW32" s="389"/>
      <c r="FX32" s="389"/>
      <c r="FY32" s="389"/>
      <c r="FZ32" s="390"/>
      <c r="GA32" s="217"/>
      <c r="GB32" s="218"/>
      <c r="GC32" s="389"/>
      <c r="GD32" s="389"/>
      <c r="GE32" s="389"/>
      <c r="GF32" s="389"/>
      <c r="GG32" s="389"/>
      <c r="GH32" s="389"/>
      <c r="GI32" s="389"/>
      <c r="GJ32" s="389"/>
      <c r="GK32" s="389"/>
      <c r="GL32" s="389"/>
      <c r="GM32" s="390"/>
      <c r="GN32" s="217"/>
      <c r="GO32" s="218"/>
      <c r="GP32" s="389"/>
      <c r="GQ32" s="389"/>
      <c r="GR32" s="389"/>
      <c r="GS32" s="389"/>
      <c r="GT32" s="389"/>
      <c r="GU32" s="389"/>
      <c r="GV32" s="389"/>
      <c r="GW32" s="389"/>
      <c r="GX32" s="389"/>
      <c r="GY32" s="389"/>
      <c r="GZ32" s="390"/>
      <c r="HA32" s="217"/>
      <c r="HB32" s="218"/>
      <c r="HC32" s="389"/>
      <c r="HD32" s="389"/>
      <c r="HE32" s="389"/>
      <c r="HF32" s="389"/>
      <c r="HG32" s="389"/>
      <c r="HH32" s="389"/>
      <c r="HI32" s="389"/>
      <c r="HJ32" s="389"/>
      <c r="HK32" s="389"/>
      <c r="HL32" s="389"/>
      <c r="HM32" s="390"/>
      <c r="HN32" s="217"/>
      <c r="HO32" s="218"/>
      <c r="HP32" s="389"/>
      <c r="HQ32" s="389"/>
      <c r="HR32" s="389"/>
      <c r="HS32" s="389"/>
      <c r="HT32" s="389"/>
      <c r="HU32" s="389"/>
      <c r="HV32" s="389"/>
      <c r="HW32" s="389"/>
      <c r="HX32" s="389"/>
      <c r="HY32" s="389"/>
      <c r="HZ32" s="390"/>
      <c r="IA32" s="217"/>
      <c r="IB32" s="218"/>
      <c r="IC32" s="389"/>
      <c r="ID32" s="389"/>
      <c r="IE32" s="389"/>
      <c r="IF32" s="389"/>
      <c r="IG32" s="389"/>
      <c r="IH32" s="389"/>
      <c r="II32" s="389"/>
      <c r="IJ32" s="389"/>
      <c r="IK32" s="389"/>
      <c r="IL32" s="389"/>
      <c r="IM32" s="390"/>
      <c r="IN32" s="217"/>
      <c r="IO32" s="218"/>
      <c r="IP32" s="389"/>
      <c r="IQ32" s="389"/>
      <c r="IR32" s="389"/>
      <c r="IS32" s="389"/>
      <c r="IT32" s="389"/>
      <c r="IU32" s="389"/>
      <c r="IV32" s="389"/>
    </row>
    <row r="33" spans="1:256" x14ac:dyDescent="0.2">
      <c r="A33" s="217"/>
      <c r="B33" s="218"/>
      <c r="C33" s="389"/>
      <c r="D33" s="389"/>
      <c r="E33" s="389"/>
      <c r="F33" s="389"/>
      <c r="G33" s="389"/>
      <c r="H33" s="389"/>
      <c r="I33" s="389"/>
      <c r="J33" s="389"/>
      <c r="K33" s="389"/>
      <c r="L33" s="389"/>
      <c r="M33" s="390"/>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9"/>
      <c r="D34" s="389"/>
      <c r="E34" s="389"/>
      <c r="F34" s="389"/>
      <c r="G34" s="389"/>
      <c r="H34" s="389"/>
      <c r="I34" s="389"/>
      <c r="J34" s="389"/>
      <c r="K34" s="389"/>
      <c r="L34" s="389"/>
      <c r="M34" s="390"/>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9"/>
      <c r="D35" s="389"/>
      <c r="E35" s="389"/>
      <c r="F35" s="389"/>
      <c r="G35" s="389"/>
      <c r="H35" s="389"/>
      <c r="I35" s="389"/>
      <c r="J35" s="389"/>
      <c r="K35" s="389"/>
      <c r="L35" s="389"/>
      <c r="M35" s="390"/>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9"/>
      <c r="D36" s="389"/>
      <c r="E36" s="389"/>
      <c r="F36" s="389"/>
      <c r="G36" s="389"/>
      <c r="H36" s="389"/>
      <c r="I36" s="389"/>
      <c r="J36" s="389"/>
      <c r="K36" s="389"/>
      <c r="L36" s="389"/>
      <c r="M36" s="390"/>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9"/>
      <c r="D37" s="389"/>
      <c r="E37" s="389"/>
      <c r="F37" s="389"/>
      <c r="G37" s="389"/>
      <c r="H37" s="389"/>
      <c r="I37" s="389"/>
      <c r="J37" s="389"/>
      <c r="K37" s="389"/>
      <c r="L37" s="389"/>
      <c r="M37" s="390"/>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9"/>
      <c r="D38" s="389"/>
      <c r="E38" s="389"/>
      <c r="F38" s="389"/>
      <c r="G38" s="389"/>
      <c r="H38" s="389"/>
      <c r="I38" s="389"/>
      <c r="J38" s="389"/>
      <c r="K38" s="389"/>
      <c r="L38" s="389"/>
      <c r="M38" s="390"/>
      <c r="N38" s="210"/>
      <c r="O38" s="210"/>
      <c r="P38" s="395"/>
      <c r="Q38" s="395"/>
      <c r="R38" s="395"/>
      <c r="S38" s="395"/>
      <c r="T38" s="395"/>
      <c r="U38" s="395"/>
      <c r="V38" s="395"/>
      <c r="W38" s="395"/>
      <c r="X38" s="395"/>
      <c r="Y38" s="395"/>
      <c r="Z38" s="395"/>
      <c r="AA38" s="206"/>
      <c r="AB38" s="206"/>
      <c r="AC38" s="394"/>
      <c r="AD38" s="394"/>
      <c r="AE38" s="394"/>
      <c r="AF38" s="394"/>
      <c r="AG38" s="394"/>
      <c r="AH38" s="394"/>
      <c r="AI38" s="394"/>
      <c r="AJ38" s="394"/>
      <c r="AK38" s="394"/>
      <c r="AL38" s="394"/>
      <c r="AM38" s="394"/>
      <c r="AN38" s="206"/>
      <c r="AO38" s="206"/>
      <c r="AP38" s="394"/>
      <c r="AQ38" s="394"/>
      <c r="AR38" s="394"/>
      <c r="AS38" s="394"/>
      <c r="AT38" s="394"/>
      <c r="AU38" s="394"/>
      <c r="AV38" s="394"/>
      <c r="AW38" s="394"/>
      <c r="AX38" s="394"/>
      <c r="AY38" s="394"/>
      <c r="AZ38" s="394"/>
      <c r="BA38" s="206"/>
      <c r="BB38" s="206"/>
      <c r="BC38" s="394"/>
      <c r="BD38" s="394"/>
      <c r="BE38" s="394"/>
      <c r="BF38" s="394"/>
      <c r="BG38" s="394"/>
      <c r="BH38" s="394"/>
      <c r="BI38" s="394"/>
      <c r="BJ38" s="394"/>
      <c r="BK38" s="394"/>
      <c r="BL38" s="394"/>
      <c r="BM38" s="394"/>
      <c r="BN38" s="206"/>
      <c r="BO38" s="206"/>
      <c r="BP38" s="394"/>
      <c r="BQ38" s="394"/>
      <c r="BR38" s="394"/>
      <c r="BS38" s="394"/>
      <c r="BT38" s="394"/>
      <c r="BU38" s="394"/>
      <c r="BV38" s="394"/>
      <c r="BW38" s="394"/>
      <c r="BX38" s="394"/>
      <c r="BY38" s="394"/>
      <c r="BZ38" s="394"/>
      <c r="CA38" s="206"/>
      <c r="CB38" s="206"/>
      <c r="CC38" s="394"/>
      <c r="CD38" s="394"/>
      <c r="CE38" s="394"/>
      <c r="CF38" s="394"/>
      <c r="CG38" s="394"/>
      <c r="CH38" s="394"/>
      <c r="CI38" s="394"/>
      <c r="CJ38" s="394"/>
      <c r="CK38" s="394"/>
      <c r="CL38" s="394"/>
      <c r="CM38" s="394"/>
      <c r="CN38" s="206"/>
      <c r="CO38" s="206"/>
      <c r="CP38" s="394"/>
      <c r="CQ38" s="394"/>
      <c r="CR38" s="394"/>
      <c r="CS38" s="394"/>
      <c r="CT38" s="394"/>
      <c r="CU38" s="394"/>
      <c r="CV38" s="394"/>
      <c r="CW38" s="394"/>
      <c r="CX38" s="394"/>
      <c r="CY38" s="394"/>
      <c r="CZ38" s="394"/>
      <c r="DA38" s="206"/>
      <c r="DB38" s="206"/>
      <c r="DC38" s="394"/>
      <c r="DD38" s="394"/>
      <c r="DE38" s="394"/>
      <c r="DF38" s="394"/>
      <c r="DG38" s="394"/>
      <c r="DH38" s="394"/>
      <c r="DI38" s="394"/>
      <c r="DJ38" s="394"/>
      <c r="DK38" s="394"/>
      <c r="DL38" s="394"/>
      <c r="DM38" s="394"/>
      <c r="DN38" s="206"/>
      <c r="DO38" s="206"/>
      <c r="DP38" s="394"/>
      <c r="DQ38" s="394"/>
      <c r="DR38" s="394"/>
      <c r="DS38" s="394"/>
      <c r="DT38" s="394"/>
      <c r="DU38" s="394"/>
      <c r="DV38" s="394"/>
      <c r="DW38" s="394"/>
      <c r="DX38" s="394"/>
      <c r="DY38" s="394"/>
      <c r="DZ38" s="394"/>
      <c r="EA38" s="206"/>
      <c r="EB38" s="206"/>
      <c r="EC38" s="394"/>
      <c r="ED38" s="394"/>
      <c r="EE38" s="394"/>
      <c r="EF38" s="394"/>
      <c r="EG38" s="394"/>
      <c r="EH38" s="394"/>
      <c r="EI38" s="394"/>
      <c r="EJ38" s="394"/>
      <c r="EK38" s="394"/>
      <c r="EL38" s="394"/>
      <c r="EM38" s="394"/>
      <c r="EN38" s="206"/>
      <c r="EO38" s="206"/>
      <c r="EP38" s="394"/>
      <c r="EQ38" s="394"/>
      <c r="ER38" s="394"/>
      <c r="ES38" s="394"/>
      <c r="ET38" s="394"/>
      <c r="EU38" s="394"/>
      <c r="EV38" s="394"/>
      <c r="EW38" s="394"/>
      <c r="EX38" s="394"/>
      <c r="EY38" s="394"/>
      <c r="EZ38" s="394"/>
      <c r="FA38" s="206"/>
      <c r="FB38" s="206"/>
      <c r="FC38" s="394"/>
      <c r="FD38" s="394"/>
      <c r="FE38" s="394"/>
      <c r="FF38" s="394"/>
      <c r="FG38" s="394"/>
      <c r="FH38" s="394"/>
      <c r="FI38" s="394"/>
      <c r="FJ38" s="394"/>
      <c r="FK38" s="394"/>
      <c r="FL38" s="394"/>
      <c r="FM38" s="394"/>
      <c r="FN38" s="206"/>
      <c r="FO38" s="206"/>
      <c r="FP38" s="394"/>
      <c r="FQ38" s="394"/>
      <c r="FR38" s="394"/>
      <c r="FS38" s="394"/>
      <c r="FT38" s="394"/>
      <c r="FU38" s="394"/>
      <c r="FV38" s="394"/>
      <c r="FW38" s="394"/>
      <c r="FX38" s="394"/>
      <c r="FY38" s="394"/>
      <c r="FZ38" s="394"/>
      <c r="GA38" s="206"/>
      <c r="GB38" s="206"/>
      <c r="GC38" s="394"/>
      <c r="GD38" s="394"/>
      <c r="GE38" s="394"/>
      <c r="GF38" s="394"/>
      <c r="GG38" s="394"/>
      <c r="GH38" s="394"/>
      <c r="GI38" s="394"/>
      <c r="GJ38" s="394"/>
      <c r="GK38" s="394"/>
      <c r="GL38" s="394"/>
      <c r="GM38" s="394"/>
      <c r="GN38" s="206"/>
      <c r="GO38" s="206"/>
      <c r="GP38" s="394"/>
      <c r="GQ38" s="394"/>
      <c r="GR38" s="394"/>
      <c r="GS38" s="394"/>
      <c r="GT38" s="394"/>
      <c r="GU38" s="394"/>
      <c r="GV38" s="394"/>
      <c r="GW38" s="394"/>
      <c r="GX38" s="394"/>
      <c r="GY38" s="394"/>
      <c r="GZ38" s="394"/>
      <c r="HA38" s="206"/>
      <c r="HB38" s="206"/>
      <c r="HC38" s="394"/>
      <c r="HD38" s="394"/>
      <c r="HE38" s="394"/>
      <c r="HF38" s="394"/>
      <c r="HG38" s="394"/>
      <c r="HH38" s="394"/>
      <c r="HI38" s="394"/>
      <c r="HJ38" s="394"/>
      <c r="HK38" s="394"/>
      <c r="HL38" s="394"/>
      <c r="HM38" s="394"/>
      <c r="HN38" s="206"/>
      <c r="HO38" s="206"/>
      <c r="HP38" s="394"/>
      <c r="HQ38" s="394"/>
      <c r="HR38" s="394"/>
      <c r="HS38" s="394"/>
      <c r="HT38" s="394"/>
      <c r="HU38" s="394"/>
      <c r="HV38" s="394"/>
      <c r="HW38" s="394"/>
      <c r="HX38" s="394"/>
      <c r="HY38" s="394"/>
      <c r="HZ38" s="394"/>
      <c r="IA38" s="206"/>
      <c r="IB38" s="206"/>
      <c r="IC38" s="394"/>
      <c r="ID38" s="394"/>
      <c r="IE38" s="394"/>
      <c r="IF38" s="394"/>
      <c r="IG38" s="394"/>
      <c r="IH38" s="394"/>
      <c r="II38" s="394"/>
      <c r="IJ38" s="394"/>
      <c r="IK38" s="394"/>
      <c r="IL38" s="394"/>
      <c r="IM38" s="394"/>
      <c r="IN38" s="206"/>
      <c r="IO38" s="206"/>
      <c r="IP38" s="394"/>
      <c r="IQ38" s="394"/>
      <c r="IR38" s="394"/>
      <c r="IS38" s="394"/>
      <c r="IT38" s="394"/>
      <c r="IU38" s="394"/>
      <c r="IV38" s="394"/>
    </row>
    <row r="39" spans="1:256" x14ac:dyDescent="0.2">
      <c r="A39" s="217"/>
      <c r="B39" s="218"/>
      <c r="C39" s="389"/>
      <c r="D39" s="389"/>
      <c r="E39" s="389"/>
      <c r="F39" s="389"/>
      <c r="G39" s="389"/>
      <c r="H39" s="389"/>
      <c r="I39" s="389"/>
      <c r="J39" s="389"/>
      <c r="K39" s="389"/>
      <c r="L39" s="389"/>
      <c r="M39" s="390"/>
      <c r="N39" s="210"/>
      <c r="O39" s="210"/>
      <c r="P39" s="395"/>
      <c r="Q39" s="395"/>
      <c r="R39" s="395"/>
      <c r="S39" s="395"/>
      <c r="T39" s="395"/>
      <c r="U39" s="395"/>
      <c r="V39" s="395"/>
      <c r="W39" s="395"/>
      <c r="X39" s="395"/>
      <c r="Y39" s="395"/>
      <c r="Z39" s="395"/>
      <c r="AA39" s="206"/>
      <c r="AB39" s="206"/>
      <c r="AC39" s="394"/>
      <c r="AD39" s="394"/>
      <c r="AE39" s="394"/>
      <c r="AF39" s="394"/>
      <c r="AG39" s="394"/>
      <c r="AH39" s="394"/>
      <c r="AI39" s="394"/>
      <c r="AJ39" s="394"/>
      <c r="AK39" s="394"/>
      <c r="AL39" s="394"/>
      <c r="AM39" s="394"/>
      <c r="AN39" s="206"/>
      <c r="AO39" s="206"/>
      <c r="AP39" s="394"/>
      <c r="AQ39" s="394"/>
      <c r="AR39" s="394"/>
      <c r="AS39" s="394"/>
      <c r="AT39" s="394"/>
      <c r="AU39" s="394"/>
      <c r="AV39" s="394"/>
      <c r="AW39" s="394"/>
      <c r="AX39" s="394"/>
      <c r="AY39" s="394"/>
      <c r="AZ39" s="394"/>
      <c r="BA39" s="206"/>
      <c r="BB39" s="206"/>
      <c r="BC39" s="394"/>
      <c r="BD39" s="394"/>
      <c r="BE39" s="394"/>
      <c r="BF39" s="394"/>
      <c r="BG39" s="394"/>
      <c r="BH39" s="394"/>
      <c r="BI39" s="394"/>
      <c r="BJ39" s="394"/>
      <c r="BK39" s="394"/>
      <c r="BL39" s="394"/>
      <c r="BM39" s="394"/>
      <c r="BN39" s="206"/>
      <c r="BO39" s="206"/>
      <c r="BP39" s="394"/>
      <c r="BQ39" s="394"/>
      <c r="BR39" s="394"/>
      <c r="BS39" s="394"/>
      <c r="BT39" s="394"/>
      <c r="BU39" s="394"/>
      <c r="BV39" s="394"/>
      <c r="BW39" s="394"/>
      <c r="BX39" s="394"/>
      <c r="BY39" s="394"/>
      <c r="BZ39" s="394"/>
      <c r="CA39" s="206"/>
      <c r="CB39" s="206"/>
      <c r="CC39" s="394"/>
      <c r="CD39" s="394"/>
      <c r="CE39" s="394"/>
      <c r="CF39" s="394"/>
      <c r="CG39" s="394"/>
      <c r="CH39" s="394"/>
      <c r="CI39" s="394"/>
      <c r="CJ39" s="394"/>
      <c r="CK39" s="394"/>
      <c r="CL39" s="394"/>
      <c r="CM39" s="394"/>
      <c r="CN39" s="206"/>
      <c r="CO39" s="206"/>
      <c r="CP39" s="394"/>
      <c r="CQ39" s="394"/>
      <c r="CR39" s="394"/>
      <c r="CS39" s="394"/>
      <c r="CT39" s="394"/>
      <c r="CU39" s="394"/>
      <c r="CV39" s="394"/>
      <c r="CW39" s="394"/>
      <c r="CX39" s="394"/>
      <c r="CY39" s="394"/>
      <c r="CZ39" s="394"/>
      <c r="DA39" s="206"/>
      <c r="DB39" s="206"/>
      <c r="DC39" s="394"/>
      <c r="DD39" s="394"/>
      <c r="DE39" s="394"/>
      <c r="DF39" s="394"/>
      <c r="DG39" s="394"/>
      <c r="DH39" s="394"/>
      <c r="DI39" s="394"/>
      <c r="DJ39" s="394"/>
      <c r="DK39" s="394"/>
      <c r="DL39" s="394"/>
      <c r="DM39" s="394"/>
      <c r="DN39" s="206"/>
      <c r="DO39" s="206"/>
      <c r="DP39" s="394"/>
      <c r="DQ39" s="394"/>
      <c r="DR39" s="394"/>
      <c r="DS39" s="394"/>
      <c r="DT39" s="394"/>
      <c r="DU39" s="394"/>
      <c r="DV39" s="394"/>
      <c r="DW39" s="394"/>
      <c r="DX39" s="394"/>
      <c r="DY39" s="394"/>
      <c r="DZ39" s="394"/>
      <c r="EA39" s="206"/>
      <c r="EB39" s="206"/>
      <c r="EC39" s="394"/>
      <c r="ED39" s="394"/>
      <c r="EE39" s="394"/>
      <c r="EF39" s="394"/>
      <c r="EG39" s="394"/>
      <c r="EH39" s="394"/>
      <c r="EI39" s="394"/>
      <c r="EJ39" s="394"/>
      <c r="EK39" s="394"/>
      <c r="EL39" s="394"/>
      <c r="EM39" s="394"/>
      <c r="EN39" s="206"/>
      <c r="EO39" s="206"/>
      <c r="EP39" s="394"/>
      <c r="EQ39" s="394"/>
      <c r="ER39" s="394"/>
      <c r="ES39" s="394"/>
      <c r="ET39" s="394"/>
      <c r="EU39" s="394"/>
      <c r="EV39" s="394"/>
      <c r="EW39" s="394"/>
      <c r="EX39" s="394"/>
      <c r="EY39" s="394"/>
      <c r="EZ39" s="394"/>
      <c r="FA39" s="206"/>
      <c r="FB39" s="206"/>
      <c r="FC39" s="394"/>
      <c r="FD39" s="394"/>
      <c r="FE39" s="394"/>
      <c r="FF39" s="394"/>
      <c r="FG39" s="394"/>
      <c r="FH39" s="394"/>
      <c r="FI39" s="394"/>
      <c r="FJ39" s="394"/>
      <c r="FK39" s="394"/>
      <c r="FL39" s="394"/>
      <c r="FM39" s="394"/>
      <c r="FN39" s="206"/>
      <c r="FO39" s="206"/>
      <c r="FP39" s="394"/>
      <c r="FQ39" s="394"/>
      <c r="FR39" s="394"/>
      <c r="FS39" s="394"/>
      <c r="FT39" s="394"/>
      <c r="FU39" s="394"/>
      <c r="FV39" s="394"/>
      <c r="FW39" s="394"/>
      <c r="FX39" s="394"/>
      <c r="FY39" s="394"/>
      <c r="FZ39" s="394"/>
      <c r="GA39" s="206"/>
      <c r="GB39" s="206"/>
      <c r="GC39" s="394"/>
      <c r="GD39" s="394"/>
      <c r="GE39" s="394"/>
      <c r="GF39" s="394"/>
      <c r="GG39" s="394"/>
      <c r="GH39" s="394"/>
      <c r="GI39" s="394"/>
      <c r="GJ39" s="394"/>
      <c r="GK39" s="394"/>
      <c r="GL39" s="394"/>
      <c r="GM39" s="394"/>
      <c r="GN39" s="206"/>
      <c r="GO39" s="206"/>
      <c r="GP39" s="394"/>
      <c r="GQ39" s="394"/>
      <c r="GR39" s="394"/>
      <c r="GS39" s="394"/>
      <c r="GT39" s="394"/>
      <c r="GU39" s="394"/>
      <c r="GV39" s="394"/>
      <c r="GW39" s="394"/>
      <c r="GX39" s="394"/>
      <c r="GY39" s="394"/>
      <c r="GZ39" s="394"/>
      <c r="HA39" s="206"/>
      <c r="HB39" s="206"/>
      <c r="HC39" s="394"/>
      <c r="HD39" s="394"/>
      <c r="HE39" s="394"/>
      <c r="HF39" s="394"/>
      <c r="HG39" s="394"/>
      <c r="HH39" s="394"/>
      <c r="HI39" s="394"/>
      <c r="HJ39" s="394"/>
      <c r="HK39" s="394"/>
      <c r="HL39" s="394"/>
      <c r="HM39" s="394"/>
      <c r="HN39" s="206"/>
      <c r="HO39" s="206"/>
      <c r="HP39" s="394"/>
      <c r="HQ39" s="394"/>
      <c r="HR39" s="394"/>
      <c r="HS39" s="394"/>
      <c r="HT39" s="394"/>
      <c r="HU39" s="394"/>
      <c r="HV39" s="394"/>
      <c r="HW39" s="394"/>
      <c r="HX39" s="394"/>
      <c r="HY39" s="394"/>
      <c r="HZ39" s="394"/>
      <c r="IA39" s="206"/>
      <c r="IB39" s="206"/>
      <c r="IC39" s="394"/>
      <c r="ID39" s="394"/>
      <c r="IE39" s="394"/>
      <c r="IF39" s="394"/>
      <c r="IG39" s="394"/>
      <c r="IH39" s="394"/>
      <c r="II39" s="394"/>
      <c r="IJ39" s="394"/>
      <c r="IK39" s="394"/>
      <c r="IL39" s="394"/>
      <c r="IM39" s="394"/>
      <c r="IN39" s="206"/>
      <c r="IO39" s="206"/>
      <c r="IP39" s="394"/>
      <c r="IQ39" s="394"/>
      <c r="IR39" s="394"/>
      <c r="IS39" s="394"/>
      <c r="IT39" s="394"/>
      <c r="IU39" s="394"/>
      <c r="IV39" s="394"/>
    </row>
    <row r="40" spans="1:256" x14ac:dyDescent="0.2">
      <c r="A40" s="217"/>
      <c r="B40" s="218"/>
      <c r="C40" s="389"/>
      <c r="D40" s="389"/>
      <c r="E40" s="389"/>
      <c r="F40" s="389"/>
      <c r="G40" s="389"/>
      <c r="H40" s="389"/>
      <c r="I40" s="389"/>
      <c r="J40" s="389"/>
      <c r="K40" s="389"/>
      <c r="L40" s="389"/>
      <c r="M40" s="390"/>
      <c r="N40" s="210"/>
      <c r="O40" s="210"/>
      <c r="P40" s="395"/>
      <c r="Q40" s="395"/>
      <c r="R40" s="395"/>
      <c r="S40" s="395"/>
      <c r="T40" s="395"/>
      <c r="U40" s="395"/>
      <c r="V40" s="395"/>
      <c r="W40" s="395"/>
      <c r="X40" s="395"/>
      <c r="Y40" s="395"/>
      <c r="Z40" s="395"/>
      <c r="AA40" s="206"/>
      <c r="AB40" s="206"/>
      <c r="AC40" s="394"/>
      <c r="AD40" s="394"/>
      <c r="AE40" s="394"/>
      <c r="AF40" s="394"/>
      <c r="AG40" s="394"/>
      <c r="AH40" s="394"/>
      <c r="AI40" s="394"/>
      <c r="AJ40" s="394"/>
      <c r="AK40" s="394"/>
      <c r="AL40" s="394"/>
      <c r="AM40" s="394"/>
      <c r="AN40" s="206"/>
      <c r="AO40" s="206"/>
      <c r="AP40" s="394"/>
      <c r="AQ40" s="394"/>
      <c r="AR40" s="394"/>
      <c r="AS40" s="394"/>
      <c r="AT40" s="394"/>
      <c r="AU40" s="394"/>
      <c r="AV40" s="394"/>
      <c r="AW40" s="394"/>
      <c r="AX40" s="394"/>
      <c r="AY40" s="394"/>
      <c r="AZ40" s="394"/>
      <c r="BA40" s="206"/>
      <c r="BB40" s="206"/>
      <c r="BC40" s="394"/>
      <c r="BD40" s="394"/>
      <c r="BE40" s="394"/>
      <c r="BF40" s="394"/>
      <c r="BG40" s="394"/>
      <c r="BH40" s="394"/>
      <c r="BI40" s="394"/>
      <c r="BJ40" s="394"/>
      <c r="BK40" s="394"/>
      <c r="BL40" s="394"/>
      <c r="BM40" s="394"/>
      <c r="BN40" s="206"/>
      <c r="BO40" s="206"/>
      <c r="BP40" s="394"/>
      <c r="BQ40" s="394"/>
      <c r="BR40" s="394"/>
      <c r="BS40" s="394"/>
      <c r="BT40" s="394"/>
      <c r="BU40" s="394"/>
      <c r="BV40" s="394"/>
      <c r="BW40" s="394"/>
      <c r="BX40" s="394"/>
      <c r="BY40" s="394"/>
      <c r="BZ40" s="394"/>
      <c r="CA40" s="206"/>
      <c r="CB40" s="206"/>
      <c r="CC40" s="394"/>
      <c r="CD40" s="394"/>
      <c r="CE40" s="394"/>
      <c r="CF40" s="394"/>
      <c r="CG40" s="394"/>
      <c r="CH40" s="394"/>
      <c r="CI40" s="394"/>
      <c r="CJ40" s="394"/>
      <c r="CK40" s="394"/>
      <c r="CL40" s="394"/>
      <c r="CM40" s="394"/>
      <c r="CN40" s="206"/>
      <c r="CO40" s="206"/>
      <c r="CP40" s="394"/>
      <c r="CQ40" s="394"/>
      <c r="CR40" s="394"/>
      <c r="CS40" s="394"/>
      <c r="CT40" s="394"/>
      <c r="CU40" s="394"/>
      <c r="CV40" s="394"/>
      <c r="CW40" s="394"/>
      <c r="CX40" s="394"/>
      <c r="CY40" s="394"/>
      <c r="CZ40" s="394"/>
      <c r="DA40" s="206"/>
      <c r="DB40" s="206"/>
      <c r="DC40" s="394"/>
      <c r="DD40" s="394"/>
      <c r="DE40" s="394"/>
      <c r="DF40" s="394"/>
      <c r="DG40" s="394"/>
      <c r="DH40" s="394"/>
      <c r="DI40" s="394"/>
      <c r="DJ40" s="394"/>
      <c r="DK40" s="394"/>
      <c r="DL40" s="394"/>
      <c r="DM40" s="394"/>
      <c r="DN40" s="206"/>
      <c r="DO40" s="206"/>
      <c r="DP40" s="394"/>
      <c r="DQ40" s="394"/>
      <c r="DR40" s="394"/>
      <c r="DS40" s="394"/>
      <c r="DT40" s="394"/>
      <c r="DU40" s="394"/>
      <c r="DV40" s="394"/>
      <c r="DW40" s="394"/>
      <c r="DX40" s="394"/>
      <c r="DY40" s="394"/>
      <c r="DZ40" s="394"/>
      <c r="EA40" s="206"/>
      <c r="EB40" s="206"/>
      <c r="EC40" s="394"/>
      <c r="ED40" s="394"/>
      <c r="EE40" s="394"/>
      <c r="EF40" s="394"/>
      <c r="EG40" s="394"/>
      <c r="EH40" s="394"/>
      <c r="EI40" s="394"/>
      <c r="EJ40" s="394"/>
      <c r="EK40" s="394"/>
      <c r="EL40" s="394"/>
      <c r="EM40" s="394"/>
      <c r="EN40" s="206"/>
      <c r="EO40" s="206"/>
      <c r="EP40" s="394"/>
      <c r="EQ40" s="394"/>
      <c r="ER40" s="394"/>
      <c r="ES40" s="394"/>
      <c r="ET40" s="394"/>
      <c r="EU40" s="394"/>
      <c r="EV40" s="394"/>
      <c r="EW40" s="394"/>
      <c r="EX40" s="394"/>
      <c r="EY40" s="394"/>
      <c r="EZ40" s="394"/>
      <c r="FA40" s="206"/>
      <c r="FB40" s="206"/>
      <c r="FC40" s="394"/>
      <c r="FD40" s="394"/>
      <c r="FE40" s="394"/>
      <c r="FF40" s="394"/>
      <c r="FG40" s="394"/>
      <c r="FH40" s="394"/>
      <c r="FI40" s="394"/>
      <c r="FJ40" s="394"/>
      <c r="FK40" s="394"/>
      <c r="FL40" s="394"/>
      <c r="FM40" s="394"/>
      <c r="FN40" s="206"/>
      <c r="FO40" s="206"/>
      <c r="FP40" s="394"/>
      <c r="FQ40" s="394"/>
      <c r="FR40" s="394"/>
      <c r="FS40" s="394"/>
      <c r="FT40" s="394"/>
      <c r="FU40" s="394"/>
      <c r="FV40" s="394"/>
      <c r="FW40" s="394"/>
      <c r="FX40" s="394"/>
      <c r="FY40" s="394"/>
      <c r="FZ40" s="394"/>
      <c r="GA40" s="206"/>
      <c r="GB40" s="206"/>
      <c r="GC40" s="394"/>
      <c r="GD40" s="394"/>
      <c r="GE40" s="394"/>
      <c r="GF40" s="394"/>
      <c r="GG40" s="394"/>
      <c r="GH40" s="394"/>
      <c r="GI40" s="394"/>
      <c r="GJ40" s="394"/>
      <c r="GK40" s="394"/>
      <c r="GL40" s="394"/>
      <c r="GM40" s="394"/>
      <c r="GN40" s="206"/>
      <c r="GO40" s="206"/>
      <c r="GP40" s="394"/>
      <c r="GQ40" s="394"/>
      <c r="GR40" s="394"/>
      <c r="GS40" s="394"/>
      <c r="GT40" s="394"/>
      <c r="GU40" s="394"/>
      <c r="GV40" s="394"/>
      <c r="GW40" s="394"/>
      <c r="GX40" s="394"/>
      <c r="GY40" s="394"/>
      <c r="GZ40" s="394"/>
      <c r="HA40" s="206"/>
      <c r="HB40" s="206"/>
      <c r="HC40" s="394"/>
      <c r="HD40" s="394"/>
      <c r="HE40" s="394"/>
      <c r="HF40" s="394"/>
      <c r="HG40" s="394"/>
      <c r="HH40" s="394"/>
      <c r="HI40" s="394"/>
      <c r="HJ40" s="394"/>
      <c r="HK40" s="394"/>
      <c r="HL40" s="394"/>
      <c r="HM40" s="394"/>
      <c r="HN40" s="206"/>
      <c r="HO40" s="206"/>
      <c r="HP40" s="394"/>
      <c r="HQ40" s="394"/>
      <c r="HR40" s="394"/>
      <c r="HS40" s="394"/>
      <c r="HT40" s="394"/>
      <c r="HU40" s="394"/>
      <c r="HV40" s="394"/>
      <c r="HW40" s="394"/>
      <c r="HX40" s="394"/>
      <c r="HY40" s="394"/>
      <c r="HZ40" s="394"/>
      <c r="IA40" s="206"/>
      <c r="IB40" s="206"/>
      <c r="IC40" s="394"/>
      <c r="ID40" s="394"/>
      <c r="IE40" s="394"/>
      <c r="IF40" s="394"/>
      <c r="IG40" s="394"/>
      <c r="IH40" s="394"/>
      <c r="II40" s="394"/>
      <c r="IJ40" s="394"/>
      <c r="IK40" s="394"/>
      <c r="IL40" s="394"/>
      <c r="IM40" s="394"/>
      <c r="IN40" s="206"/>
      <c r="IO40" s="206"/>
      <c r="IP40" s="394"/>
      <c r="IQ40" s="394"/>
      <c r="IR40" s="394"/>
      <c r="IS40" s="394"/>
      <c r="IT40" s="394"/>
      <c r="IU40" s="394"/>
      <c r="IV40" s="394"/>
    </row>
    <row r="41" spans="1:256" x14ac:dyDescent="0.2">
      <c r="A41" s="217"/>
      <c r="B41" s="218"/>
      <c r="C41" s="389"/>
      <c r="D41" s="389"/>
      <c r="E41" s="389"/>
      <c r="F41" s="389"/>
      <c r="G41" s="389"/>
      <c r="H41" s="389"/>
      <c r="I41" s="389"/>
      <c r="J41" s="389"/>
      <c r="K41" s="389"/>
      <c r="L41" s="389"/>
      <c r="M41" s="390"/>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9"/>
      <c r="D42" s="389"/>
      <c r="E42" s="389"/>
      <c r="F42" s="389"/>
      <c r="G42" s="389"/>
      <c r="H42" s="389"/>
      <c r="I42" s="389"/>
      <c r="J42" s="389"/>
      <c r="K42" s="389"/>
      <c r="L42" s="389"/>
      <c r="M42" s="390"/>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9"/>
      <c r="D43" s="389"/>
      <c r="E43" s="389"/>
      <c r="F43" s="389"/>
      <c r="G43" s="389"/>
      <c r="H43" s="389"/>
      <c r="I43" s="389"/>
      <c r="J43" s="389"/>
      <c r="K43" s="389"/>
      <c r="L43" s="389"/>
      <c r="M43" s="390"/>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9"/>
      <c r="D44" s="389"/>
      <c r="E44" s="389"/>
      <c r="F44" s="389"/>
      <c r="G44" s="389"/>
      <c r="H44" s="389"/>
      <c r="I44" s="389"/>
      <c r="J44" s="389"/>
      <c r="K44" s="389"/>
      <c r="L44" s="389"/>
      <c r="M44" s="390"/>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9"/>
      <c r="D45" s="389"/>
      <c r="E45" s="389"/>
      <c r="F45" s="389"/>
      <c r="G45" s="389"/>
      <c r="H45" s="389"/>
      <c r="I45" s="389"/>
      <c r="J45" s="389"/>
      <c r="K45" s="389"/>
      <c r="L45" s="389"/>
      <c r="M45" s="390"/>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9"/>
      <c r="D46" s="389"/>
      <c r="E46" s="389"/>
      <c r="F46" s="389"/>
      <c r="G46" s="389"/>
      <c r="H46" s="389"/>
      <c r="I46" s="389"/>
      <c r="J46" s="389"/>
      <c r="K46" s="389"/>
      <c r="L46" s="389"/>
      <c r="M46" s="390"/>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9"/>
      <c r="D47" s="389"/>
      <c r="E47" s="389"/>
      <c r="F47" s="389"/>
      <c r="G47" s="389"/>
      <c r="H47" s="389"/>
      <c r="I47" s="389"/>
      <c r="J47" s="389"/>
      <c r="K47" s="389"/>
      <c r="L47" s="389"/>
      <c r="M47" s="390"/>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9"/>
      <c r="D48" s="389"/>
      <c r="E48" s="389"/>
      <c r="F48" s="389"/>
      <c r="G48" s="389"/>
      <c r="H48" s="389"/>
      <c r="I48" s="389"/>
      <c r="J48" s="389"/>
      <c r="K48" s="389"/>
      <c r="L48" s="389"/>
      <c r="M48" s="390"/>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9"/>
      <c r="D49" s="389"/>
      <c r="E49" s="389"/>
      <c r="F49" s="389"/>
      <c r="G49" s="389"/>
      <c r="H49" s="389"/>
      <c r="I49" s="389"/>
      <c r="J49" s="389"/>
      <c r="K49" s="389"/>
      <c r="L49" s="389"/>
      <c r="M49" s="390"/>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9"/>
      <c r="D50" s="389"/>
      <c r="E50" s="389"/>
      <c r="F50" s="389"/>
      <c r="G50" s="389"/>
      <c r="H50" s="389"/>
      <c r="I50" s="389"/>
      <c r="J50" s="389"/>
      <c r="K50" s="389"/>
      <c r="L50" s="389"/>
      <c r="M50" s="390"/>
      <c r="N50" s="126"/>
      <c r="O50" s="126"/>
      <c r="P50" s="126"/>
      <c r="Q50" s="126"/>
      <c r="R50" s="126"/>
      <c r="S50" s="126"/>
      <c r="T50" s="126"/>
      <c r="U50" s="126"/>
      <c r="V50" s="126"/>
      <c r="W50" s="126"/>
      <c r="X50" s="126"/>
      <c r="Y50" s="126"/>
      <c r="Z50" s="126"/>
    </row>
    <row r="51" spans="1:256" x14ac:dyDescent="0.2">
      <c r="A51" s="217"/>
      <c r="B51" s="218"/>
      <c r="C51" s="389"/>
      <c r="D51" s="389"/>
      <c r="E51" s="389"/>
      <c r="F51" s="389"/>
      <c r="G51" s="389"/>
      <c r="H51" s="389"/>
      <c r="I51" s="389"/>
      <c r="J51" s="389"/>
      <c r="K51" s="389"/>
      <c r="L51" s="389"/>
      <c r="M51" s="390"/>
      <c r="N51" s="126"/>
      <c r="O51" s="126"/>
      <c r="P51" s="126"/>
      <c r="Q51" s="126"/>
      <c r="R51" s="126"/>
      <c r="S51" s="126"/>
      <c r="T51" s="126"/>
      <c r="U51" s="126"/>
      <c r="V51" s="126"/>
      <c r="W51" s="126"/>
      <c r="X51" s="126"/>
      <c r="Y51" s="126"/>
      <c r="Z51" s="126"/>
    </row>
    <row r="52" spans="1:256" x14ac:dyDescent="0.2">
      <c r="A52" s="217"/>
      <c r="B52" s="218"/>
      <c r="C52" s="389"/>
      <c r="D52" s="389"/>
      <c r="E52" s="389"/>
      <c r="F52" s="389"/>
      <c r="G52" s="389"/>
      <c r="H52" s="389"/>
      <c r="I52" s="389"/>
      <c r="J52" s="389"/>
      <c r="K52" s="389"/>
      <c r="L52" s="389"/>
      <c r="M52" s="390"/>
      <c r="N52" s="126"/>
      <c r="O52" s="126"/>
      <c r="P52" s="126"/>
      <c r="Q52" s="126"/>
      <c r="R52" s="126"/>
      <c r="S52" s="126"/>
      <c r="T52" s="126"/>
      <c r="U52" s="126"/>
      <c r="V52" s="126"/>
      <c r="W52" s="126"/>
      <c r="X52" s="126"/>
      <c r="Y52" s="126"/>
      <c r="Z52" s="126"/>
    </row>
    <row r="53" spans="1:256" x14ac:dyDescent="0.2">
      <c r="A53" s="217"/>
      <c r="B53" s="218"/>
      <c r="C53" s="389"/>
      <c r="D53" s="389"/>
      <c r="E53" s="389"/>
      <c r="F53" s="389"/>
      <c r="G53" s="389"/>
      <c r="H53" s="389"/>
      <c r="I53" s="389"/>
      <c r="J53" s="389"/>
      <c r="K53" s="389"/>
      <c r="L53" s="389"/>
      <c r="M53" s="390"/>
      <c r="N53" s="126"/>
      <c r="O53" s="126"/>
      <c r="P53" s="126"/>
      <c r="Q53" s="126"/>
      <c r="R53" s="126"/>
      <c r="S53" s="126"/>
      <c r="T53" s="126"/>
      <c r="U53" s="126"/>
      <c r="V53" s="126"/>
      <c r="W53" s="126"/>
      <c r="X53" s="126"/>
      <c r="Y53" s="126"/>
      <c r="Z53" s="126"/>
    </row>
    <row r="54" spans="1:256" x14ac:dyDescent="0.2">
      <c r="A54" s="217"/>
      <c r="B54" s="218"/>
      <c r="C54" s="389"/>
      <c r="D54" s="389"/>
      <c r="E54" s="389"/>
      <c r="F54" s="389"/>
      <c r="G54" s="389"/>
      <c r="H54" s="389"/>
      <c r="I54" s="389"/>
      <c r="J54" s="389"/>
      <c r="K54" s="389"/>
      <c r="L54" s="389"/>
      <c r="M54" s="390"/>
      <c r="N54" s="126"/>
      <c r="O54" s="126"/>
      <c r="P54" s="126"/>
      <c r="Q54" s="126"/>
      <c r="R54" s="126"/>
      <c r="S54" s="126"/>
      <c r="T54" s="126"/>
      <c r="U54" s="126"/>
      <c r="V54" s="126"/>
      <c r="W54" s="126"/>
      <c r="X54" s="126"/>
      <c r="Y54" s="126"/>
      <c r="Z54" s="126"/>
    </row>
    <row r="55" spans="1:256" x14ac:dyDescent="0.2">
      <c r="A55" s="217"/>
      <c r="B55" s="218"/>
      <c r="C55" s="389"/>
      <c r="D55" s="389"/>
      <c r="E55" s="389"/>
      <c r="F55" s="389"/>
      <c r="G55" s="389"/>
      <c r="H55" s="389"/>
      <c r="I55" s="389"/>
      <c r="J55" s="389"/>
      <c r="K55" s="389"/>
      <c r="L55" s="389"/>
      <c r="M55" s="390"/>
      <c r="N55" s="126"/>
      <c r="O55" s="126"/>
      <c r="P55" s="126"/>
      <c r="Q55" s="126"/>
      <c r="R55" s="126"/>
      <c r="S55" s="126"/>
      <c r="T55" s="126"/>
      <c r="U55" s="126"/>
      <c r="V55" s="126"/>
      <c r="W55" s="126"/>
      <c r="X55" s="126"/>
      <c r="Y55" s="126"/>
      <c r="Z55" s="126"/>
    </row>
    <row r="56" spans="1:256" x14ac:dyDescent="0.2">
      <c r="A56" s="217"/>
      <c r="B56" s="218"/>
      <c r="C56" s="389"/>
      <c r="D56" s="389"/>
      <c r="E56" s="389"/>
      <c r="F56" s="389"/>
      <c r="G56" s="389"/>
      <c r="H56" s="389"/>
      <c r="I56" s="389"/>
      <c r="J56" s="389"/>
      <c r="K56" s="389"/>
      <c r="L56" s="389"/>
      <c r="M56" s="390"/>
      <c r="N56" s="126"/>
      <c r="O56" s="126"/>
      <c r="P56" s="126"/>
      <c r="Q56" s="126"/>
      <c r="R56" s="126"/>
      <c r="S56" s="126"/>
      <c r="T56" s="126"/>
      <c r="U56" s="126"/>
      <c r="V56" s="126"/>
      <c r="W56" s="126"/>
      <c r="X56" s="126"/>
      <c r="Y56" s="126"/>
      <c r="Z56" s="126"/>
    </row>
    <row r="57" spans="1:256" x14ac:dyDescent="0.2">
      <c r="A57" s="217"/>
      <c r="B57" s="218"/>
      <c r="C57" s="389"/>
      <c r="D57" s="389"/>
      <c r="E57" s="389"/>
      <c r="F57" s="389"/>
      <c r="G57" s="389"/>
      <c r="H57" s="389"/>
      <c r="I57" s="389"/>
      <c r="J57" s="389"/>
      <c r="K57" s="389"/>
      <c r="L57" s="389"/>
      <c r="M57" s="390"/>
      <c r="N57" s="126"/>
      <c r="O57" s="126"/>
      <c r="P57" s="126"/>
      <c r="Q57" s="126"/>
      <c r="R57" s="126"/>
      <c r="S57" s="126"/>
      <c r="T57" s="126"/>
      <c r="U57" s="126"/>
      <c r="V57" s="126"/>
      <c r="W57" s="126"/>
      <c r="X57" s="126"/>
      <c r="Y57" s="126"/>
      <c r="Z57" s="126"/>
    </row>
    <row r="58" spans="1:256" x14ac:dyDescent="0.2">
      <c r="A58" s="217"/>
      <c r="B58" s="218"/>
      <c r="C58" s="389"/>
      <c r="D58" s="389"/>
      <c r="E58" s="389"/>
      <c r="F58" s="389"/>
      <c r="G58" s="389"/>
      <c r="H58" s="389"/>
      <c r="I58" s="389"/>
      <c r="J58" s="389"/>
      <c r="K58" s="389"/>
      <c r="L58" s="389"/>
      <c r="M58" s="390"/>
      <c r="N58" s="126"/>
      <c r="O58" s="126"/>
      <c r="P58" s="126"/>
      <c r="Q58" s="126"/>
      <c r="R58" s="126"/>
      <c r="S58" s="126"/>
      <c r="T58" s="126"/>
      <c r="U58" s="126"/>
      <c r="V58" s="126"/>
      <c r="W58" s="126"/>
      <c r="X58" s="126"/>
      <c r="Y58" s="126"/>
      <c r="Z58" s="126"/>
    </row>
    <row r="59" spans="1:256" x14ac:dyDescent="0.2">
      <c r="A59" s="217"/>
      <c r="B59" s="218"/>
      <c r="C59" s="389"/>
      <c r="D59" s="389"/>
      <c r="E59" s="389"/>
      <c r="F59" s="389"/>
      <c r="G59" s="389"/>
      <c r="H59" s="389"/>
      <c r="I59" s="389"/>
      <c r="J59" s="389"/>
      <c r="K59" s="389"/>
      <c r="L59" s="389"/>
      <c r="M59" s="390"/>
    </row>
    <row r="60" spans="1:256" x14ac:dyDescent="0.2">
      <c r="A60" s="217"/>
      <c r="B60" s="218"/>
      <c r="C60" s="389"/>
      <c r="D60" s="389"/>
      <c r="E60" s="389"/>
      <c r="F60" s="389"/>
      <c r="G60" s="389"/>
      <c r="H60" s="389"/>
      <c r="I60" s="389"/>
      <c r="J60" s="389"/>
      <c r="K60" s="389"/>
      <c r="L60" s="389"/>
      <c r="M60" s="390"/>
    </row>
    <row r="61" spans="1:256" x14ac:dyDescent="0.2">
      <c r="A61" s="217"/>
      <c r="B61" s="218"/>
      <c r="C61" s="389"/>
      <c r="D61" s="389"/>
      <c r="E61" s="389"/>
      <c r="F61" s="389"/>
      <c r="G61" s="389"/>
      <c r="H61" s="389"/>
      <c r="I61" s="389"/>
      <c r="J61" s="389"/>
      <c r="K61" s="389"/>
      <c r="L61" s="389"/>
      <c r="M61" s="390"/>
    </row>
    <row r="62" spans="1:256" x14ac:dyDescent="0.2">
      <c r="A62" s="217"/>
      <c r="B62" s="218"/>
      <c r="C62" s="389"/>
      <c r="D62" s="389"/>
      <c r="E62" s="389"/>
      <c r="F62" s="389"/>
      <c r="G62" s="389"/>
      <c r="H62" s="389"/>
      <c r="I62" s="389"/>
      <c r="J62" s="389"/>
      <c r="K62" s="389"/>
      <c r="L62" s="389"/>
      <c r="M62" s="390"/>
    </row>
    <row r="63" spans="1:256" x14ac:dyDescent="0.2">
      <c r="A63" s="217"/>
      <c r="B63" s="218"/>
      <c r="C63" s="389"/>
      <c r="D63" s="389"/>
      <c r="E63" s="389"/>
      <c r="F63" s="389"/>
      <c r="G63" s="389"/>
      <c r="H63" s="389"/>
      <c r="I63" s="389"/>
      <c r="J63" s="389"/>
      <c r="K63" s="389"/>
      <c r="L63" s="389"/>
      <c r="M63" s="390"/>
    </row>
    <row r="64" spans="1:256" x14ac:dyDescent="0.2">
      <c r="A64" s="217"/>
      <c r="B64" s="218"/>
      <c r="C64" s="389"/>
      <c r="D64" s="389"/>
      <c r="E64" s="389"/>
      <c r="F64" s="389"/>
      <c r="G64" s="389"/>
      <c r="H64" s="389"/>
      <c r="I64" s="389"/>
      <c r="J64" s="389"/>
      <c r="K64" s="389"/>
      <c r="L64" s="389"/>
      <c r="M64" s="390"/>
    </row>
    <row r="65" spans="1:13" x14ac:dyDescent="0.2">
      <c r="A65" s="217"/>
      <c r="B65" s="218"/>
      <c r="C65" s="389"/>
      <c r="D65" s="389"/>
      <c r="E65" s="389"/>
      <c r="F65" s="389"/>
      <c r="G65" s="389"/>
      <c r="H65" s="389"/>
      <c r="I65" s="389"/>
      <c r="J65" s="389"/>
      <c r="K65" s="389"/>
      <c r="L65" s="389"/>
      <c r="M65" s="390"/>
    </row>
    <row r="66" spans="1:13" x14ac:dyDescent="0.2">
      <c r="A66" s="217"/>
      <c r="B66" s="218"/>
      <c r="C66" s="389"/>
      <c r="D66" s="389"/>
      <c r="E66" s="389"/>
      <c r="F66" s="389"/>
      <c r="G66" s="389"/>
      <c r="H66" s="389"/>
      <c r="I66" s="389"/>
      <c r="J66" s="389"/>
      <c r="K66" s="389"/>
      <c r="L66" s="389"/>
      <c r="M66" s="390"/>
    </row>
    <row r="67" spans="1:13" x14ac:dyDescent="0.2">
      <c r="A67" s="217"/>
      <c r="B67" s="218"/>
      <c r="C67" s="389"/>
      <c r="D67" s="389"/>
      <c r="E67" s="389"/>
      <c r="F67" s="389"/>
      <c r="G67" s="389"/>
      <c r="H67" s="389"/>
      <c r="I67" s="389"/>
      <c r="J67" s="389"/>
      <c r="K67" s="389"/>
      <c r="L67" s="389"/>
      <c r="M67" s="390"/>
    </row>
    <row r="68" spans="1:13" x14ac:dyDescent="0.2">
      <c r="A68" s="217"/>
      <c r="B68" s="218"/>
      <c r="C68" s="389"/>
      <c r="D68" s="389"/>
      <c r="E68" s="389"/>
      <c r="F68" s="389"/>
      <c r="G68" s="389"/>
      <c r="H68" s="389"/>
      <c r="I68" s="389"/>
      <c r="J68" s="389"/>
      <c r="K68" s="389"/>
      <c r="L68" s="389"/>
      <c r="M68" s="390"/>
    </row>
    <row r="69" spans="1:13" x14ac:dyDescent="0.2">
      <c r="A69" s="217"/>
      <c r="B69" s="218"/>
      <c r="C69" s="389"/>
      <c r="D69" s="389"/>
      <c r="E69" s="389"/>
      <c r="F69" s="389"/>
      <c r="G69" s="389"/>
      <c r="H69" s="389"/>
      <c r="I69" s="389"/>
      <c r="J69" s="389"/>
      <c r="K69" s="389"/>
      <c r="L69" s="389"/>
      <c r="M69" s="390"/>
    </row>
    <row r="70" spans="1:13" ht="12" thickBot="1" x14ac:dyDescent="0.25">
      <c r="A70" s="219"/>
      <c r="B70" s="220"/>
      <c r="C70" s="391"/>
      <c r="D70" s="391"/>
      <c r="E70" s="391"/>
      <c r="F70" s="391"/>
      <c r="G70" s="391"/>
      <c r="H70" s="391"/>
      <c r="I70" s="391"/>
      <c r="J70" s="391"/>
      <c r="K70" s="391"/>
      <c r="L70" s="391"/>
      <c r="M70" s="392"/>
    </row>
    <row r="71" spans="1:13" ht="12" thickTop="1" x14ac:dyDescent="0.2">
      <c r="A71" s="207"/>
      <c r="B71" s="207"/>
      <c r="C71" s="208"/>
      <c r="D71" s="208"/>
      <c r="E71" s="208"/>
      <c r="F71" s="208"/>
      <c r="G71" s="208"/>
      <c r="H71" s="208"/>
      <c r="I71" s="208"/>
      <c r="J71" s="208"/>
      <c r="K71" s="208"/>
      <c r="L71" s="208"/>
    </row>
    <row r="72" spans="1:13" ht="12.75" x14ac:dyDescent="0.2">
      <c r="A72" s="393" t="s">
        <v>832</v>
      </c>
      <c r="B72" s="393"/>
      <c r="C72" s="393"/>
      <c r="D72" s="393"/>
      <c r="E72" s="393"/>
      <c r="F72" s="126"/>
      <c r="G72" s="126"/>
      <c r="H72" s="126"/>
      <c r="I72" s="126"/>
      <c r="J72" s="126"/>
      <c r="K72" s="126"/>
      <c r="L72" s="126"/>
      <c r="M72" s="126"/>
    </row>
    <row r="73" spans="1:13" x14ac:dyDescent="0.2">
      <c r="A73" s="209" t="s">
        <v>764</v>
      </c>
      <c r="B73" s="209" t="s">
        <v>765</v>
      </c>
      <c r="C73" s="388"/>
      <c r="D73" s="388"/>
      <c r="E73" s="388"/>
      <c r="F73" s="388"/>
      <c r="G73" s="388"/>
      <c r="H73" s="388"/>
      <c r="I73" s="388"/>
      <c r="J73" s="388"/>
      <c r="K73" s="388"/>
      <c r="L73" s="388"/>
      <c r="M73" s="388"/>
    </row>
    <row r="74" spans="1:13" x14ac:dyDescent="0.2">
      <c r="A74" s="210"/>
      <c r="B74" s="210"/>
      <c r="C74" s="388"/>
      <c r="D74" s="388"/>
      <c r="E74" s="388"/>
      <c r="F74" s="388"/>
      <c r="G74" s="388"/>
      <c r="H74" s="388"/>
      <c r="I74" s="388"/>
      <c r="J74" s="388"/>
      <c r="K74" s="388"/>
      <c r="L74" s="388"/>
      <c r="M74" s="388"/>
    </row>
    <row r="75" spans="1:13" x14ac:dyDescent="0.2">
      <c r="A75" s="210"/>
      <c r="B75" s="210"/>
      <c r="C75" s="388"/>
      <c r="D75" s="388"/>
      <c r="E75" s="388"/>
      <c r="F75" s="388"/>
      <c r="G75" s="388"/>
      <c r="H75" s="388"/>
      <c r="I75" s="388"/>
      <c r="J75" s="388"/>
      <c r="K75" s="388"/>
      <c r="L75" s="388"/>
      <c r="M75" s="388"/>
    </row>
    <row r="76" spans="1:13" x14ac:dyDescent="0.2">
      <c r="A76" s="210"/>
      <c r="B76" s="210"/>
      <c r="C76" s="388"/>
      <c r="D76" s="388"/>
      <c r="E76" s="388"/>
      <c r="F76" s="388"/>
      <c r="G76" s="388"/>
      <c r="H76" s="388"/>
      <c r="I76" s="388"/>
      <c r="J76" s="388"/>
      <c r="K76" s="388"/>
      <c r="L76" s="388"/>
      <c r="M76" s="388"/>
    </row>
    <row r="77" spans="1:13" x14ac:dyDescent="0.2">
      <c r="A77" s="210"/>
      <c r="B77" s="210"/>
      <c r="C77" s="388"/>
      <c r="D77" s="388"/>
      <c r="E77" s="388"/>
      <c r="F77" s="388"/>
      <c r="G77" s="388"/>
      <c r="H77" s="388"/>
      <c r="I77" s="388"/>
      <c r="J77" s="388"/>
      <c r="K77" s="388"/>
      <c r="L77" s="388"/>
      <c r="M77" s="388"/>
    </row>
    <row r="78" spans="1:13" x14ac:dyDescent="0.2">
      <c r="A78" s="210"/>
      <c r="B78" s="210"/>
      <c r="C78" s="388"/>
      <c r="D78" s="388"/>
      <c r="E78" s="388"/>
      <c r="F78" s="388"/>
      <c r="G78" s="388"/>
      <c r="H78" s="388"/>
      <c r="I78" s="388"/>
      <c r="J78" s="388"/>
      <c r="K78" s="388"/>
      <c r="L78" s="388"/>
      <c r="M78" s="388"/>
    </row>
    <row r="79" spans="1:13" x14ac:dyDescent="0.2">
      <c r="A79" s="210"/>
      <c r="B79" s="210"/>
      <c r="C79" s="388"/>
      <c r="D79" s="388"/>
      <c r="E79" s="388"/>
      <c r="F79" s="388"/>
      <c r="G79" s="388"/>
      <c r="H79" s="388"/>
      <c r="I79" s="388"/>
      <c r="J79" s="388"/>
      <c r="K79" s="388"/>
      <c r="L79" s="388"/>
      <c r="M79" s="388"/>
    </row>
    <row r="80" spans="1:13" x14ac:dyDescent="0.2">
      <c r="A80" s="210"/>
      <c r="B80" s="210"/>
      <c r="C80" s="388"/>
      <c r="D80" s="388"/>
      <c r="E80" s="388"/>
      <c r="F80" s="388"/>
      <c r="G80" s="388"/>
      <c r="H80" s="388"/>
      <c r="I80" s="388"/>
      <c r="J80" s="388"/>
      <c r="K80" s="388"/>
      <c r="L80" s="388"/>
      <c r="M80" s="388"/>
    </row>
    <row r="81" spans="1:13" x14ac:dyDescent="0.2">
      <c r="A81" s="210"/>
      <c r="B81" s="210"/>
      <c r="C81" s="388"/>
      <c r="D81" s="388"/>
      <c r="E81" s="388"/>
      <c r="F81" s="388"/>
      <c r="G81" s="388"/>
      <c r="H81" s="388"/>
      <c r="I81" s="388"/>
      <c r="J81" s="388"/>
      <c r="K81" s="388"/>
      <c r="L81" s="388"/>
      <c r="M81" s="388"/>
    </row>
    <row r="82" spans="1:13" x14ac:dyDescent="0.2">
      <c r="A82" s="210"/>
      <c r="B82" s="210"/>
      <c r="C82" s="388"/>
      <c r="D82" s="388"/>
      <c r="E82" s="388"/>
      <c r="F82" s="388"/>
      <c r="G82" s="388"/>
      <c r="H82" s="388"/>
      <c r="I82" s="388"/>
      <c r="J82" s="388"/>
      <c r="K82" s="388"/>
      <c r="L82" s="388"/>
      <c r="M82" s="388"/>
    </row>
    <row r="83" spans="1:13" x14ac:dyDescent="0.2">
      <c r="A83" s="210"/>
      <c r="B83" s="210"/>
      <c r="C83" s="388"/>
      <c r="D83" s="388"/>
      <c r="E83" s="388"/>
      <c r="F83" s="388"/>
      <c r="G83" s="388"/>
      <c r="H83" s="388"/>
      <c r="I83" s="388"/>
      <c r="J83" s="388"/>
      <c r="K83" s="388"/>
      <c r="L83" s="388"/>
      <c r="M83" s="388"/>
    </row>
    <row r="84" spans="1:13" x14ac:dyDescent="0.2">
      <c r="A84" s="210"/>
      <c r="B84" s="210"/>
      <c r="C84" s="388"/>
      <c r="D84" s="388"/>
      <c r="E84" s="388"/>
      <c r="F84" s="388"/>
      <c r="G84" s="388"/>
      <c r="H84" s="388"/>
      <c r="I84" s="388"/>
      <c r="J84" s="388"/>
      <c r="K84" s="388"/>
      <c r="L84" s="388"/>
      <c r="M84" s="388"/>
    </row>
    <row r="85" spans="1:13" x14ac:dyDescent="0.2">
      <c r="A85" s="210"/>
      <c r="B85" s="210"/>
      <c r="C85" s="388"/>
      <c r="D85" s="388"/>
      <c r="E85" s="388"/>
      <c r="F85" s="388"/>
      <c r="G85" s="388"/>
      <c r="H85" s="388"/>
      <c r="I85" s="388"/>
      <c r="J85" s="388"/>
      <c r="K85" s="388"/>
      <c r="L85" s="388"/>
      <c r="M85" s="388"/>
    </row>
    <row r="86" spans="1:13" x14ac:dyDescent="0.2">
      <c r="A86" s="210"/>
      <c r="B86" s="210"/>
      <c r="C86" s="388"/>
      <c r="D86" s="388"/>
      <c r="E86" s="388"/>
      <c r="F86" s="388"/>
      <c r="G86" s="388"/>
      <c r="H86" s="388"/>
      <c r="I86" s="388"/>
      <c r="J86" s="388"/>
      <c r="K86" s="388"/>
      <c r="L86" s="388"/>
      <c r="M86" s="388"/>
    </row>
    <row r="87" spans="1:13" x14ac:dyDescent="0.2">
      <c r="A87" s="210"/>
      <c r="B87" s="210"/>
      <c r="C87" s="388"/>
      <c r="D87" s="388"/>
      <c r="E87" s="388"/>
      <c r="F87" s="388"/>
      <c r="G87" s="388"/>
      <c r="H87" s="388"/>
      <c r="I87" s="388"/>
      <c r="J87" s="388"/>
      <c r="K87" s="388"/>
      <c r="L87" s="388"/>
      <c r="M87" s="388"/>
    </row>
    <row r="88" spans="1:13" x14ac:dyDescent="0.2">
      <c r="A88" s="210"/>
      <c r="B88" s="210"/>
      <c r="C88" s="388"/>
      <c r="D88" s="388"/>
      <c r="E88" s="388"/>
      <c r="F88" s="388"/>
      <c r="G88" s="388"/>
      <c r="H88" s="388"/>
      <c r="I88" s="388"/>
      <c r="J88" s="388"/>
      <c r="K88" s="388"/>
      <c r="L88" s="388"/>
      <c r="M88" s="388"/>
    </row>
    <row r="89" spans="1:13" x14ac:dyDescent="0.2">
      <c r="A89" s="210"/>
      <c r="B89" s="210"/>
      <c r="C89" s="388"/>
      <c r="D89" s="388"/>
      <c r="E89" s="388"/>
      <c r="F89" s="388"/>
      <c r="G89" s="388"/>
      <c r="H89" s="388"/>
      <c r="I89" s="388"/>
      <c r="J89" s="388"/>
      <c r="K89" s="388"/>
      <c r="L89" s="388"/>
      <c r="M89" s="388"/>
    </row>
    <row r="90" spans="1:13" x14ac:dyDescent="0.2">
      <c r="A90" s="210"/>
      <c r="B90" s="210"/>
      <c r="C90" s="388"/>
      <c r="D90" s="388"/>
      <c r="E90" s="388"/>
      <c r="F90" s="388"/>
      <c r="G90" s="388"/>
      <c r="H90" s="388"/>
      <c r="I90" s="388"/>
      <c r="J90" s="388"/>
      <c r="K90" s="388"/>
      <c r="L90" s="388"/>
      <c r="M90" s="388"/>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206</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f>IF('School Level Expenditures'!$B$2=A209,'School Tables'!H209,"")</f>
        <v>206</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2022-11-03T12:00:55Z</cp:lastPrinted>
  <dcterms:created xsi:type="dcterms:W3CDTF">1997-12-04T19:04:30Z</dcterms:created>
  <dcterms:modified xsi:type="dcterms:W3CDTF">2022-12-19T18:57:18Z</dcterms:modified>
</cp:coreProperties>
</file>