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CEC4AC9-870A-4E89-87D3-8E2A8A6F23F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3" l="1"/>
  <c r="F15" i="13" l="1"/>
  <c r="F14" i="13"/>
  <c r="F6" i="13"/>
  <c r="H161" i="1"/>
  <c r="H605" i="1"/>
  <c r="F473" i="1"/>
  <c r="G158" i="1"/>
  <c r="G132" i="1"/>
  <c r="F69" i="1" l="1"/>
  <c r="F50" i="1"/>
  <c r="F28" i="1"/>
  <c r="G22" i="1" l="1"/>
  <c r="G40" i="1"/>
  <c r="G474" i="1"/>
  <c r="H22" i="1"/>
  <c r="H469" i="1"/>
  <c r="H13" i="1"/>
  <c r="H162" i="1" l="1"/>
  <c r="H28" i="1" l="1"/>
  <c r="F12" i="1" l="1"/>
  <c r="H102" i="1" l="1"/>
  <c r="E15" i="17"/>
  <c r="E13" i="17"/>
  <c r="H159" i="1"/>
  <c r="H155" i="1"/>
  <c r="H154" i="1"/>
  <c r="F498" i="1" l="1"/>
  <c r="F496" i="1"/>
  <c r="G460" i="1"/>
  <c r="G458" i="1"/>
  <c r="G440" i="1"/>
  <c r="G441" i="1"/>
  <c r="F68" i="1" l="1"/>
  <c r="F13" i="1" l="1"/>
  <c r="F9" i="1"/>
  <c r="G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20"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H34" i="2" l="1"/>
  <c r="H26" i="2"/>
  <c r="C110" i="2"/>
  <c r="H69" i="2"/>
  <c r="H72" i="2"/>
  <c r="H132" i="2"/>
  <c r="H101" i="2"/>
  <c r="H143" i="2"/>
  <c r="H477" i="1"/>
  <c r="H625" i="1" s="1"/>
  <c r="J625" i="1" s="1"/>
  <c r="E124" i="2"/>
  <c r="H27" i="2"/>
  <c r="H113" i="2"/>
  <c r="H102" i="2"/>
  <c r="H100" i="2"/>
  <c r="H99" i="2"/>
  <c r="G646" i="1"/>
  <c r="H98" i="2"/>
  <c r="G62" i="2"/>
  <c r="G63" i="2" s="1"/>
  <c r="I112" i="1"/>
  <c r="J112" i="1"/>
  <c r="H96" i="2"/>
  <c r="H94" i="2"/>
  <c r="H93" i="2"/>
  <c r="H89" i="2"/>
  <c r="H87" i="2"/>
  <c r="H80" i="2"/>
  <c r="H76" i="2"/>
  <c r="H73" i="2"/>
  <c r="H43" i="2"/>
  <c r="I409" i="1"/>
  <c r="G409" i="1"/>
  <c r="H646" i="1" s="1"/>
  <c r="H97" i="2"/>
  <c r="J652" i="1"/>
  <c r="H47" i="2"/>
  <c r="H48" i="2"/>
  <c r="H44" i="2"/>
  <c r="H36" i="2"/>
  <c r="H29" i="2"/>
  <c r="H15" i="2"/>
  <c r="H13" i="2"/>
  <c r="H8" i="2"/>
  <c r="H79" i="2"/>
  <c r="H61" i="2"/>
  <c r="H59" i="2"/>
  <c r="H58" i="2"/>
  <c r="H38" i="2"/>
  <c r="H35" i="2"/>
  <c r="H28" i="2"/>
  <c r="H24" i="2"/>
  <c r="H23" i="2"/>
  <c r="H22" i="2"/>
  <c r="H30" i="2"/>
  <c r="H17" i="2"/>
  <c r="H12" i="2"/>
  <c r="H11" i="2"/>
  <c r="H9" i="2"/>
  <c r="G477" i="1"/>
  <c r="B33" i="16" s="1"/>
  <c r="G662" i="1"/>
  <c r="D78" i="2"/>
  <c r="H77" i="2"/>
  <c r="C125" i="2"/>
  <c r="H125" i="2" s="1"/>
  <c r="D18" i="13"/>
  <c r="C18" i="13" s="1"/>
  <c r="E121" i="2"/>
  <c r="E111" i="2"/>
  <c r="H112" i="2"/>
  <c r="C32" i="10"/>
  <c r="D15" i="13"/>
  <c r="C15" i="13" s="1"/>
  <c r="D6" i="13"/>
  <c r="C6" i="13" s="1"/>
  <c r="E13" i="13"/>
  <c r="C13" i="13" s="1"/>
  <c r="C119" i="2"/>
  <c r="C12" i="10"/>
  <c r="C13" i="10"/>
  <c r="C121" i="2"/>
  <c r="H121" i="2" s="1"/>
  <c r="C120" i="2"/>
  <c r="H120" i="2" s="1"/>
  <c r="A40" i="1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E144" i="2" l="1"/>
  <c r="H124" i="2"/>
  <c r="H134" i="2"/>
  <c r="C81" i="2"/>
  <c r="G24" i="14"/>
  <c r="H24" i="14" s="1"/>
  <c r="I24" i="14" s="1"/>
  <c r="H119" i="2"/>
  <c r="I663" i="1"/>
  <c r="H114" i="2"/>
  <c r="J646" i="1"/>
  <c r="H85" i="2"/>
  <c r="H103" i="2"/>
  <c r="L572" i="1"/>
  <c r="H42" i="2"/>
  <c r="H21" i="2"/>
  <c r="H16" i="2"/>
  <c r="E51" i="2"/>
  <c r="H91" i="2"/>
  <c r="H78" i="2"/>
  <c r="H57" i="2"/>
  <c r="F194" i="1"/>
  <c r="G628" i="1" s="1"/>
  <c r="J628" i="1" s="1"/>
  <c r="H50" i="2"/>
  <c r="H18" i="2"/>
  <c r="D128" i="2"/>
  <c r="D145" i="2" s="1"/>
  <c r="H127" i="2"/>
  <c r="D63" i="2"/>
  <c r="H62" i="2"/>
  <c r="D51" i="2"/>
  <c r="H31" i="2"/>
  <c r="D81" i="2"/>
  <c r="F661" i="1"/>
  <c r="F665" i="1" s="1"/>
  <c r="F668" i="1" s="1"/>
  <c r="H111" i="2"/>
  <c r="E115" i="2"/>
  <c r="E128" i="2"/>
  <c r="H122" i="2"/>
  <c r="H123" i="2"/>
  <c r="H109"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81" i="2"/>
  <c r="E145" i="2"/>
  <c r="H63" i="2"/>
  <c r="H51" i="2"/>
  <c r="D104" i="2"/>
  <c r="H104" i="2" s="1"/>
  <c r="H128" i="2"/>
  <c r="H673" i="1"/>
  <c r="C6" i="10" s="1"/>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<sst xmlns="http://schemas.openxmlformats.org/spreadsheetml/2006/main" count="6544" uniqueCount="1816">
  <si>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</si>
  <si>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</si>
  <si>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</si>
  <si>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</si>
  <si>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</si>
  <si>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</si>
  <si>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</si>
  <si>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</si>
  <si>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</si>
  <si>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</si>
  <si>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</si>
  <si>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</si>
  <si>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</si>
  <si>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</si>
  <si>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</si>
  <si>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</si>
  <si>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</si>
  <si>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</si>
  <si>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</si>
  <si>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</si>
  <si>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</si>
  <si>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</si>
  <si>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</si>
  <si>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</si>
  <si>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</si>
  <si>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</si>
  <si>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</si>
  <si>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</si>
  <si>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</si>
  <si>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</si>
  <si>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</si>
  <si>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</si>
  <si>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</si>
  <si>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</si>
  <si>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</si>
  <si>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</si>
  <si>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</si>
  <si>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</si>
  <si>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</si>
  <si>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</si>
  <si>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</si>
  <si>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</si>
  <si>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</si>
  <si>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</si>
  <si>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</si>
  <si>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</si>
  <si>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</si>
  <si>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</si>
  <si>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</si>
  <si>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</si>
  <si>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</si>
  <si>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</si>
  <si>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</si>
  <si>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</si>
  <si>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</si>
  <si>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</si>
  <si>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</si>
  <si>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</si>
  <si>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</si>
  <si>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</si>
  <si>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</si>
  <si>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</si>
  <si>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</si>
  <si>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</si>
  <si>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</si>
  <si>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</si>
  <si>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</si>
  <si>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</si>
  <si>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</si>
  <si>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</si>
  <si>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</si>
  <si>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</si>
  <si>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</si>
  <si>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</si>
  <si>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</si>
  <si>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</si>
  <si>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</si>
  <si>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</si>
  <si>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</si>
  <si>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</si>
  <si>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</si>
  <si>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</si>
  <si>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</si>
  <si>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</si>
  <si>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</si>
  <si>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</si>
  <si>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</si>
  <si>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</si>
  <si>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</si>
  <si>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</si>
  <si>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</si>
  <si>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</si>
  <si>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</si>
  <si>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</si>
  <si>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</si>
  <si>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</si>
  <si>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</si>
  <si>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</si>
  <si>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</si>
  <si>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</si>
  <si>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</si>
  <si>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</si>
  <si>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</si>
  <si>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</si>
  <si>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</si>
  <si>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</si>
  <si>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</si>
  <si>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</si>
  <si>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</si>
  <si>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</si>
  <si>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</si>
  <si>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</si>
  <si>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</si>
  <si>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</si>
  <si>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</si>
  <si>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</si>
  <si>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</si>
  <si>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</si>
  <si>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</si>
  <si>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</si>
  <si>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</si>
  <si>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</si>
  <si>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</si>
  <si>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</si>
  <si>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</si>
  <si>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</si>
  <si>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</si>
  <si>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</si>
  <si>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</si>
  <si>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</si>
  <si>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</si>
  <si>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</si>
  <si>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</si>
  <si>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</si>
  <si>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</si>
  <si>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</si>
  <si>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</si>
  <si>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</si>
  <si>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</si>
  <si>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</si>
  <si>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</si>
  <si>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</si>
  <si>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</si>
  <si>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</si>
  <si>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</si>
  <si>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</si>
  <si>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</si>
  <si>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</si>
  <si>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</si>
  <si>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</si>
  <si>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</si>
  <si>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</si>
  <si>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</si>
  <si>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</si>
  <si>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</si>
  <si>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</si>
  <si>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</si>
  <si>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</si>
  <si>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</si>
  <si>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</si>
  <si>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</si>
  <si>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</si>
  <si>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</si>
  <si>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</si>
  <si>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</si>
  <si>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</si>
  <si>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</si>
  <si>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</si>
  <si>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</si>
  <si>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</si>
  <si>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</si>
  <si>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</si>
  <si>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</si>
  <si>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</si>
  <si>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</si>
  <si>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</si>
  <si>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</si>
  <si>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</si>
  <si>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</si>
  <si>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</si>
  <si>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</si>
  <si>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</si>
  <si>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</si>
  <si>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</si>
  <si>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</si>
  <si>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</si>
  <si>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</si>
  <si>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</si>
  <si>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</si>
  <si>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</si>
  <si>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</si>
  <si>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</si>
  <si>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</si>
  <si>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</si>
  <si>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</si>
  <si>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</si>
  <si>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</si>
  <si>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</si>
  <si>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</si>
  <si>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</si>
  <si>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</si>
  <si>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</si>
  <si>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</si>
  <si>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</si>
  <si>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</si>
  <si>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</si>
  <si>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</si>
  <si>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</si>
  <si>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</si>
  <si>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</si>
  <si>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</si>
  <si>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</si>
  <si>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</si>
  <si>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</si>
  <si>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</si>
  <si>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</si>
  <si>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</si>
  <si>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</si>
  <si>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</si>
  <si>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</si>
  <si>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</si>
  <si>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</si>
  <si>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</si>
  <si>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</si>
  <si>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</si>
  <si>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</si>
  <si>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</si>
  <si>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</si>
  <si>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</si>
  <si>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</si>
  <si>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</si>
  <si>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</si>
  <si>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</si>
  <si>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</si>
  <si>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</si>
  <si>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</si>
  <si>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</si>
  <si>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</si>
  <si>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</si>
  <si>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</si>
  <si>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</si>
  <si>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</si>
  <si>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</si>
  <si>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</si>
  <si>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</si>
  <si>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</si>
  <si>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</si>
  <si>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</si>
  <si>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</si>
  <si>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</si>
  <si>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</si>
  <si>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</si>
  <si>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</si>
  <si>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</si>
  <si>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</si>
  <si>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</si>
  <si>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</si>
  <si>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</si>
  <si>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</si>
  <si>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</si>
  <si>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</si>
  <si>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</si>
  <si>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</si>
  <si>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</si>
  <si>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</si>
  <si>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</si>
  <si>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</si>
  <si>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</si>
  <si>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</si>
  <si>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</si>
  <si>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</si>
  <si>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</si>
  <si>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</si>
  <si>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</si>
  <si>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</si>
  <si>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</si>
  <si>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</si>
  <si>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</si>
  <si>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</si>
  <si>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</si>
  <si>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</si>
  <si>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</si>
  <si>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</si>
  <si>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</si>
  <si>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</si>
  <si>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</si>
  <si>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</si>
  <si>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</si>
  <si>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</si>
  <si>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</si>
  <si>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</si>
  <si>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</si>
  <si>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</si>
  <si>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</si>
  <si>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</si>
  <si>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</si>
  <si>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</si>
  <si>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</si>
  <si>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</si>
  <si>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</si>
  <si>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</si>
  <si>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</si>
  <si>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</si>
  <si>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</si>
  <si>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</si>
  <si>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</si>
  <si>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</si>
  <si>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</si>
  <si>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</si>
  <si>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</si>
  <si>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</si>
  <si>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</si>
  <si>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</si>
  <si>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</si>
  <si>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</si>
  <si>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</si>
  <si>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</si>
  <si>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</si>
  <si>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</si>
  <si>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</si>
  <si>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</si>
  <si>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</si>
  <si>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</si>
  <si>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</si>
  <si>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</si>
  <si>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</si>
  <si>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</si>
  <si>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</si>
  <si>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</si>
  <si>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</si>
  <si>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</si>
  <si>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</si>
  <si>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</si>
  <si>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</si>
  <si>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</si>
  <si>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</si>
  <si>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</si>
  <si>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</si>
  <si>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</si>
  <si>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</si>
  <si>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</si>
  <si>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</si>
  <si>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</si>
  <si>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</si>
  <si>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</si>
  <si>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</si>
  <si>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</si>
  <si>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</si>
  <si>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</si>
  <si>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</si>
  <si>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</si>
  <si>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</si>
  <si>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</si>
  <si>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</si>
  <si>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</si>
  <si>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</si>
  <si>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</si>
  <si>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</si>
  <si>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</si>
  <si>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</si>
  <si>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</si>
  <si>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</si>
  <si>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</si>
  <si>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</si>
  <si>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</si>
  <si>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</si>
  <si>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</si>
  <si>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</si>
  <si>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</si>
  <si>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</si>
  <si>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</si>
  <si>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</si>
  <si>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</si>
  <si>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</si>
  <si>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</si>
  <si>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</si>
  <si>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</si>
  <si>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</si>
  <si>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</si>
  <si>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</si>
  <si>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</si>
  <si>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</si>
  <si>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</si>
  <si>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</si>
  <si>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</si>
  <si>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</si>
  <si>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</si>
  <si>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</si>
  <si>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</si>
  <si>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</si>
  <si>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</si>
  <si>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</si>
  <si>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</si>
  <si>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</si>
  <si>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</si>
  <si>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</si>
  <si>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</si>
  <si>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</si>
  <si>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</si>
  <si>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</si>
  <si>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</si>
  <si>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</si>
  <si>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</si>
  <si>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</si>
  <si>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</si>
  <si>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</si>
  <si>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</si>
  <si>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</si>
  <si>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</si>
  <si>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</si>
  <si>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</si>
  <si>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</si>
  <si>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</si>
  <si>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</si>
  <si>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</si>
  <si>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</si>
  <si>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</si>
  <si>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</si>
  <si>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</si>
  <si>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</si>
  <si>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</si>
  <si>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</si>
  <si>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</si>
  <si>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</si>
  <si>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</si>
  <si>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</si>
  <si>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</si>
  <si>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</si>
  <si>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</si>
  <si>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</si>
  <si>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</si>
  <si>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</si>
  <si>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</si>
  <si>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</si>
  <si>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</si>
  <si>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</si>
  <si>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</si>
  <si>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</si>
  <si>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</si>
  <si>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</si>
  <si>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</si>
  <si>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</si>
  <si>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</si>
  <si>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</si>
  <si>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</si>
  <si>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</si>
  <si>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</si>
  <si>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</si>
  <si>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</si>
  <si>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</si>
  <si>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</si>
  <si>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</si>
  <si>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</si>
  <si>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</si>
  <si>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</si>
  <si>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</si>
  <si>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</si>
  <si>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</si>
  <si>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</si>
  <si>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</si>
  <si>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</si>
  <si>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</si>
  <si>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</si>
  <si>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</si>
  <si>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</si>
  <si>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</si>
  <si>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</si>
  <si>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</si>
  <si>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</si>
  <si>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</si>
  <si>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</si>
  <si>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</si>
  <si>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</si>
  <si>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</si>
  <si>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</si>
  <si>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</si>
  <si>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</si>
  <si>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</si>
  <si>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</si>
  <si>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</si>
  <si>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</si>
  <si>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</si>
  <si>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</si>
  <si>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</si>
  <si>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</si>
  <si>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</si>
  <si>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</si>
  <si>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</si>
  <si>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</si>
  <si>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</si>
  <si>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</si>
  <si>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</si>
  <si>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</si>
  <si>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</si>
  <si>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</si>
  <si>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</si>
  <si>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</si>
  <si>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</si>
  <si>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</si>
  <si>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</si>
  <si>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</si>
  <si>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</si>
  <si>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</si>
  <si>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</si>
  <si>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</si>
  <si>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</si>
  <si>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</si>
  <si>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</si>
  <si>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</si>
  <si>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</si>
  <si>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</si>
  <si>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</si>
  <si>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</si>
  <si>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</si>
  <si>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</si>
  <si>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</si>
  <si>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</si>
  <si>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</si>
  <si>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</si>
  <si>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</si>
  <si>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</si>
  <si>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</si>
  <si>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</si>
  <si>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</si>
  <si>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</si>
  <si>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</si>
  <si>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</si>
  <si>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</si>
  <si>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</si>
  <si>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</si>
  <si>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</si>
  <si>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</si>
  <si>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</si>
  <si>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</si>
  <si>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</si>
  <si>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</si>
  <si>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</si>
  <si>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</si>
  <si>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</si>
  <si>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</si>
  <si>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</si>
  <si>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</si>
  <si>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</si>
  <si>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</si>
  <si>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</si>
  <si>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</si>
  <si>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</si>
  <si>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</si>
  <si>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</si>
  <si>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</si>
  <si>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</si>
  <si>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</si>
  <si>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</si>
  <si>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</si>
  <si>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</si>
  <si>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</si>
  <si>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</si>
  <si>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</si>
  <si>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</si>
  <si>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</si>
  <si>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</si>
  <si>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</si>
  <si>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</si>
  <si>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</si>
  <si>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</si>
  <si>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</si>
  <si>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</si>
  <si>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</si>
  <si>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</si>
  <si>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</si>
  <si>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</si>
  <si>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</si>
  <si>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</si>
  <si>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</si>
  <si>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</si>
  <si>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</si>
  <si>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</si>
  <si>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</si>
  <si>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</si>
  <si>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</si>
  <si>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</si>
  <si>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</si>
  <si>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</si>
  <si>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</si>
  <si>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</si>
  <si>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</si>
  <si>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</si>
  <si>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</si>
  <si>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</si>
  <si>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</si>
  <si>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</si>
  <si>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</si>
  <si>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</si>
  <si>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</si>
  <si>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</si>
  <si>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</si>
  <si>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</si>
  <si>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</si>
  <si>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</si>
  <si>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</si>
  <si>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</si>
  <si>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</si>
  <si>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</si>
  <si>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</si>
  <si>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</si>
  <si>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</si>
  <si>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</si>
  <si>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</si>
  <si>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</si>
  <si>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</si>
  <si>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</si>
  <si>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</si>
  <si>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</si>
  <si>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</si>
  <si>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</si>
  <si>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</si>
  <si>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</si>
  <si>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</si>
  <si>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</si>
  <si>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</si>
  <si>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</si>
  <si>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</si>
  <si>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</si>
  <si>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</si>
  <si>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</si>
  <si>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</si>
  <si>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</si>
  <si>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</si>
  <si>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</si>
  <si>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</si>
  <si>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</si>
  <si>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</si>
  <si>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</si>
  <si>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</si>
  <si>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</si>
  <si>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</si>
  <si>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</si>
  <si>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</si>
  <si>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</si>
  <si>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</si>
  <si>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</si>
  <si>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</si>
  <si>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</si>
  <si>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</si>
  <si>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</si>
  <si>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</si>
  <si>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</si>
  <si>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</si>
  <si>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</si>
  <si>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</si>
  <si>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</si>
  <si>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</si>
  <si>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</si>
  <si>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</si>
  <si>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</si>
  <si>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</si>
  <si>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</si>
  <si>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</si>
  <si>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</si>
  <si>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</si>
  <si>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</si>
  <si>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</si>
  <si>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</si>
  <si>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</si>
  <si>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</si>
  <si>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</si>
  <si>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</si>
  <si>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</si>
  <si>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</si>
  <si>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</si>
  <si>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</si>
  <si>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</si>
  <si>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</si>
  <si>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</si>
  <si>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</si>
  <si>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</si>
  <si>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</si>
  <si>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</si>
  <si>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</si>
  <si>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</si>
  <si>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</si>
  <si>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</si>
  <si>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</si>
  <si>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</si>
  <si>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</si>
  <si>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</si>
  <si>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</si>
  <si>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</si>
  <si>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</si>
  <si>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</si>
  <si>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</si>
  <si>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</si>
  <si>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</si>
  <si>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</si>
  <si>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</si>
  <si>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</si>
  <si>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</si>
  <si>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</si>
  <si>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</si>
  <si>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</si>
  <si>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</si>
  <si>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</si>
  <si>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</si>
  <si>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</si>
  <si>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</si>
  <si>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</si>
  <si>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</si>
  <si>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</si>
  <si>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</si>
  <si>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</si>
  <si>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</si>
  <si>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</si>
  <si>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</si>
  <si>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</si>
  <si>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</si>
  <si>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</si>
  <si>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</si>
  <si>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</si>
  <si>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</si>
  <si>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</si>
  <si>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</si>
  <si>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</si>
  <si>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</si>
  <si>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</si>
  <si>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</si>
  <si>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</si>
  <si>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</si>
  <si>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</si>
  <si>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</si>
  <si>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</si>
  <si>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</si>
  <si>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</si>
  <si>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</si>
  <si>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</si>
  <si>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</si>
  <si>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</si>
  <si>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</si>
  <si>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</si>
  <si>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</si>
  <si>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</si>
  <si>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</si>
  <si>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</si>
  <si>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</si>
  <si>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</si>
  <si>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</si>
  <si>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</si>
  <si>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</si>
  <si>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</si>
  <si>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</si>
  <si>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</si>
  <si>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</si>
  <si>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</si>
  <si>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</si>
  <si>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</si>
  <si>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</si>
  <si>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</si>
  <si>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</si>
  <si>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</si>
  <si>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</si>
  <si>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</si>
  <si>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</si>
  <si>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</si>
  <si>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</si>
  <si>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</si>
  <si>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</si>
  <si>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</si>
  <si>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</si>
  <si>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</si>
  <si>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</si>
  <si>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</si>
  <si>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</si>
  <si>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</si>
  <si>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</si>
  <si>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</si>
  <si>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</si>
  <si>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</si>
  <si>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</si>
  <si>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</si>
  <si>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</si>
  <si>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</si>
  <si>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</si>
  <si>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</si>
  <si>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</si>
  <si>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</si>
  <si>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</si>
  <si>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</si>
  <si>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</si>
  <si>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</si>
  <si>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</si>
  <si>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</si>
  <si>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</si>
  <si>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</si>
  <si>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</si>
  <si>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</si>
  <si>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</si>
  <si>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</si>
  <si>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</si>
  <si>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</si>
  <si>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</si>
  <si>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</si>
  <si>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</si>
  <si>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</si>
  <si>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</si>
  <si>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</si>
  <si>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</si>
  <si>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</si>
  <si>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</si>
  <si>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</si>
  <si>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</si>
  <si>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</si>
  <si>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</si>
  <si>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</si>
  <si>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</si>
  <si>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</si>
  <si>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</si>
  <si>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</si>
  <si>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</si>
  <si>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</si>
  <si>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</si>
  <si>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</si>
  <si>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</si>
  <si>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</si>
  <si>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</si>
  <si>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</si>
  <si>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</si>
  <si>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</si>
  <si>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</si>
  <si>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</si>
  <si>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</si>
  <si>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</si>
  <si>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</si>
  <si>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</si>
  <si>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</si>
  <si>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</si>
  <si>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</si>
  <si>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</si>
  <si>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</si>
  <si>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</si>
  <si>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</si>
  <si>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</si>
  <si>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</si>
  <si>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</si>
  <si>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</si>
  <si>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</si>
  <si>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</si>
  <si>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</si>
  <si>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</si>
  <si>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</si>
  <si>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</si>
  <si>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</si>
  <si>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</si>
  <si>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</si>
  <si>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</si>
  <si>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</si>
  <si>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</si>
  <si>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</si>
  <si>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</si>
  <si>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</si>
  <si>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</si>
  <si>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</si>
  <si>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</si>
  <si>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</si>
  <si>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</si>
  <si>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</si>
  <si>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</si>
  <si>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</si>
  <si>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</si>
  <si>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</si>
  <si>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</si>
  <si>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</si>
  <si>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</si>
  <si>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</si>
  <si>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</si>
  <si>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</si>
  <si>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</si>
  <si>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</si>
  <si>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</si>
  <si>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</si>
  <si>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</si>
  <si>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</si>
  <si>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</si>
  <si>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</si>
  <si>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</si>
  <si>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</si>
  <si>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</si>
  <si>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</si>
  <si>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</si>
  <si>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</si>
  <si>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</si>
  <si>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</si>
  <si>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</si>
  <si>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</si>
  <si>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</si>
  <si>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</si>
  <si>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</si>
  <si>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</si>
  <si>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</si>
  <si>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</si>
  <si>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</si>
  <si>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</si>
  <si>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</si>
  <si>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</si>
  <si>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</si>
  <si>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</si>
  <si>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</si>
  <si>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</si>
  <si>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</si>
  <si>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</si>
  <si>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</si>
  <si>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</si>
  <si>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</si>
  <si>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</si>
  <si>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</si>
  <si>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</si>
  <si>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</si>
  <si>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</si>
  <si>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</si>
  <si>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</si>
  <si>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</si>
  <si>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</si>
  <si>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</si>
  <si>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</si>
  <si>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</si>
  <si>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</si>
  <si>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</si>
  <si>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</si>
  <si>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</si>
  <si>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</si>
  <si>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</si>
  <si>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</si>
  <si>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</si>
  <si>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</si>
  <si>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</si>
  <si>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</si>
  <si>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</si>
  <si>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</si>
  <si>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</si>
  <si>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</si>
  <si>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</si>
  <si>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</si>
  <si>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</si>
  <si>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</si>
  <si>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</si>
  <si>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</si>
  <si>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</si>
  <si>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</si>
  <si>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</si>
  <si>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</si>
  <si>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</si>
  <si>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</si>
  <si>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</si>
  <si>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</si>
  <si>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</si>
  <si>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</si>
  <si>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</si>
  <si>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</si>
  <si>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</si>
  <si>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</si>
  <si>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</si>
  <si>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</si>
  <si>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</si>
  <si>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</si>
  <si>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</si>
  <si>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</si>
  <si>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</si>
  <si>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</si>
  <si>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</si>
  <si>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</si>
  <si>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</si>
  <si>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</si>
  <si>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</si>
  <si>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</si>
  <si>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</si>
  <si>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</si>
  <si>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</si>
  <si>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</si>
  <si>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</si>
  <si>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</si>
  <si>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</si>
  <si>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</si>
  <si>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</si>
  <si>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</si>
  <si>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</si>
  <si>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</si>
  <si>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</si>
  <si>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</si>
  <si>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</si>
  <si>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</si>
  <si>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</si>
  <si>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</si>
  <si>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</si>
  <si>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</si>
  <si>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</si>
  <si>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</si>
  <si>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</si>
  <si>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</si>
  <si>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</si>
  <si>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</si>
  <si>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</si>
  <si>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</si>
  <si>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</si>
  <si>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</si>
  <si>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</si>
  <si>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</si>
  <si>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</si>
  <si>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</si>
  <si>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</si>
  <si>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</si>
  <si>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</si>
  <si>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</si>
  <si>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</si>
  <si>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</si>
  <si>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</si>
  <si>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</si>
  <si>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</si>
  <si>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</si>
  <si>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</si>
  <si>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</si>
  <si>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</si>
  <si>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</si>
  <si>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</si>
  <si>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</si>
  <si>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</si>
  <si>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</si>
  <si>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</si>
  <si>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</si>
  <si>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</si>
  <si>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</si>
  <si>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</si>
  <si>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</si>
  <si>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</si>
  <si>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</si>
  <si>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</si>
  <si>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</si>
  <si>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</si>
  <si>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</si>
  <si>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</si>
  <si>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</si>
  <si>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</si>
  <si>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</si>
  <si>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</si>
  <si>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</si>
  <si>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</si>
  <si>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</si>
  <si>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</si>
  <si>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</si>
  <si>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</si>
  <si>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</si>
  <si>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</si>
  <si>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</si>
  <si>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</si>
  <si>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</si>
  <si>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</si>
  <si>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</si>
  <si>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</si>
  <si>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</si>
  <si>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</si>
  <si>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</si>
  <si>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</si>
  <si>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</si>
  <si>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</si>
  <si>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</si>
  <si>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</si>
  <si>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</si>
  <si>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</si>
  <si>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</si>
  <si>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</si>
  <si>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</si>
  <si>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</si>
  <si>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</si>
  <si>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</si>
  <si>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</si>
  <si>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</si>
  <si>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</si>
  <si>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</si>
  <si>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</si>
  <si>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</si>
  <si>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</si>
  <si>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</si>
  <si>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</si>
  <si>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</si>
  <si>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</si>
  <si>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</si>
  <si>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</si>
  <si>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</si>
  <si>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</si>
  <si>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</si>
  <si>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</si>
  <si>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</si>
  <si>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</si>
  <si>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</si>
  <si>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</si>
  <si>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</si>
  <si>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</si>
  <si>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</si>
  <si>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</si>
  <si>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</si>
  <si>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</si>
  <si>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</si>
  <si>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</si>
  <si>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</si>
  <si>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</si>
  <si>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</si>
  <si>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</si>
  <si>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</si>
  <si>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</si>
  <si>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</si>
  <si>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</si>
  <si>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</si>
  <si>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</si>
  <si>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</si>
  <si>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</si>
  <si>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</si>
  <si>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</si>
  <si>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</si>
  <si>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</si>
  <si>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</si>
  <si>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</si>
  <si>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</si>
  <si>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</si>
  <si>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</si>
  <si>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</si>
  <si>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</si>
  <si>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</si>
  <si>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</si>
  <si>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</si>
  <si>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</si>
  <si>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</si>
  <si>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</si>
  <si>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</si>
  <si>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</si>
  <si>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</si>
  <si>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</si>
  <si>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</si>
  <si>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</si>
  <si>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</si>
  <si>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</si>
  <si>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</si>
  <si>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</si>
  <si>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</si>
  <si>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</si>
  <si>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</si>
  <si>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</si>
  <si>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</si>
  <si>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</si>
  <si>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</si>
  <si>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</si>
  <si>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</si>
  <si>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</si>
  <si>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</si>
  <si>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</si>
  <si>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</si>
  <si>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</si>
  <si>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</si>
  <si>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</si>
  <si>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</si>
  <si>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</si>
  <si>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</si>
  <si>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</si>
  <si>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</si>
  <si>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</si>
  <si>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</si>
  <si>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</si>
  <si>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</si>
  <si>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</si>
  <si>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</si>
  <si>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</si>
  <si>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</si>
  <si>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</si>
  <si>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</si>
  <si>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</si>
  <si>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</si>
  <si>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</si>
  <si>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</si>
  <si>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</si>
  <si>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</si>
  <si>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</si>
  <si>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</si>
  <si>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</si>
  <si>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</si>
  <si>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</si>
  <si>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</si>
  <si>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</si>
  <si>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</si>
  <si>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</si>
  <si>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</si>
  <si>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</si>
  <si>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</si>
  <si>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</si>
  <si>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</si>
  <si>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</si>
  <si>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</si>
  <si>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</si>
  <si>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</si>
  <si>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</si>
  <si>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</si>
  <si>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</si>
  <si>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</si>
  <si>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</si>
  <si>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</si>
  <si>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</si>
  <si>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</si>
  <si>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</si>
  <si>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</si>
  <si>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</si>
  <si>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</si>
  <si>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</si>
  <si>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</si>
  <si>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</si>
  <si>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</si>
  <si>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</si>
  <si>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</si>
  <si>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</si>
  <si>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</si>
  <si>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</si>
  <si>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</si>
  <si>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</si>
  <si>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</si>
  <si>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</si>
  <si>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</si>
  <si>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</si>
  <si>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</si>
  <si>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</si>
  <si>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</si>
  <si>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</si>
  <si>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</si>
  <si>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</si>
  <si>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</si>
  <si>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</si>
  <si>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</si>
  <si>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</si>
  <si>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</si>
  <si>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</si>
  <si>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</si>
  <si>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</si>
  <si>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</si>
  <si>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</si>
  <si>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</si>
  <si>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</si>
  <si>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</si>
  <si>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</si>
  <si>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</si>
  <si>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</si>
  <si>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</si>
  <si>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</si>
  <si>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</si>
  <si>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</si>
  <si>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</si>
  <si>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</si>
  <si>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</si>
  <si>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</si>
  <si>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</si>
  <si>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</si>
  <si>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</si>
  <si>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</si>
  <si>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</si>
  <si>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</si>
  <si>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</si>
  <si>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</si>
  <si>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</si>
  <si>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</si>
  <si>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</si>
  <si>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</si>
  <si>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</si>
  <si>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</si>
  <si>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</si>
  <si>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</si>
  <si>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</si>
  <si>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</si>
  <si>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</si>
  <si>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</si>
  <si>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</si>
  <si>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</si>
  <si>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</si>
  <si>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</si>
  <si>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</si>
  <si>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</si>
  <si>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</si>
  <si>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</si>
  <si>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</si>
  <si>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</si>
  <si>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</si>
  <si>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</si>
  <si>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</si>
  <si>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</si>
  <si>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</si>
  <si>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</si>
  <si>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</si>
  <si>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</si>
  <si>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</si>
  <si>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</si>
  <si>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</si>
  <si>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</si>
  <si>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</si>
  <si>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</si>
  <si>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</si>
  <si>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</si>
  <si>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</si>
  <si>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</si>
  <si>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</si>
  <si>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</si>
  <si>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</si>
  <si>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</si>
  <si>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</si>
  <si>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</si>
  <si>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</si>
  <si>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</si>
  <si>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</si>
  <si>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</si>
  <si>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</si>
  <si>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</si>
  <si>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</si>
  <si>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</si>
  <si>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</si>
  <si>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</si>
  <si>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</si>
  <si>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</si>
  <si>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</si>
  <si>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</si>
  <si>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</si>
  <si>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</si>
  <si>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</si>
  <si>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</si>
  <si>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</si>
  <si>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</si>
  <si>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</si>
  <si>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</si>
  <si>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</si>
  <si>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</si>
  <si>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</si>
  <si>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</si>
  <si>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</si>
  <si>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</si>
  <si>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</si>
  <si>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</si>
  <si>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</si>
  <si>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</si>
  <si>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</si>
  <si>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</si>
  <si>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</si>
  <si>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</si>
  <si>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</si>
  <si>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</si>
  <si>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</si>
  <si>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</si>
  <si>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</si>
  <si>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</si>
  <si>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</si>
  <si>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</si>
  <si>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</si>
  <si>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</si>
  <si>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</si>
  <si>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</si>
  <si>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</si>
  <si>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</si>
  <si>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</si>
  <si>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</si>
  <si>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</si>
  <si>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</si>
  <si>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</si>
  <si>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</si>
  <si>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</si>
  <si>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</si>
  <si>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</si>
  <si>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</si>
  <si>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</si>
  <si>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</si>
  <si>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</si>
  <si>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</si>
  <si>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</si>
  <si>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</si>
  <si>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</si>
  <si>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</si>
  <si>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</si>
  <si>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</si>
  <si>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</si>
  <si>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</si>
  <si>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</si>
  <si>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</si>
  <si>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</si>
  <si>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</si>
  <si>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</si>
  <si>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</si>
  <si>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</si>
  <si>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</si>
  <si>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</si>
  <si>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</si>
  <si>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</si>
  <si>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</si>
  <si>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</si>
  <si>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</si>
  <si>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</si>
  <si>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</si>
  <si>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</si>
  <si>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</si>
  <si>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</si>
  <si>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</si>
  <si>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</si>
  <si>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</si>
  <si>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</si>
  <si>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</si>
  <si>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</si>
  <si>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</si>
  <si>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</si>
  <si>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</si>
  <si>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</si>
  <si>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</si>
  <si>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</si>
  <si>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</si>
  <si>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</si>
  <si>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</si>
  <si>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</si>
  <si>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</si>
  <si>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</si>
  <si>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</si>
  <si>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</si>
  <si>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</si>
  <si>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</si>
  <si>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</si>
  <si>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</si>
  <si>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</si>
  <si>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</si>
  <si>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</si>
  <si>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</si>
  <si>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</si>
  <si>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</si>
  <si>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</si>
  <si>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</si>
  <si>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</si>
  <si>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</si>
  <si>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</si>
  <si>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</si>
  <si>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</si>
  <si>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</si>
  <si>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</si>
  <si>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</si>
  <si>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</si>
  <si>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</si>
  <si>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</si>
  <si>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</si>
  <si>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</si>
  <si>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</si>
  <si>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</si>
  <si>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</si>
  <si>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</si>
  <si>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</si>
  <si>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</si>
  <si>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</si>
  <si>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</si>
  <si>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</si>
  <si>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</si>
  <si>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</si>
  <si>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</si>
  <si>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</si>
  <si>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</si>
  <si>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</si>
  <si>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</si>
  <si>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</si>
  <si>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</si>
  <si>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</si>
  <si>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</si>
  <si>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</si>
  <si>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</si>
  <si>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</si>
  <si>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</si>
  <si>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</si>
  <si>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</si>
  <si>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</si>
  <si>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</si>
  <si>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</si>
  <si>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</si>
  <si>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</si>
  <si>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</si>
  <si>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</si>
  <si>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</si>
  <si>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</si>
  <si>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</si>
  <si>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</si>
  <si>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</si>
  <si>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</si>
  <si>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</si>
  <si>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</si>
  <si>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</si>
  <si>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</si>
  <si>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</si>
  <si>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</si>
  <si>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</si>
  <si>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</si>
  <si>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</si>
  <si>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</si>
  <si>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</si>
  <si>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</si>
  <si>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</si>
  <si>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</si>
  <si>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</si>
  <si>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</si>
  <si>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</si>
  <si>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</si>
  <si>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</si>
  <si>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</si>
  <si>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</si>
  <si>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</si>
  <si>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</si>
  <si>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</si>
  <si>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</si>
  <si>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</si>
  <si>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</si>
  <si>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</si>
  <si>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</si>
  <si>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</si>
  <si>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</si>
  <si>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</si>
  <si>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</si>
  <si>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</si>
  <si>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</si>
  <si>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</si>
  <si>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</si>
  <si>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</si>
  <si>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</si>
  <si>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</si>
  <si>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</si>
  <si>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</si>
  <si>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</si>
  <si>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</si>
  <si>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</si>
  <si>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</si>
  <si>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</si>
  <si>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</si>
  <si>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</si>
  <si>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</si>
  <si>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</si>
  <si>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</si>
  <si>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</si>
  <si>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</si>
  <si>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</si>
  <si>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</si>
  <si>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</si>
  <si>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</si>
  <si>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</si>
  <si>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</si>
  <si>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</si>
  <si>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</si>
  <si>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</si>
  <si>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</si>
  <si>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</si>
  <si>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</si>
  <si>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</si>
  <si>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</si>
  <si>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</si>
  <si>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</si>
  <si>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</si>
  <si>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</si>
  <si>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</si>
  <si>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</si>
  <si>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</si>
  <si>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</si>
  <si>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</si>
  <si>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</si>
  <si>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</si>
  <si>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</si>
  <si>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</si>
  <si>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</si>
  <si>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</si>
  <si>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</si>
  <si>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</si>
  <si>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</si>
  <si>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</si>
  <si>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</si>
  <si>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</si>
  <si>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</si>
  <si>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</si>
  <si>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</si>
  <si>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</si>
  <si>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</si>
  <si>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</si>
  <si>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</si>
  <si>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</si>
  <si>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</si>
  <si>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</si>
  <si>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</si>
  <si>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</si>
  <si>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</si>
  <si>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</si>
  <si>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</si>
  <si>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</si>
  <si>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</si>
  <si>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</si>
  <si>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</si>
  <si>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</si>
  <si>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</si>
  <si>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</si>
  <si>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</si>
  <si>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</si>
  <si>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</si>
  <si>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</si>
  <si>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</si>
  <si>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</si>
  <si>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</si>
  <si>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</si>
  <si>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</si>
  <si>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</si>
  <si>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</si>
  <si>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</si>
  <si>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</si>
  <si>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</si>
  <si>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</si>
  <si>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</si>
  <si>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</si>
  <si>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</si>
  <si>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</si>
  <si>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</si>
  <si>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</si>
  <si>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</si>
  <si>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</si>
  <si>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</si>
  <si>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</si>
  <si>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</si>
  <si>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</si>
  <si>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</si>
  <si>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</si>
  <si>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</si>
  <si>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</si>
  <si>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</si>
  <si>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</si>
  <si>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</si>
  <si>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</si>
  <si>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</si>
  <si>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</si>
  <si>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</si>
  <si>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</si>
  <si>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</si>
  <si>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</si>
  <si>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</si>
  <si>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</si>
  <si>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</si>
  <si>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</si>
  <si>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</si>
  <si>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</si>
  <si>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</si>
  <si>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</si>
  <si>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</si>
  <si>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</si>
  <si>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</si>
  <si>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</si>
  <si>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</si>
  <si>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</si>
  <si>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</si>
  <si>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</si>
  <si>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</si>
  <si>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</si>
  <si>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</si>
  <si>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</si>
  <si>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</si>
  <si>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</si>
  <si>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</si>
  <si>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</si>
  <si>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</si>
  <si>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</si>
  <si>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</si>
  <si>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</si>
  <si>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</si>
  <si>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</si>
  <si>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</si>
  <si>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</si>
  <si>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</si>
  <si>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</si>
  <si>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</si>
  <si>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</si>
  <si>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</si>
  <si>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</si>
  <si>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</si>
  <si>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</si>
  <si>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</si>
  <si>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</si>
  <si>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</si>
  <si>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</si>
  <si>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</si>
  <si>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</si>
  <si>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</si>
  <si>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</si>
  <si>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</si>
  <si>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</si>
  <si>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</si>
  <si>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</si>
  <si>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</si>
  <si>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</si>
  <si>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</si>
  <si>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</si>
  <si>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</si>
  <si>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</si>
  <si>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</si>
  <si>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</si>
  <si>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</si>
  <si>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</si>
  <si>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</si>
  <si>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</si>
  <si>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</si>
  <si>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</si>
  <si>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</si>
  <si>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</si>
  <si>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</si>
  <si>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</si>
  <si>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</si>
  <si>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</si>
  <si>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</si>
  <si>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</si>
  <si>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</si>
  <si>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</si>
  <si>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</si>
  <si>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</si>
  <si>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</si>
  <si>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</si>
  <si>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</si>
  <si>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</si>
  <si>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</si>
  <si>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</si>
  <si>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</si>
  <si>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</si>
  <si>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</si>
  <si>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</si>
  <si>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</si>
  <si>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</si>
  <si>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</si>
  <si>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</si>
  <si>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</si>
  <si>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</si>
  <si>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</si>
  <si>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</si>
  <si>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</si>
  <si>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</si>
  <si>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</si>
  <si>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</si>
  <si>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</si>
  <si>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</si>
  <si>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</si>
  <si>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</si>
  <si>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</si>
  <si>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</si>
  <si>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</si>
  <si>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</si>
  <si>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</si>
  <si>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</si>
  <si>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</si>
  <si>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</si>
  <si>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</si>
  <si>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</si>
  <si>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</si>
  <si>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</si>
  <si>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</si>
  <si>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</si>
  <si>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</si>
  <si>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</si>
  <si>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</si>
  <si>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</si>
  <si>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</si>
  <si>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</si>
  <si>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</si>
  <si>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</si>
  <si>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</si>
  <si>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</si>
  <si>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</si>
  <si>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</si>
  <si>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</si>
  <si>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</si>
  <si>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</si>
  <si>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</si>
  <si>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</si>
  <si>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</si>
  <si>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</si>
  <si>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</si>
  <si>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</si>
  <si>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</si>
  <si>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</si>
  <si>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</si>
  <si>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</si>
  <si>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</si>
  <si>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</si>
  <si>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</si>
  <si>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</si>
  <si>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</si>
  <si>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</si>
  <si>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</si>
  <si>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</si>
  <si>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</si>
  <si>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</si>
  <si>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</si>
  <si>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</si>
  <si>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</si>
  <si>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</si>
  <si>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</si>
  <si>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</si>
  <si>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</si>
  <si>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</si>
  <si>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</si>
  <si>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</si>
  <si>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</si>
  <si>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</si>
  <si>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</si>
  <si>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</si>
  <si>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</si>
  <si>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</si>
  <si>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</si>
  <si>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FS:  Change in Ending Inventory (Decreased) and FY21 Adj for Contract </t>
  </si>
  <si>
    <t>07/10</t>
  </si>
  <si>
    <t>11/20</t>
  </si>
  <si>
    <t>01/26</t>
  </si>
  <si>
    <t>08/25</t>
  </si>
  <si>
    <t>03/21</t>
  </si>
  <si>
    <t>05/26</t>
  </si>
  <si>
    <t>No tranfer for Food Service in FY22</t>
  </si>
  <si>
    <t>Indirect Costs</t>
  </si>
  <si>
    <t>Local Revenue/Donations Balances</t>
  </si>
  <si>
    <t>SF: Correction of FY21 Decrease in Exp for Local Rev Returned</t>
  </si>
  <si>
    <t>Fnd 70: Change in Student Activities</t>
  </si>
  <si>
    <t>GF:  Accrued Wage correction &amp; Workers Comp (Function 2900)</t>
  </si>
  <si>
    <t>Indirect Cost: Super: Salary/Benefits of Super and Admin Assist, Membership Dues, Mileage &amp; Rent of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</si>
</sst>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38" fontId="7" fillId="0" borderId="0" xfId="0" quotePrefix="1" applyNumberFormat="1" applyFont="1" applyAlignment="1" applyProtection="1">
      <alignment horizontal="center"/>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30" zoomScaleNormal="13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1787</v>
      </c>
      <c r="B2" s="126">
        <f>INDEX('School Tables'!$AH$3:$AH$208,MATCH('DOE25'!A2,'School Tables'!$AJ$3:$AJ$208,0))</f>
        <v>388</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-80940.38</f>
        <v>-80940.38</v>
      </c>
      <c r="G9" s="18">
        <f>514731.42+188</f>
        <v>514919.42</v>
      </c>
      <c r="H9" s="18">
        <v>0</v>
      </c>
      <c r="I9" s="18">
        <v>0</v>
      </c>
      <c r="J9" s="67">
        <f>SUM(I440)</f>
        <v>152040.36000000002</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669569.58000000007</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1201513.1+62659.48</f>
        <v>1264172.58</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f>9522.92+778742.46</f>
        <v>788265.38</v>
      </c>
      <c r="G13" s="18">
        <v>152696.56</v>
      </c>
      <c r="H13" s="18">
        <f>922580.65+399.73</f>
        <v>922980.38</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2645.18</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1971497.58</v>
      </c>
      <c r="G19" s="41">
        <f>SUM(G9:G18)</f>
        <v>670261.16</v>
      </c>
      <c r="H19" s="41">
        <f>SUM(H9:H18)</f>
        <v>922980.38</v>
      </c>
      <c r="I19" s="41">
        <f>SUM(I9:I18)</f>
        <v>0</v>
      </c>
      <c r="J19" s="41">
        <f>SUM(J9:J18)</f>
        <v>821609.94000000006</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f>-(-497792.65+24148.43+457.58)</f>
        <v>473186.64</v>
      </c>
      <c r="H22" s="18">
        <f>922980.38-211221.23</f>
        <v>711759.15</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f>81382.91+369787.46+70790.87-5942.93</f>
        <v>516018.31</v>
      </c>
      <c r="G28" s="18">
        <v>125334.25</v>
      </c>
      <c r="H28" s="18">
        <f>13931.32+170640.3+26445.82</f>
        <v>211017.44</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2069.1</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518087.41</v>
      </c>
      <c r="G32" s="41">
        <f>SUM(G22:G31)</f>
        <v>598520.89</v>
      </c>
      <c r="H32" s="41">
        <f>SUM(H22:H31)</f>
        <v>922776.59000000008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2645.183</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96875.739999999991</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f>670261.16-601166.07</f>
        <v>69095.090000000084</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450000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470000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203.79</v>
      </c>
      <c r="I48" s="18">
        <v>0</v>
      </c>
      <c r="J48" s="13">
        <f>SUM(I460)</f>
        <v>724734.2</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f>1971497.58-1444030.34+5942.93</f>
        <v>533410.17000000004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1453410.17</v>
      </c>
      <c r="G51" s="41">
        <f>SUM(G35:G50)</f>
        <v>71740.273000000088</v>
      </c>
      <c r="H51" s="41">
        <f>SUM(H35:H50)</f>
        <v>203.79</v>
      </c>
      <c r="I51" s="41">
        <f>SUM(I35:I50)</f>
        <v>0</v>
      </c>
      <c r="J51" s="41">
        <f>SUM(J35:J50)</f>
        <v>821609.94</v>
      </c>
      <c r="K51" s="45" t="s">
        <v>288</v>
      </c>
      <c r="L51" s="45" t="s">
        <v>288</v>
      </c>
      <c r="N51" s="262"/>
    </row>
    <row r="52" spans="1:14" s="3" customFormat="1" ht="12.2" customHeight="1" thickTop="1" x14ac:dyDescent="0.15">
      <c r="A52" s="38" t="s">
        <v>455</v>
      </c>
      <c r="B52" s="39" t="s">
        <v>289</v>
      </c>
      <c r="C52" s="6">
        <v>37</v>
      </c>
      <c r="D52" s="39" t="s">
        <v>653</v>
      </c>
      <c r="E52" s="39"/>
      <c r="F52" s="41">
        <f>F51+F32</f>
        <v>1971497.5799999998</v>
      </c>
      <c r="G52" s="41">
        <f>G51+G32</f>
        <v>670261.16300000006</v>
      </c>
      <c r="H52" s="41">
        <f>H51+H32</f>
        <v>922980.38000000012</v>
      </c>
      <c r="I52" s="41">
        <f>I51+I32</f>
        <v>0</v>
      </c>
      <c r="J52" s="41">
        <f>J51+J32</f>
        <v>821609.94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14233036</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14233036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991842.04-68740.42</f>
        <v>923101.62</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f>68740.42</f>
        <v>68740.42</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991842.04</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699.92</v>
      </c>
      <c r="G96" s="18">
        <v>538.4</v>
      </c>
      <c r="H96" s="18">
        <v>0</v>
      </c>
      <c r="I96" s="18">
        <v>0</v>
      </c>
      <c r="J96" s="18">
        <v>0</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42435.7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750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f>26494+5779.82+35100.28+11000</f>
        <v>78374.100000000006</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266645.88</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0</v>
      </c>
      <c r="G110" s="18">
        <v>0</v>
      </c>
      <c r="H110" s="18">
        <v>-12446.53</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268095.8</v>
      </c>
      <c r="G111" s="41">
        <f>SUM(G96:G110)</f>
        <v>42974.1</v>
      </c>
      <c r="H111" s="41">
        <f>SUM(H96:H110)</f>
        <v>65927.570000000007</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15492973.84</v>
      </c>
      <c r="G112" s="41">
        <f>G60+G111</f>
        <v>42974.1</v>
      </c>
      <c r="H112" s="41">
        <f>H60+H79+H94+H111</f>
        <v>65927.570000000007</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4035623.77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3792142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7833751.3999999994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97426.2</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94060.46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6088.2</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1268.67+8093.79</f>
        <v>9362.4599999999991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197574.86000000002</v>
      </c>
      <c r="G136" s="41">
        <f>SUM(G123:G135)</f>
        <v>9362.4599999999991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8031326.2599999998</v>
      </c>
      <c r="G140" s="41">
        <f>G121+SUM(G136:G137)</f>
        <v>9362.4599999999991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408471.07</f>
        <v>408471.07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34255.99+56635.6+12581.51+349408.59</f>
        <v>452881.69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763011.57-9362.46</f>
        <v>753649.11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5960.84+358701.18</f>
        <v>364662.02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261523.39</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26489.5</v>
      </c>
      <c r="G161" s="18"/>
      <c r="H161" s="18">
        <f>6498+45124.91+11502.99+21987.28-0.04</f>
        <v>85113.14</v>
      </c>
      <c r="I161" s="18"/>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v>0</v>
      </c>
      <c r="G162" s="18"/>
      <c r="H162" s="18">
        <f>117181.81+661899.41</f>
        <v>779081.22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288012.89</v>
      </c>
      <c r="G163" s="41">
        <f>SUM(G150:G162)</f>
        <v>753649.11</v>
      </c>
      <c r="H163" s="41">
        <f>SUM(H150:H162)</f>
        <v>2090209.14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3</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288015.89</v>
      </c>
      <c r="G170" s="41">
        <f>G147+G163+SUM(G164:G169)</f>
        <v>753649.11</v>
      </c>
      <c r="H170" s="41">
        <f>H147+H163+SUM(H164:H169)</f>
        <v>2090209.14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350000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14243.87</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14243.87</v>
      </c>
      <c r="G184" s="41">
        <f>SUM(G180:G183)</f>
        <v>0</v>
      </c>
      <c r="H184" s="41">
        <f>SUM(H180:H183)</f>
        <v>0</v>
      </c>
      <c r="I184" s="41">
        <f>SUM(I180:I183)</f>
        <v>0</v>
      </c>
      <c r="J184" s="41">
        <f>SUM(J180:J183)</f>
        <v>350000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5" t="s">
        <v>430</v>
      </c>
      <c r="E193" s="51">
        <v>5000</v>
      </c>
      <c r="F193" s="41">
        <f>F178+F184+SUM(F189:F192)</f>
        <v>14243.87</v>
      </c>
      <c r="G193" s="41">
        <f>G184+SUM(G189:G192)</f>
        <v>0</v>
      </c>
      <c r="H193" s="41">
        <f>+H184+SUM(H189:H192)</f>
        <v>0</v>
      </c>
      <c r="I193" s="41">
        <f>I178+I184+SUM(I189:I192)</f>
        <v>0</v>
      </c>
      <c r="J193" s="41">
        <f>J184</f>
        <v>350000</v>
      </c>
      <c r="K193" s="45" t="s">
        <v>288</v>
      </c>
      <c r="L193" s="45" t="s">
        <v>288</v>
      </c>
      <c r="M193" s="8"/>
      <c r="N193" s="264"/>
    </row>
    <row r="194" spans="1:14" s="3" customFormat="1" ht="12.2" customHeight="1" thickTop="1" x14ac:dyDescent="0.2">
      <c r="A194" s="46" t="s">
        <v>457</v>
      </c>
      <c r="B194" s="39" t="s">
        <v>330</v>
      </c>
      <c r="C194" s="40">
        <v>19</v>
      </c>
      <c r="D194" s="156" t="s">
        <v>430</v>
      </c>
      <c r="E194" s="44"/>
      <c r="F194" s="47">
        <f>F112+F140+F170+F193</f>
        <v>23826559.860000003</v>
      </c>
      <c r="G194" s="47">
        <f>G112+G140+G170+G193</f>
        <v>805985.66999999993</v>
      </c>
      <c r="H194" s="47">
        <f>H112+H140+H170+H193</f>
        <v>2156136.71</v>
      </c>
      <c r="I194" s="47">
        <f>I112+I140+I170+I193</f>
        <v>0</v>
      </c>
      <c r="J194" s="47">
        <f>J112+J140+J193</f>
        <v>350000</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2150555.4700000002</v>
      </c>
      <c r="G198" s="18">
        <v>1294617.7</v>
      </c>
      <c r="H198" s="18">
        <v>100829.32</v>
      </c>
      <c r="I198" s="18">
        <v>91925.75</v>
      </c>
      <c r="J198" s="18">
        <v>11233.33</v>
      </c>
      <c r="K198" s="18">
        <v>17395.75</v>
      </c>
      <c r="L198" s="19">
        <f>SUM(F198:K198)</f>
        <v>3666557.32</v>
      </c>
      <c r="M198" s="8"/>
      <c r="N198" s="264"/>
    </row>
    <row r="199" spans="1:14" s="3" customFormat="1" ht="12.2" customHeight="1" x14ac:dyDescent="0.15">
      <c r="A199" s="1" t="s">
        <v>439</v>
      </c>
      <c r="B199" s="2" t="s">
        <v>341</v>
      </c>
      <c r="C199" s="2" t="s">
        <v>291</v>
      </c>
      <c r="D199" s="2" t="s">
        <v>431</v>
      </c>
      <c r="E199" s="6">
        <v>1200</v>
      </c>
      <c r="F199" s="18">
        <v>1097275.1399999999</v>
      </c>
      <c r="G199" s="18">
        <v>638313.71</v>
      </c>
      <c r="H199" s="18">
        <v>168093.91</v>
      </c>
      <c r="I199" s="18">
        <v>3914.13</v>
      </c>
      <c r="J199" s="18">
        <v>1346.12</v>
      </c>
      <c r="K199" s="18">
        <v>3040.34</v>
      </c>
      <c r="L199" s="19">
        <f>SUM(F199:K199)</f>
        <v>1911983.3499999999</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55.13</v>
      </c>
      <c r="G201" s="18">
        <v>0</v>
      </c>
      <c r="H201" s="18">
        <v>0</v>
      </c>
      <c r="I201" s="18">
        <v>0</v>
      </c>
      <c r="J201" s="18">
        <v>0</v>
      </c>
      <c r="K201" s="18">
        <v>0</v>
      </c>
      <c r="L201" s="19">
        <f>SUM(F201:K201)</f>
        <v>55.13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544799.30000000005</v>
      </c>
      <c r="G203" s="18">
        <v>341446.54</v>
      </c>
      <c r="H203" s="18">
        <v>430617.03</v>
      </c>
      <c r="I203" s="18">
        <v>7375.25</v>
      </c>
      <c r="J203" s="18">
        <v>579.34</v>
      </c>
      <c r="K203" s="18">
        <v>391.75</v>
      </c>
      <c r="L203" s="19">
        <f t="shared" ref="L203:L209" si="0">SUM(F203:K203)</f>
        <v>1325209.2100000002</v>
      </c>
      <c r="M203" s="8"/>
      <c r="N203" s="264"/>
    </row>
    <row r="204" spans="1:14" s="3" customFormat="1" ht="12.2" customHeight="1" x14ac:dyDescent="0.15">
      <c r="A204" s="1" t="s">
        <v>443</v>
      </c>
      <c r="B204" s="2" t="s">
        <v>341</v>
      </c>
      <c r="C204" s="2" t="s">
        <v>295</v>
      </c>
      <c r="D204" s="2" t="s">
        <v>431</v>
      </c>
      <c r="E204" s="6">
        <v>2200</v>
      </c>
      <c r="F204" s="18">
        <v>94657.51</v>
      </c>
      <c r="G204" s="18">
        <v>43855.98</v>
      </c>
      <c r="H204" s="18">
        <v>22173.82</v>
      </c>
      <c r="I204" s="18">
        <v>14595.37</v>
      </c>
      <c r="J204" s="18">
        <v>58651.48</v>
      </c>
      <c r="K204" s="18">
        <v>79512.100000000006</v>
      </c>
      <c r="L204" s="19">
        <f t="shared" si="0"/>
        <v>313446.26</v>
      </c>
      <c r="M204" s="8"/>
      <c r="N204" s="264"/>
    </row>
    <row r="205" spans="1:14" s="3" customFormat="1" ht="12.2" customHeight="1" x14ac:dyDescent="0.15">
      <c r="A205" s="1" t="s">
        <v>444</v>
      </c>
      <c r="B205" s="2" t="s">
        <v>341</v>
      </c>
      <c r="C205" s="2" t="s">
        <v>296</v>
      </c>
      <c r="D205" s="2" t="s">
        <v>431</v>
      </c>
      <c r="E205" s="6">
        <v>2300</v>
      </c>
      <c r="F205" s="18">
        <v>307370.96000000002</v>
      </c>
      <c r="G205" s="18">
        <v>166930.1</v>
      </c>
      <c r="H205" s="18">
        <v>53047.06</v>
      </c>
      <c r="I205" s="18">
        <v>4212.58</v>
      </c>
      <c r="J205" s="18">
        <v>7525.68</v>
      </c>
      <c r="K205" s="18">
        <v>5194.22</v>
      </c>
      <c r="L205" s="19">
        <f t="shared" si="0"/>
        <v>544280.60000000009</v>
      </c>
      <c r="M205" s="8"/>
      <c r="N205" s="264"/>
    </row>
    <row r="206" spans="1:14" s="3" customFormat="1" ht="12.2" customHeight="1" x14ac:dyDescent="0.15">
      <c r="A206" s="1" t="s">
        <v>445</v>
      </c>
      <c r="B206" s="2" t="s">
        <v>341</v>
      </c>
      <c r="C206" s="2" t="s">
        <v>297</v>
      </c>
      <c r="D206" s="2" t="s">
        <v>431</v>
      </c>
      <c r="E206" s="6">
        <v>2400</v>
      </c>
      <c r="F206" s="18">
        <v>512758.83</v>
      </c>
      <c r="G206" s="18">
        <v>336500.02</v>
      </c>
      <c r="H206" s="18">
        <v>2474.4899999999998</v>
      </c>
      <c r="I206" s="18">
        <v>3828.43</v>
      </c>
      <c r="J206" s="18">
        <v>0</v>
      </c>
      <c r="K206" s="18">
        <v>1787</v>
      </c>
      <c r="L206" s="19">
        <f t="shared" si="0"/>
        <v>857348.77000000014</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274454.07</v>
      </c>
      <c r="G208" s="18">
        <v>133131.45000000001</v>
      </c>
      <c r="H208" s="18">
        <v>318377.86</v>
      </c>
      <c r="I208" s="18">
        <v>196493.74</v>
      </c>
      <c r="J208" s="18">
        <v>4820.05</v>
      </c>
      <c r="K208" s="18">
        <v>0</v>
      </c>
      <c r="L208" s="19">
        <f t="shared" si="0"/>
        <v>927277.17</v>
      </c>
      <c r="M208" s="8"/>
      <c r="N208" s="264"/>
    </row>
    <row r="209" spans="1:14" s="3" customFormat="1" ht="12.2" customHeight="1" x14ac:dyDescent="0.15">
      <c r="A209" s="1" t="s">
        <v>448</v>
      </c>
      <c r="B209" s="2" t="s">
        <v>341</v>
      </c>
      <c r="C209" s="2" t="s">
        <v>300</v>
      </c>
      <c r="D209" s="2" t="s">
        <v>431</v>
      </c>
      <c r="E209" s="6">
        <v>2700</v>
      </c>
      <c r="F209" s="18">
        <v>0</v>
      </c>
      <c r="G209" s="18">
        <v>0</v>
      </c>
      <c r="H209" s="18">
        <v>508230.57</v>
      </c>
      <c r="I209" s="18">
        <v>72926.31</v>
      </c>
      <c r="J209" s="18">
        <v>0</v>
      </c>
      <c r="K209" s="18">
        <v>0</v>
      </c>
      <c r="L209" s="19">
        <f t="shared" si="0"/>
        <v>581156.88</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4981926.41</v>
      </c>
      <c r="G212" s="41">
        <f t="shared" si="1"/>
        <v>2954795.5</v>
      </c>
      <c r="H212" s="41">
        <f t="shared" si="1"/>
        <v>1603844.0599999998</v>
      </c>
      <c r="I212" s="41">
        <f t="shared" si="1"/>
        <v>395271.56</v>
      </c>
      <c r="J212" s="41">
        <f t="shared" si="1"/>
        <v>84156.000000000015</v>
      </c>
      <c r="K212" s="41">
        <f t="shared" si="1"/>
        <v>107321.16</v>
      </c>
      <c r="L212" s="41">
        <f t="shared" si="1"/>
        <v>10127314.689999999</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1338789.94</v>
      </c>
      <c r="G216" s="18">
        <v>746552.83</v>
      </c>
      <c r="H216" s="18">
        <v>16353.017845667799</v>
      </c>
      <c r="I216" s="18">
        <v>47897.55</v>
      </c>
      <c r="J216" s="18">
        <v>10934.1</v>
      </c>
      <c r="K216" s="18">
        <v>5523.1627498590387</v>
      </c>
      <c r="L216" s="19">
        <f>SUM(F216:K216)</f>
        <v>2166050.6005955269</v>
      </c>
      <c r="M216" s="8"/>
      <c r="N216" s="264"/>
    </row>
    <row r="217" spans="1:14" s="3" customFormat="1" ht="12.2" customHeight="1" x14ac:dyDescent="0.15">
      <c r="A217" s="1" t="s">
        <v>439</v>
      </c>
      <c r="B217" s="2" t="s">
        <v>346</v>
      </c>
      <c r="C217" s="2" t="s">
        <v>291</v>
      </c>
      <c r="D217" s="2" t="s">
        <v>431</v>
      </c>
      <c r="E217" s="6">
        <v>1200</v>
      </c>
      <c r="F217" s="18">
        <v>432262.46592841868</v>
      </c>
      <c r="G217" s="18">
        <v>257878.95106459147</v>
      </c>
      <c r="H217" s="18">
        <v>110571.44354926476</v>
      </c>
      <c r="I217" s="18">
        <v>191.84</v>
      </c>
      <c r="J217" s="18">
        <v>296.20999999999998</v>
      </c>
      <c r="K217" s="18">
        <v>1237.5522918922788</v>
      </c>
      <c r="L217" s="19">
        <f>SUM(F217:K217)</f>
        <v>802438.46283416706</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47380.09</v>
      </c>
      <c r="G219" s="18">
        <v>7276.4400000000005</v>
      </c>
      <c r="H219" s="18">
        <v>9711.5</v>
      </c>
      <c r="I219" s="18">
        <v>2500.12</v>
      </c>
      <c r="J219" s="18">
        <v>1706.91</v>
      </c>
      <c r="K219" s="18">
        <v>3264</v>
      </c>
      <c r="L219" s="19">
        <f>SUM(F219:K219)</f>
        <v>71839.06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263794.5410361308</v>
      </c>
      <c r="G221" s="18">
        <v>152838.75879856443</v>
      </c>
      <c r="H221" s="18">
        <v>185066.09827562133</v>
      </c>
      <c r="I221" s="18">
        <v>1393.897633912989</v>
      </c>
      <c r="J221" s="18">
        <v>5183.08</v>
      </c>
      <c r="K221" s="18">
        <v>199.11767338208051</v>
      </c>
      <c r="L221" s="19">
        <f t="shared" ref="L221:L227" si="2">SUM(F221:K221)</f>
        <v>608475.49341761158</v>
      </c>
      <c r="M221" s="8"/>
      <c r="N221" s="264"/>
    </row>
    <row r="222" spans="1:14" s="3" customFormat="1" ht="12.2" customHeight="1" x14ac:dyDescent="0.15">
      <c r="A222" s="1" t="s">
        <v>443</v>
      </c>
      <c r="B222" s="2" t="s">
        <v>346</v>
      </c>
      <c r="C222" s="2" t="s">
        <v>295</v>
      </c>
      <c r="D222" s="2" t="s">
        <v>431</v>
      </c>
      <c r="E222" s="6">
        <v>2200</v>
      </c>
      <c r="F222" s="18">
        <v>72801.376782418796</v>
      </c>
      <c r="G222" s="18">
        <v>33057.909081829006</v>
      </c>
      <c r="H222" s="18">
        <v>12179.28</v>
      </c>
      <c r="I222" s="18">
        <v>6570.2588052768651</v>
      </c>
      <c r="J222" s="18">
        <v>32573.66</v>
      </c>
      <c r="K222" s="18">
        <v>41888.69</v>
      </c>
      <c r="L222" s="19">
        <f t="shared" si="2"/>
        <v>199071.17466952465</v>
      </c>
      <c r="M222" s="8"/>
      <c r="N222" s="264"/>
    </row>
    <row r="223" spans="1:14" s="3" customFormat="1" ht="12.2" customHeight="1" x14ac:dyDescent="0.15">
      <c r="A223" s="1" t="s">
        <v>444</v>
      </c>
      <c r="B223" s="2" t="s">
        <v>346</v>
      </c>
      <c r="C223" s="2" t="s">
        <v>296</v>
      </c>
      <c r="D223" s="2" t="s">
        <v>431</v>
      </c>
      <c r="E223" s="6">
        <v>2300</v>
      </c>
      <c r="F223" s="18">
        <v>147622.93476958465</v>
      </c>
      <c r="G223" s="18">
        <v>80194.377757153212</v>
      </c>
      <c r="H223" s="18">
        <v>23545.781107103543</v>
      </c>
      <c r="I223" s="18">
        <v>2025.4666496916759</v>
      </c>
      <c r="J223" s="18">
        <v>3618.4499531024849</v>
      </c>
      <c r="K223" s="18">
        <v>2497.4529607188565</v>
      </c>
      <c r="L223" s="19">
        <f t="shared" si="2"/>
        <v>259504.4631973544</v>
      </c>
      <c r="M223" s="8"/>
      <c r="N223" s="264"/>
    </row>
    <row r="224" spans="1:14" s="3" customFormat="1" ht="12.2" customHeight="1" x14ac:dyDescent="0.15">
      <c r="A224" s="1" t="s">
        <v>445</v>
      </c>
      <c r="B224" s="2" t="s">
        <v>346</v>
      </c>
      <c r="C224" s="2" t="s">
        <v>297</v>
      </c>
      <c r="D224" s="2" t="s">
        <v>431</v>
      </c>
      <c r="E224" s="6">
        <v>2400</v>
      </c>
      <c r="F224" s="18">
        <v>205986.28</v>
      </c>
      <c r="G224" s="18">
        <v>143312.14000000001</v>
      </c>
      <c r="H224" s="18">
        <v>2200</v>
      </c>
      <c r="I224" s="18">
        <v>3233.21</v>
      </c>
      <c r="J224" s="18">
        <v>1175.95</v>
      </c>
      <c r="K224" s="18">
        <v>1160</v>
      </c>
      <c r="L224" s="19">
        <f t="shared" si="2"/>
        <v>357067.58000000007</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141848.6091216561</v>
      </c>
      <c r="G226" s="18">
        <v>62868.500050298477</v>
      </c>
      <c r="H226" s="18">
        <v>146443.26</v>
      </c>
      <c r="I226" s="18">
        <v>118692.51</v>
      </c>
      <c r="J226" s="18">
        <v>2231.5005039692842</v>
      </c>
      <c r="K226" s="18">
        <v>0</v>
      </c>
      <c r="L226" s="19">
        <f t="shared" si="2"/>
        <v>472084.37967592385</v>
      </c>
      <c r="M226" s="8"/>
      <c r="N226" s="264"/>
    </row>
    <row r="227" spans="1:14" s="3" customFormat="1" ht="12.2" customHeight="1" x14ac:dyDescent="0.15">
      <c r="A227" s="1" t="s">
        <v>448</v>
      </c>
      <c r="B227" s="2" t="s">
        <v>346</v>
      </c>
      <c r="C227" s="2" t="s">
        <v>300</v>
      </c>
      <c r="D227" s="2" t="s">
        <v>431</v>
      </c>
      <c r="E227" s="6">
        <v>2700</v>
      </c>
      <c r="F227" s="18">
        <v>0</v>
      </c>
      <c r="G227" s="18">
        <v>0</v>
      </c>
      <c r="H227" s="18">
        <v>249725.875</v>
      </c>
      <c r="I227" s="18">
        <v>35063.983421281089</v>
      </c>
      <c r="J227" s="18">
        <v>0</v>
      </c>
      <c r="K227" s="18">
        <v>0</v>
      </c>
      <c r="L227" s="19">
        <f t="shared" si="2"/>
        <v>284789.8584212811</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2650486.237638209</v>
      </c>
      <c r="G230" s="41">
        <f>SUM(G216:G229)</f>
        <v>1483979.9067524364</v>
      </c>
      <c r="H230" s="41">
        <f>SUM(H216:H229)</f>
        <v>755796.2557776575</v>
      </c>
      <c r="I230" s="41">
        <f>SUM(I216:I229)</f>
        <v>217568.83651016263</v>
      </c>
      <c r="J230" s="41">
        <f>SUM(J216:J229)</f>
        <v>57719.860457071765</v>
      </c>
      <c r="K230" s="41">
        <f t="shared" si="3"/>
        <v>55769.975675852264</v>
      </c>
      <c r="L230" s="41">
        <f t="shared" si="3"/>
        <v>5221321.0728113893</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1729488.43</v>
      </c>
      <c r="G234" s="18">
        <v>978750.8</v>
      </c>
      <c r="H234" s="18">
        <v>23417.581321095826</v>
      </c>
      <c r="I234" s="18">
        <v>37415.370000000003</v>
      </c>
      <c r="J234" s="18">
        <v>13325.29</v>
      </c>
      <c r="K234" s="18">
        <v>4636.4816048078901</v>
      </c>
      <c r="L234" s="19">
        <f>SUM(F234:K234)</f>
        <v>2787033.9529259042</v>
      </c>
      <c r="M234" s="8"/>
      <c r="N234" s="264"/>
    </row>
    <row r="235" spans="1:14" s="3" customFormat="1" ht="12.2" customHeight="1" x14ac:dyDescent="0.15">
      <c r="A235" s="1" t="s">
        <v>439</v>
      </c>
      <c r="B235" s="2" t="s">
        <v>350</v>
      </c>
      <c r="C235" s="2" t="s">
        <v>291</v>
      </c>
      <c r="D235" s="2" t="s">
        <v>431</v>
      </c>
      <c r="E235" s="6">
        <v>1200</v>
      </c>
      <c r="F235" s="18">
        <v>691514.96065101621</v>
      </c>
      <c r="G235" s="18">
        <v>393199.87</v>
      </c>
      <c r="H235" s="18">
        <v>55447.953894283695</v>
      </c>
      <c r="I235" s="18">
        <v>2527.71</v>
      </c>
      <c r="J235" s="18">
        <v>139.99</v>
      </c>
      <c r="K235" s="18">
        <v>1429.2787806646202</v>
      </c>
      <c r="L235" s="19">
        <f>SUM(F235:K235)</f>
        <v>1144259.7633259643</v>
      </c>
      <c r="M235" s="8"/>
      <c r="N235" s="264"/>
    </row>
    <row r="236" spans="1:14" s="3" customFormat="1" ht="12.2" customHeight="1" x14ac:dyDescent="0.15">
      <c r="A236" s="1" t="s">
        <v>440</v>
      </c>
      <c r="B236" s="2" t="s">
        <v>350</v>
      </c>
      <c r="C236" s="2" t="s">
        <v>292</v>
      </c>
      <c r="D236" s="2" t="s">
        <v>431</v>
      </c>
      <c r="E236" s="6">
        <v>1300</v>
      </c>
      <c r="F236" s="18">
        <v>0</v>
      </c>
      <c r="G236" s="18">
        <v>0</v>
      </c>
      <c r="H236" s="18">
        <v>51539.25</v>
      </c>
      <c r="I236" s="18">
        <v>0</v>
      </c>
      <c r="J236" s="18">
        <v>0</v>
      </c>
      <c r="K236" s="18">
        <v>0</v>
      </c>
      <c r="L236" s="19">
        <f>SUM(F236:K236)</f>
        <v>51539.25</v>
      </c>
      <c r="M236" s="8"/>
      <c r="N236" s="264"/>
    </row>
    <row r="237" spans="1:14" s="3" customFormat="1" ht="12.2" customHeight="1" x14ac:dyDescent="0.15">
      <c r="A237" s="1" t="s">
        <v>441</v>
      </c>
      <c r="B237" s="2" t="s">
        <v>350</v>
      </c>
      <c r="C237" s="2" t="s">
        <v>293</v>
      </c>
      <c r="D237" s="2" t="s">
        <v>431</v>
      </c>
      <c r="E237" s="6">
        <v>1400</v>
      </c>
      <c r="F237" s="18">
        <v>213153.13</v>
      </c>
      <c r="G237" s="18">
        <v>52596.85</v>
      </c>
      <c r="H237" s="18">
        <v>31799.11</v>
      </c>
      <c r="I237" s="18">
        <v>18019.61</v>
      </c>
      <c r="J237" s="18">
        <v>10563.2</v>
      </c>
      <c r="K237" s="18">
        <v>9451.17</v>
      </c>
      <c r="L237" s="19">
        <f>SUM(F237:K237)</f>
        <v>335583.06999999995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307202.57818352676</v>
      </c>
      <c r="G239" s="18">
        <v>176477.23281975786</v>
      </c>
      <c r="H239" s="18">
        <v>228836.3</v>
      </c>
      <c r="I239" s="18">
        <v>3438.3654325042735</v>
      </c>
      <c r="J239" s="18">
        <v>357.79</v>
      </c>
      <c r="K239" s="18">
        <v>189.12608629500684</v>
      </c>
      <c r="L239" s="19">
        <f t="shared" ref="L239:L245" si="4">SUM(F239:K239)</f>
        <v>716501.39252208394</v>
      </c>
      <c r="M239" s="8"/>
      <c r="N239" s="264"/>
    </row>
    <row r="240" spans="1:14" s="3" customFormat="1" ht="12.2" customHeight="1" x14ac:dyDescent="0.15">
      <c r="A240" s="1" t="s">
        <v>443</v>
      </c>
      <c r="B240" s="2" t="s">
        <v>350</v>
      </c>
      <c r="C240" s="2" t="s">
        <v>295</v>
      </c>
      <c r="D240" s="2" t="s">
        <v>431</v>
      </c>
      <c r="E240" s="6">
        <v>2200</v>
      </c>
      <c r="F240" s="18">
        <v>116965.59044346791</v>
      </c>
      <c r="G240" s="18">
        <v>72050.783634378371</v>
      </c>
      <c r="H240" s="18">
        <v>21676.44</v>
      </c>
      <c r="I240" s="18">
        <v>25794.364971763043</v>
      </c>
      <c r="J240" s="18">
        <v>52634.40748355454</v>
      </c>
      <c r="K240" s="18">
        <v>63064.97</v>
      </c>
      <c r="L240" s="19">
        <f t="shared" si="4"/>
        <v>352186.55653316388</v>
      </c>
      <c r="M240" s="8"/>
      <c r="N240" s="264"/>
    </row>
    <row r="241" spans="1:14" s="3" customFormat="1" ht="12.2" customHeight="1" x14ac:dyDescent="0.15">
      <c r="A241" s="1" t="s">
        <v>444</v>
      </c>
      <c r="B241" s="2" t="s">
        <v>350</v>
      </c>
      <c r="C241" s="2" t="s">
        <v>296</v>
      </c>
      <c r="D241" s="2" t="s">
        <v>431</v>
      </c>
      <c r="E241" s="6">
        <v>2300</v>
      </c>
      <c r="F241" s="18">
        <v>214404.01512883394</v>
      </c>
      <c r="G241" s="18">
        <v>116494.79094332021</v>
      </c>
      <c r="H241" s="18">
        <v>33967.534937395394</v>
      </c>
      <c r="I241" s="18">
        <v>2944.0638911512269</v>
      </c>
      <c r="J241" s="18">
        <v>5259.5029646568146</v>
      </c>
      <c r="K241" s="18">
        <v>3630.1072064654127</v>
      </c>
      <c r="L241" s="19">
        <f t="shared" si="4"/>
        <v>376700.01507182297</v>
      </c>
      <c r="M241" s="8"/>
      <c r="N241" s="264"/>
    </row>
    <row r="242" spans="1:14" s="3" customFormat="1" ht="12.2" customHeight="1" x14ac:dyDescent="0.15">
      <c r="A242" s="1" t="s">
        <v>445</v>
      </c>
      <c r="B242" s="2" t="s">
        <v>350</v>
      </c>
      <c r="C242" s="2" t="s">
        <v>297</v>
      </c>
      <c r="D242" s="2" t="s">
        <v>431</v>
      </c>
      <c r="E242" s="6">
        <v>2400</v>
      </c>
      <c r="F242" s="18">
        <v>257225.25</v>
      </c>
      <c r="G242" s="18">
        <v>167414.85999999999</v>
      </c>
      <c r="H242" s="18">
        <v>11008.04</v>
      </c>
      <c r="I242" s="18">
        <v>13564.829999999998</v>
      </c>
      <c r="J242" s="18">
        <v>0</v>
      </c>
      <c r="K242" s="18">
        <v>4239</v>
      </c>
      <c r="L242" s="19">
        <f t="shared" si="4"/>
        <v>453451.98</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153199.24640294272</v>
      </c>
      <c r="G244" s="18">
        <v>60851.442125692498</v>
      </c>
      <c r="H244" s="18">
        <v>407696.87</v>
      </c>
      <c r="I244" s="18">
        <v>148220.32999999999</v>
      </c>
      <c r="J244" s="18">
        <v>8482.5795725524222</v>
      </c>
      <c r="K244" s="18">
        <v>0</v>
      </c>
      <c r="L244" s="19">
        <f t="shared" si="4"/>
        <v>778450.46810118761</v>
      </c>
      <c r="M244" s="8"/>
      <c r="N244" s="264"/>
    </row>
    <row r="245" spans="1:14" s="3" customFormat="1" ht="12.2" customHeight="1" x14ac:dyDescent="0.15">
      <c r="A245" s="1" t="s">
        <v>448</v>
      </c>
      <c r="B245" s="2" t="s">
        <v>350</v>
      </c>
      <c r="C245" s="2" t="s">
        <v>300</v>
      </c>
      <c r="D245" s="2" t="s">
        <v>431</v>
      </c>
      <c r="E245" s="6">
        <v>2700</v>
      </c>
      <c r="F245" s="18">
        <v>0</v>
      </c>
      <c r="G245" s="18">
        <v>0</v>
      </c>
      <c r="H245" s="18">
        <v>421279.39</v>
      </c>
      <c r="I245" s="18">
        <v>50966.332862717369</v>
      </c>
      <c r="J245" s="18">
        <v>0</v>
      </c>
      <c r="K245" s="18">
        <v>0</v>
      </c>
      <c r="L245" s="19">
        <f t="shared" si="4"/>
        <v>472245.7228627174</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3683153.200809787</v>
      </c>
      <c r="G248" s="41">
        <f t="shared" si="5"/>
        <v>2017836.6295231488</v>
      </c>
      <c r="H248" s="41">
        <f t="shared" si="5"/>
        <v>1286668.4701527748</v>
      </c>
      <c r="I248" s="41">
        <f t="shared" si="5"/>
        <v>302890.97715813591</v>
      </c>
      <c r="J248" s="41">
        <f t="shared" si="5"/>
        <v>90762.760020763788</v>
      </c>
      <c r="K248" s="41">
        <f t="shared" si="5"/>
        <v>86640.133678232931</v>
      </c>
      <c r="L248" s="41">
        <f t="shared" si="5"/>
        <v>7467952.1713428441</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126314.18</v>
      </c>
      <c r="I256" s="18">
        <v>0</v>
      </c>
      <c r="J256" s="18">
        <v>0</v>
      </c>
      <c r="K256" s="18">
        <v>0</v>
      </c>
      <c r="L256" s="19">
        <f t="shared" si="6"/>
        <v>126314.18</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126314.18</v>
      </c>
      <c r="I257" s="41">
        <f t="shared" si="7"/>
        <v>0</v>
      </c>
      <c r="J257" s="41">
        <f t="shared" si="7"/>
        <v>0</v>
      </c>
      <c r="K257" s="41">
        <f t="shared" si="7"/>
        <v>0</v>
      </c>
      <c r="L257" s="41">
        <f>SUM(F257:K257)</f>
        <v>126314.18</v>
      </c>
      <c r="M257" s="8"/>
      <c r="N257" s="264"/>
    </row>
    <row r="258" spans="1:14" s="3" customFormat="1" ht="12.2" customHeight="1" thickTop="1" x14ac:dyDescent="0.15">
      <c r="A258" s="38" t="s">
        <v>462</v>
      </c>
      <c r="B258" s="40">
        <v>10</v>
      </c>
      <c r="C258" s="40">
        <v>8</v>
      </c>
      <c r="D258" s="39" t="s">
        <v>431</v>
      </c>
      <c r="E258" s="40"/>
      <c r="F258" s="41">
        <f t="shared" ref="F258:L258" si="8">F212+F230+F248+F257</f>
        <v>11315565.848447997</v>
      </c>
      <c r="G258" s="41">
        <f t="shared" si="8"/>
        <v>6456612.0362755852</v>
      </c>
      <c r="H258" s="41">
        <f t="shared" si="8"/>
        <v>3772622.9659304325</v>
      </c>
      <c r="I258" s="41">
        <f t="shared" si="8"/>
        <v>915731.37366829859</v>
      </c>
      <c r="J258" s="41">
        <f t="shared" si="8"/>
        <v>232638.62047783556</v>
      </c>
      <c r="K258" s="41">
        <f t="shared" si="8"/>
        <v>249731.26935408521</v>
      </c>
      <c r="L258" s="41">
        <f t="shared" si="8"/>
        <v>22942902.114154235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191915.7</v>
      </c>
      <c r="L261" s="19">
        <f>SUM(F261:K261)</f>
        <v>191915.7</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65220.11</v>
      </c>
      <c r="L262" s="19">
        <f>SUM(F262:K262)</f>
        <v>65220.11</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607135.81000000006</v>
      </c>
      <c r="L271" s="41">
        <f t="shared" si="9"/>
        <v>607135.81000000006</v>
      </c>
      <c r="M271" s="8"/>
      <c r="N271" s="264"/>
    </row>
    <row r="272" spans="1:14" s="34" customFormat="1" ht="12.2" customHeight="1" thickTop="1" x14ac:dyDescent="0.2">
      <c r="A272" s="43" t="s">
        <v>464</v>
      </c>
      <c r="B272" s="40">
        <v>10</v>
      </c>
      <c r="C272" s="40">
        <v>18</v>
      </c>
      <c r="D272" s="39" t="s">
        <v>431</v>
      </c>
      <c r="E272" s="40"/>
      <c r="F272" s="42">
        <f t="shared" ref="F272:L272" si="11">F258+F271</f>
        <v>11315565.848447997</v>
      </c>
      <c r="G272" s="42">
        <f t="shared" si="11"/>
        <v>6456612.0362755852</v>
      </c>
      <c r="H272" s="42">
        <f t="shared" si="11"/>
        <v>3772622.9659304325</v>
      </c>
      <c r="I272" s="42">
        <f t="shared" si="11"/>
        <v>915731.37366829859</v>
      </c>
      <c r="J272" s="42">
        <f t="shared" si="11"/>
        <v>232638.62047783556</v>
      </c>
      <c r="K272" s="42">
        <f t="shared" si="11"/>
        <v>856867.07935408526</v>
      </c>
      <c r="L272" s="42">
        <f t="shared" si="11"/>
        <v>23550037.924154233</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358253.21</v>
      </c>
      <c r="G277" s="18">
        <v>175762.72</v>
      </c>
      <c r="H277" s="18">
        <v>2963.7991909283737</v>
      </c>
      <c r="I277" s="18">
        <v>13912.56</v>
      </c>
      <c r="J277" s="18">
        <v>14470.5</v>
      </c>
      <c r="K277" s="18">
        <v>8562.8700000000008</v>
      </c>
      <c r="L277" s="19">
        <f>SUM(F277:K277)</f>
        <v>573925.65919092845</v>
      </c>
      <c r="M277" s="8"/>
      <c r="N277" s="264"/>
    </row>
    <row r="278" spans="1:14" s="3" customFormat="1" ht="12.2" customHeight="1" x14ac:dyDescent="0.15">
      <c r="A278" s="1" t="s">
        <v>439</v>
      </c>
      <c r="B278" s="2" t="s">
        <v>357</v>
      </c>
      <c r="C278" s="2" t="s">
        <v>291</v>
      </c>
      <c r="D278" s="2" t="s">
        <v>431</v>
      </c>
      <c r="E278" s="6">
        <v>1200</v>
      </c>
      <c r="F278" s="18">
        <v>61026.53</v>
      </c>
      <c r="G278" s="18">
        <v>18840.487016816878</v>
      </c>
      <c r="H278" s="18">
        <v>6326.2945624837776</v>
      </c>
      <c r="I278" s="18">
        <v>179.87421164740942</v>
      </c>
      <c r="J278" s="18">
        <v>234.62434929698475</v>
      </c>
      <c r="K278" s="18">
        <v>0</v>
      </c>
      <c r="L278" s="19">
        <f>SUM(F278:K278)</f>
        <v>86607.810140245041</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119174.53773245147</v>
      </c>
      <c r="G280" s="18">
        <v>18729.003500040275</v>
      </c>
      <c r="H280" s="18">
        <v>343.15999999999997</v>
      </c>
      <c r="I280" s="18">
        <v>16378.120000000003</v>
      </c>
      <c r="J280" s="18">
        <v>5951.38</v>
      </c>
      <c r="K280" s="18">
        <v>5356.25</v>
      </c>
      <c r="L280" s="19">
        <f>SUM(F280:K280)</f>
        <v>165932.45123249176</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87318.58</v>
      </c>
      <c r="G282" s="18">
        <v>57632.440000000017</v>
      </c>
      <c r="H282" s="18">
        <v>101405.1218729471</v>
      </c>
      <c r="I282" s="18">
        <v>1673.1750422883119</v>
      </c>
      <c r="J282" s="18">
        <v>0</v>
      </c>
      <c r="K282" s="18">
        <v>0</v>
      </c>
      <c r="L282" s="19">
        <f t="shared" ref="L282:L288" si="12">SUM(F282:K282)</f>
        <v>248029.31691523542</v>
      </c>
      <c r="M282" s="8"/>
      <c r="N282" s="264"/>
    </row>
    <row r="283" spans="1:14" s="3" customFormat="1" ht="12.2" customHeight="1" x14ac:dyDescent="0.15">
      <c r="A283" s="1" t="s">
        <v>443</v>
      </c>
      <c r="B283" s="2" t="s">
        <v>357</v>
      </c>
      <c r="C283" s="2" t="s">
        <v>295</v>
      </c>
      <c r="D283" s="2" t="s">
        <v>431</v>
      </c>
      <c r="E283" s="6">
        <v>2200</v>
      </c>
      <c r="F283" s="18">
        <v>24998.5</v>
      </c>
      <c r="G283" s="18">
        <v>4975.5</v>
      </c>
      <c r="H283" s="18">
        <v>49925.38</v>
      </c>
      <c r="I283" s="18">
        <v>45232.680047524009</v>
      </c>
      <c r="J283" s="18">
        <v>19261</v>
      </c>
      <c r="K283" s="18">
        <v>286.74</v>
      </c>
      <c r="L283" s="19">
        <f t="shared" si="12"/>
        <v>144679.80004752401</v>
      </c>
      <c r="M283" s="8"/>
      <c r="N283" s="264"/>
    </row>
    <row r="284" spans="1:14" s="3" customFormat="1" ht="12.2" customHeight="1" x14ac:dyDescent="0.15">
      <c r="A284" s="1" t="s">
        <v>444</v>
      </c>
      <c r="B284" s="2" t="s">
        <v>357</v>
      </c>
      <c r="C284" s="2" t="s">
        <v>296</v>
      </c>
      <c r="D284" s="2" t="s">
        <v>431</v>
      </c>
      <c r="E284" s="6">
        <v>2300</v>
      </c>
      <c r="F284" s="18">
        <v>28018.559999999998</v>
      </c>
      <c r="G284" s="18">
        <v>11237.019999999999</v>
      </c>
      <c r="H284" s="18">
        <v>469.92</v>
      </c>
      <c r="I284" s="18">
        <v>0</v>
      </c>
      <c r="J284" s="18">
        <v>0</v>
      </c>
      <c r="K284" s="18">
        <v>0</v>
      </c>
      <c r="L284" s="19">
        <f t="shared" si="12"/>
        <v>39725.499999999993</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12347.734608396802</v>
      </c>
      <c r="G287" s="18">
        <v>2613.0267979021419</v>
      </c>
      <c r="H287" s="18">
        <v>100123.12</v>
      </c>
      <c r="I287" s="18">
        <v>0</v>
      </c>
      <c r="J287" s="18">
        <v>0</v>
      </c>
      <c r="K287" s="18">
        <v>0</v>
      </c>
      <c r="L287" s="19">
        <f t="shared" si="12"/>
        <v>115083.88140629894</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691137.65234084812</v>
      </c>
      <c r="G291" s="42">
        <f t="shared" si="13"/>
        <v>289790.19731475931</v>
      </c>
      <c r="H291" s="42">
        <f t="shared" si="13"/>
        <v>261556.79562635926</v>
      </c>
      <c r="I291" s="42">
        <f t="shared" si="13"/>
        <v>77376.409301459731</v>
      </c>
      <c r="J291" s="42">
        <f t="shared" si="13"/>
        <v>39917.504349296985</v>
      </c>
      <c r="K291" s="42">
        <f t="shared" si="13"/>
        <v>14205.86</v>
      </c>
      <c r="L291" s="41">
        <f t="shared" si="13"/>
        <v>1373984.4189327236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37512.86</v>
      </c>
      <c r="G296" s="18">
        <v>18782.189999999999</v>
      </c>
      <c r="H296" s="18">
        <v>8876.84</v>
      </c>
      <c r="I296" s="18">
        <v>22288.893819283468</v>
      </c>
      <c r="J296" s="18">
        <v>3999.99</v>
      </c>
      <c r="K296" s="18">
        <v>1761.1598743433005</v>
      </c>
      <c r="L296" s="19">
        <f>SUM(F296:K296)</f>
        <v>93221.933693626779</v>
      </c>
      <c r="M296" s="8"/>
      <c r="N296" s="264"/>
    </row>
    <row r="297" spans="1:14" s="3" customFormat="1" ht="12.2" customHeight="1" x14ac:dyDescent="0.15">
      <c r="A297" s="1" t="s">
        <v>439</v>
      </c>
      <c r="B297" s="2" t="s">
        <v>358</v>
      </c>
      <c r="C297" s="2" t="s">
        <v>291</v>
      </c>
      <c r="D297" s="2" t="s">
        <v>431</v>
      </c>
      <c r="E297" s="6">
        <v>1200</v>
      </c>
      <c r="F297" s="18">
        <v>46640.28861070588</v>
      </c>
      <c r="G297" s="18">
        <v>24192.895506788504</v>
      </c>
      <c r="H297" s="18">
        <v>3041.7701972559585</v>
      </c>
      <c r="I297" s="18">
        <v>73.696367501096375</v>
      </c>
      <c r="J297" s="18">
        <v>81.562548665121312</v>
      </c>
      <c r="K297" s="18">
        <v>0</v>
      </c>
      <c r="L297" s="19">
        <f>SUM(F297:K297)</f>
        <v>74030.213230916561</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34386.853390135409</v>
      </c>
      <c r="G299" s="18">
        <v>6785.699510261069</v>
      </c>
      <c r="H299" s="18">
        <v>3625</v>
      </c>
      <c r="I299" s="18">
        <v>11325.29</v>
      </c>
      <c r="J299" s="18">
        <v>1983.8</v>
      </c>
      <c r="K299" s="18">
        <v>243.25</v>
      </c>
      <c r="L299" s="19">
        <f>SUM(F299:K299)</f>
        <v>58349.89290039648</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1452.5</v>
      </c>
      <c r="G301" s="18">
        <v>408.71999999999997</v>
      </c>
      <c r="H301" s="18">
        <v>42084.494963081634</v>
      </c>
      <c r="I301" s="18">
        <v>804.4857741222379</v>
      </c>
      <c r="J301" s="18">
        <v>0</v>
      </c>
      <c r="K301" s="18">
        <v>0</v>
      </c>
      <c r="L301" s="19">
        <f t="shared" ref="L301:L307" si="14">SUM(F301:K301)</f>
        <v>44750.200737203872</v>
      </c>
      <c r="M301" s="8"/>
      <c r="N301" s="264"/>
    </row>
    <row r="302" spans="1:14" s="3" customFormat="1" ht="12.2" customHeight="1" x14ac:dyDescent="0.15">
      <c r="A302" s="1" t="s">
        <v>443</v>
      </c>
      <c r="B302" s="2" t="s">
        <v>358</v>
      </c>
      <c r="C302" s="2" t="s">
        <v>295</v>
      </c>
      <c r="D302" s="2" t="s">
        <v>431</v>
      </c>
      <c r="E302" s="6">
        <v>2200</v>
      </c>
      <c r="F302" s="18">
        <v>3832.75</v>
      </c>
      <c r="G302" s="18">
        <v>612.87999999999988</v>
      </c>
      <c r="H302" s="18">
        <v>18082.04</v>
      </c>
      <c r="I302" s="18">
        <v>21771.882108061185</v>
      </c>
      <c r="J302" s="18">
        <v>5340.92</v>
      </c>
      <c r="K302" s="18">
        <v>137.86772931900154</v>
      </c>
      <c r="L302" s="19">
        <f t="shared" si="14"/>
        <v>49778.33983738019</v>
      </c>
      <c r="M302" s="8"/>
      <c r="N302" s="264"/>
    </row>
    <row r="303" spans="1:14" s="3" customFormat="1" ht="12.2" customHeight="1" x14ac:dyDescent="0.15">
      <c r="A303" s="1" t="s">
        <v>444</v>
      </c>
      <c r="B303" s="2" t="s">
        <v>358</v>
      </c>
      <c r="C303" s="2" t="s">
        <v>296</v>
      </c>
      <c r="D303" s="2" t="s">
        <v>431</v>
      </c>
      <c r="E303" s="6">
        <v>2300</v>
      </c>
      <c r="F303" s="18">
        <v>9339.5</v>
      </c>
      <c r="G303" s="18">
        <v>3745.96</v>
      </c>
      <c r="H303" s="18">
        <v>99.74</v>
      </c>
      <c r="I303" s="18">
        <v>0</v>
      </c>
      <c r="J303" s="18">
        <v>0</v>
      </c>
      <c r="K303" s="18">
        <v>0</v>
      </c>
      <c r="L303" s="19">
        <f t="shared" si="14"/>
        <v>13185.199999999999</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6916.4118948743881</v>
      </c>
      <c r="G306" s="18">
        <v>1421.4675099567721</v>
      </c>
      <c r="H306" s="18">
        <v>1116.99</v>
      </c>
      <c r="I306" s="18">
        <v>0</v>
      </c>
      <c r="J306" s="18">
        <v>0</v>
      </c>
      <c r="K306" s="18">
        <v>0</v>
      </c>
      <c r="L306" s="19">
        <f t="shared" si="14"/>
        <v>9454.8694048311609</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140081.1638957157</v>
      </c>
      <c r="G310" s="42">
        <f t="shared" si="15"/>
        <v>55949.812527006332</v>
      </c>
      <c r="H310" s="42">
        <f t="shared" si="15"/>
        <v>76926.8751603376</v>
      </c>
      <c r="I310" s="42">
        <f t="shared" si="15"/>
        <v>56264.24806896798</v>
      </c>
      <c r="J310" s="42">
        <f t="shared" si="15"/>
        <v>11406.272548665122</v>
      </c>
      <c r="K310" s="42">
        <f t="shared" si="15"/>
        <v>2142.2776036623022</v>
      </c>
      <c r="L310" s="41">
        <f t="shared" si="15"/>
        <v>342770.64980435499</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36646.53</v>
      </c>
      <c r="G315" s="18">
        <v>18308.419999999998</v>
      </c>
      <c r="H315" s="18">
        <v>8335.5624980981447</v>
      </c>
      <c r="I315" s="18">
        <v>8443.2164622806158</v>
      </c>
      <c r="J315" s="18">
        <v>0</v>
      </c>
      <c r="K315" s="18">
        <v>4059.8877144621551</v>
      </c>
      <c r="L315" s="19">
        <f>SUM(F315:K315)</f>
        <v>75793.616674840916</v>
      </c>
      <c r="M315" s="8"/>
      <c r="N315" s="264"/>
    </row>
    <row r="316" spans="1:14" s="3" customFormat="1" ht="12.2" customHeight="1" x14ac:dyDescent="0.15">
      <c r="A316" s="1" t="s">
        <v>439</v>
      </c>
      <c r="B316" s="2" t="s">
        <v>359</v>
      </c>
      <c r="C316" s="2" t="s">
        <v>291</v>
      </c>
      <c r="D316" s="2" t="s">
        <v>431</v>
      </c>
      <c r="E316" s="6">
        <v>1200</v>
      </c>
      <c r="F316" s="18">
        <v>7206.5905923048704</v>
      </c>
      <c r="G316" s="18">
        <v>2106.5774763946192</v>
      </c>
      <c r="H316" s="18">
        <v>4421.285240260263</v>
      </c>
      <c r="I316" s="18">
        <v>107.1194208514942</v>
      </c>
      <c r="J316" s="18">
        <v>118.55310203789391</v>
      </c>
      <c r="K316" s="18">
        <v>0</v>
      </c>
      <c r="L316" s="19">
        <f>SUM(F316:K316)</f>
        <v>13960.12583184914</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52208.408877413123</v>
      </c>
      <c r="G318" s="18">
        <v>13927.516989698655</v>
      </c>
      <c r="H318" s="18">
        <v>18690.91</v>
      </c>
      <c r="I318" s="18">
        <v>25247.89</v>
      </c>
      <c r="J318" s="18">
        <v>16388.79</v>
      </c>
      <c r="K318" s="18">
        <v>4236.25</v>
      </c>
      <c r="L318" s="19">
        <f>SUM(F318:K318)</f>
        <v>130699.76586711177</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8410.49</v>
      </c>
      <c r="G320" s="18">
        <v>5261.88</v>
      </c>
      <c r="H320" s="18">
        <v>61170.813163971252</v>
      </c>
      <c r="I320" s="18">
        <v>1169.3391835894499</v>
      </c>
      <c r="J320" s="18">
        <v>0</v>
      </c>
      <c r="K320" s="18">
        <v>0</v>
      </c>
      <c r="L320" s="19">
        <f t="shared" ref="L320:L326" si="16">SUM(F320:K320)</f>
        <v>76012.522347560691</v>
      </c>
      <c r="M320" s="8"/>
      <c r="N320" s="264"/>
    </row>
    <row r="321" spans="1:14" s="3" customFormat="1" ht="12.2" customHeight="1" x14ac:dyDescent="0.15">
      <c r="A321" s="1" t="s">
        <v>443</v>
      </c>
      <c r="B321" s="2" t="s">
        <v>359</v>
      </c>
      <c r="C321" s="2" t="s">
        <v>295</v>
      </c>
      <c r="D321" s="2" t="s">
        <v>431</v>
      </c>
      <c r="E321" s="6">
        <v>2200</v>
      </c>
      <c r="F321" s="18">
        <v>7625</v>
      </c>
      <c r="G321" s="18">
        <v>1601.7600000000002</v>
      </c>
      <c r="H321" s="18">
        <v>27701.71</v>
      </c>
      <c r="I321" s="18">
        <v>31645.947844414815</v>
      </c>
      <c r="J321" s="18">
        <v>88773.82</v>
      </c>
      <c r="K321" s="18">
        <v>200.39</v>
      </c>
      <c r="L321" s="19">
        <f t="shared" si="16"/>
        <v>157548.62784441485</v>
      </c>
      <c r="M321" s="8"/>
      <c r="N321" s="264"/>
    </row>
    <row r="322" spans="1:14" s="3" customFormat="1" ht="12.2" customHeight="1" x14ac:dyDescent="0.15">
      <c r="A322" s="1" t="s">
        <v>444</v>
      </c>
      <c r="B322" s="2" t="s">
        <v>359</v>
      </c>
      <c r="C322" s="2" t="s">
        <v>296</v>
      </c>
      <c r="D322" s="2" t="s">
        <v>431</v>
      </c>
      <c r="E322" s="6">
        <v>2300</v>
      </c>
      <c r="F322" s="18">
        <v>9339.5</v>
      </c>
      <c r="G322" s="18">
        <v>3745.99</v>
      </c>
      <c r="H322" s="18">
        <v>472.76</v>
      </c>
      <c r="I322" s="18">
        <v>0</v>
      </c>
      <c r="J322" s="18">
        <v>0</v>
      </c>
      <c r="K322" s="18">
        <v>0</v>
      </c>
      <c r="L322" s="19">
        <f t="shared" si="16"/>
        <v>13558.25</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6178.9034967288089</v>
      </c>
      <c r="G325" s="18">
        <v>1150.4956921410862</v>
      </c>
      <c r="H325" s="18">
        <v>1623.57</v>
      </c>
      <c r="I325" s="18">
        <v>329.98</v>
      </c>
      <c r="J325" s="18">
        <v>0</v>
      </c>
      <c r="K325" s="18">
        <v>0</v>
      </c>
      <c r="L325" s="19">
        <f t="shared" si="16"/>
        <v>9282.949188869894</v>
      </c>
      <c r="M325" s="8"/>
      <c r="N325" s="264"/>
    </row>
    <row r="326" spans="1:14" s="3" customFormat="1" ht="12.2" customHeight="1" x14ac:dyDescent="0.15">
      <c r="A326" s="1" t="s">
        <v>448</v>
      </c>
      <c r="B326" s="2" t="s">
        <v>359</v>
      </c>
      <c r="C326" s="2" t="s">
        <v>300</v>
      </c>
      <c r="D326" s="2" t="s">
        <v>431</v>
      </c>
      <c r="E326" s="6">
        <v>2700</v>
      </c>
      <c r="F326" s="18">
        <v>0</v>
      </c>
      <c r="G326" s="18">
        <v>0</v>
      </c>
      <c r="H326" s="18">
        <v>3721.79</v>
      </c>
      <c r="I326" s="18">
        <v>0</v>
      </c>
      <c r="J326" s="18">
        <v>0</v>
      </c>
      <c r="K326" s="18">
        <v>0</v>
      </c>
      <c r="L326" s="19">
        <f t="shared" si="16"/>
        <v>3721.79</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127615.4229664468</v>
      </c>
      <c r="G329" s="42">
        <f t="shared" si="17"/>
        <v>46102.640158234353</v>
      </c>
      <c r="H329" s="42">
        <f t="shared" si="17"/>
        <v>126138.40090232965</v>
      </c>
      <c r="I329" s="42">
        <f t="shared" si="17"/>
        <v>66943.492911136374</v>
      </c>
      <c r="J329" s="42">
        <f t="shared" si="17"/>
        <v>105281.1631020379</v>
      </c>
      <c r="K329" s="42">
        <f t="shared" si="17"/>
        <v>8496.5277144621541</v>
      </c>
      <c r="L329" s="41">
        <f t="shared" si="17"/>
        <v>480577.64775464725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24458</v>
      </c>
      <c r="K337" s="18">
        <v>0</v>
      </c>
      <c r="L337" s="19">
        <f t="shared" si="18"/>
        <v>24458</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24458</v>
      </c>
      <c r="K338" s="41">
        <f t="shared" si="19"/>
        <v>0</v>
      </c>
      <c r="L338" s="41">
        <f t="shared" si="18"/>
        <v>24458</v>
      </c>
      <c r="M338" s="8"/>
      <c r="N338" s="264"/>
    </row>
    <row r="339" spans="1:43" s="3" customFormat="1" ht="12.2" customHeight="1" thickTop="1" x14ac:dyDescent="0.15">
      <c r="A339" s="38" t="s">
        <v>468</v>
      </c>
      <c r="B339" s="40">
        <v>14</v>
      </c>
      <c r="C339" s="40">
        <v>7</v>
      </c>
      <c r="D339" s="39" t="s">
        <v>431</v>
      </c>
      <c r="E339" s="40"/>
      <c r="F339" s="41">
        <f t="shared" ref="F339:L339" si="20">F291+F310+F329+F338</f>
        <v>958834.23920301069</v>
      </c>
      <c r="G339" s="41">
        <f t="shared" si="20"/>
        <v>391842.64999999997</v>
      </c>
      <c r="H339" s="41">
        <f t="shared" si="20"/>
        <v>464622.07168902649</v>
      </c>
      <c r="I339" s="41">
        <f t="shared" si="20"/>
        <v>200584.1502815641</v>
      </c>
      <c r="J339" s="41">
        <f t="shared" si="20"/>
        <v>181062.94</v>
      </c>
      <c r="K339" s="41">
        <f t="shared" si="20"/>
        <v>24844.665318124455</v>
      </c>
      <c r="L339" s="41">
        <f t="shared" si="20"/>
        <v>2221790.7164917258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14243.87</v>
      </c>
      <c r="L345" s="19">
        <f t="shared" ref="L345:L351" si="21">SUM(F345:K345)</f>
        <v>14243.87</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14243.87</v>
      </c>
      <c r="L352" s="41">
        <f>SUM(L342:L351)</f>
        <v>14243.87</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958834.23920301069</v>
      </c>
      <c r="G353" s="41">
        <f>G339</f>
        <v>391842.64999999997</v>
      </c>
      <c r="H353" s="41">
        <f>H339</f>
        <v>464622.07168902649</v>
      </c>
      <c r="I353" s="41">
        <f>I339</f>
        <v>200584.1502815641</v>
      </c>
      <c r="J353" s="41">
        <f>J339</f>
        <v>181062.94</v>
      </c>
      <c r="K353" s="47">
        <f>K339+K352</f>
        <v>39088.535318124457</v>
      </c>
      <c r="L353" s="41">
        <f>L339+L352</f>
        <v>2236034.5864917259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310703.15000000002</v>
      </c>
      <c r="I359" s="18">
        <v>0</v>
      </c>
      <c r="J359" s="18">
        <v>0</v>
      </c>
      <c r="K359" s="18">
        <v>0</v>
      </c>
      <c r="L359" s="13">
        <f>SUM(F359:K359)</f>
        <v>310703.15000000002</v>
      </c>
      <c r="M359" s="8"/>
      <c r="N359" s="264"/>
    </row>
    <row r="360" spans="1:22" s="3" customFormat="1" ht="12.2" customHeight="1" x14ac:dyDescent="0.15">
      <c r="A360" s="1" t="s">
        <v>542</v>
      </c>
      <c r="B360" s="2" t="s">
        <v>366</v>
      </c>
      <c r="C360" s="6">
        <v>2</v>
      </c>
      <c r="D360" s="2" t="s">
        <v>431</v>
      </c>
      <c r="E360" s="6"/>
      <c r="F360" s="18">
        <v>0</v>
      </c>
      <c r="G360" s="18">
        <v>0</v>
      </c>
      <c r="H360" s="18">
        <v>149390.38</v>
      </c>
      <c r="I360" s="18">
        <v>0</v>
      </c>
      <c r="J360" s="18">
        <v>0</v>
      </c>
      <c r="K360" s="18">
        <v>0</v>
      </c>
      <c r="L360" s="19">
        <f>SUM(F360:K360)</f>
        <v>149390.38</v>
      </c>
      <c r="M360" s="8"/>
      <c r="N360" s="264"/>
    </row>
    <row r="361" spans="1:22" s="3" customFormat="1" ht="12.2" customHeight="1" x14ac:dyDescent="0.15">
      <c r="A361" s="3" t="s">
        <v>543</v>
      </c>
      <c r="B361" s="2" t="s">
        <v>366</v>
      </c>
      <c r="C361" s="6">
        <v>3</v>
      </c>
      <c r="D361" s="2" t="s">
        <v>431</v>
      </c>
      <c r="E361" s="6"/>
      <c r="F361" s="18">
        <v>0</v>
      </c>
      <c r="G361" s="18">
        <v>0</v>
      </c>
      <c r="H361" s="18">
        <v>217142.47</v>
      </c>
      <c r="I361" s="18">
        <v>0</v>
      </c>
      <c r="J361" s="18">
        <v>0</v>
      </c>
      <c r="K361" s="18">
        <v>0</v>
      </c>
      <c r="L361" s="19">
        <f>SUM(F361:K361)</f>
        <v>217142.47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677236</v>
      </c>
      <c r="I363" s="47">
        <f t="shared" si="22"/>
        <v>0</v>
      </c>
      <c r="J363" s="47">
        <f t="shared" si="22"/>
        <v>0</v>
      </c>
      <c r="K363" s="47">
        <f t="shared" si="22"/>
        <v>0</v>
      </c>
      <c r="L363" s="47">
        <f t="shared" si="22"/>
        <v>677236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350000</v>
      </c>
      <c r="H397" s="18">
        <v>0</v>
      </c>
      <c r="I397" s="18">
        <v>0</v>
      </c>
      <c r="J397" s="24" t="s">
        <v>288</v>
      </c>
      <c r="K397" s="24" t="s">
        <v>288</v>
      </c>
      <c r="L397" s="56">
        <f t="shared" si="26"/>
        <v>350000</v>
      </c>
      <c r="M397" s="8"/>
      <c r="N397" s="264"/>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59" t="s">
        <v>470</v>
      </c>
      <c r="B402" s="2" t="s">
        <v>381</v>
      </c>
      <c r="C402" s="6">
        <v>14</v>
      </c>
      <c r="D402" s="2" t="s">
        <v>432</v>
      </c>
      <c r="E402" s="40">
        <v>5252</v>
      </c>
      <c r="F402" s="47">
        <f>SUM(F396:F401)</f>
        <v>0</v>
      </c>
      <c r="G402" s="47">
        <f>SUM(G396:G401)</f>
        <v>350000</v>
      </c>
      <c r="H402" s="47">
        <f>SUM(H396:H401)</f>
        <v>0</v>
      </c>
      <c r="I402" s="47">
        <f>SUM(I396:I401)</f>
        <v>0</v>
      </c>
      <c r="J402" s="45" t="s">
        <v>288</v>
      </c>
      <c r="K402" s="45" t="s">
        <v>288</v>
      </c>
      <c r="L402" s="47">
        <f>SUM(L396:L401)</f>
        <v>350000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4"/>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4"/>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350000</v>
      </c>
      <c r="H409" s="47">
        <f>H394+H402+H408</f>
        <v>0</v>
      </c>
      <c r="I409" s="47">
        <f>I394+I402+I408</f>
        <v>0</v>
      </c>
      <c r="J409" s="24" t="s">
        <v>288</v>
      </c>
      <c r="K409" s="24" t="s">
        <v>288</v>
      </c>
      <c r="L409" s="47">
        <f>L394+L402+L408</f>
        <v>350000</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5"/>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f>9215.17+6381.28+396.25+3763.19+26947.78+105104.72+231.97</f>
        <v>152040.36000000002</v>
      </c>
      <c r="H440" s="18">
        <v>0</v>
      </c>
      <c r="I440" s="56">
        <f t="shared" ref="I440:I446" si="33">SUM(F440:H440)</f>
        <v>152040.36000000002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0</v>
      </c>
      <c r="G441" s="18">
        <f>1986.12+570707.72+66314.04+17088.73+1904.81+11568.16</f>
        <v>669569.58000000007</v>
      </c>
      <c r="H441" s="18">
        <v>0</v>
      </c>
      <c r="I441" s="56">
        <f t="shared" si="33"/>
        <v>669569.58000000007</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821609.94000000006</v>
      </c>
      <c r="H447" s="13">
        <f>SUM(H440:H446)</f>
        <v>0</v>
      </c>
      <c r="I447" s="13">
        <f>SUM(I440:I446)</f>
        <v>821609.94000000006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v>0</v>
      </c>
      <c r="G458" s="18">
        <f>66314.04+17088.73+1904.81+11568.16</f>
        <v>96875.739999999991</v>
      </c>
      <c r="H458" s="18">
        <v>0</v>
      </c>
      <c r="I458" s="56">
        <f t="shared" si="34"/>
        <v>96875.739999999991</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f>821609.94-96875.74</f>
        <v>724734.2</v>
      </c>
      <c r="H460" s="18">
        <v>0</v>
      </c>
      <c r="I460" s="56">
        <f t="shared" si="34"/>
        <v>724734.2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821609.94</v>
      </c>
      <c r="H461" s="83">
        <f>SUM(H455:H460)</f>
        <v>0</v>
      </c>
      <c r="I461" s="83">
        <f>SUM(I455:I460)</f>
        <v>821609.94</v>
      </c>
      <c r="J461" s="24" t="s">
        <v>288</v>
      </c>
      <c r="K461" s="24" t="s">
        <v>288</v>
      </c>
      <c r="L461" s="24" t="s">
        <v>288</v>
      </c>
      <c r="N461" s="263"/>
    </row>
    <row r="462" spans="1:86" s="52" customFormat="1" ht="12.2" customHeight="1" thickTop="1" x14ac:dyDescent="0.2">
      <c r="A462" s="91" t="s">
        <v>424</v>
      </c>
      <c r="B462" s="44">
        <v>18</v>
      </c>
      <c r="C462" s="82">
        <v>21</v>
      </c>
      <c r="D462" s="156" t="s">
        <v>432</v>
      </c>
      <c r="E462" s="82"/>
      <c r="F462" s="42">
        <f>F453+F461</f>
        <v>0</v>
      </c>
      <c r="G462" s="42">
        <f>G453+G461</f>
        <v>821609.94</v>
      </c>
      <c r="H462" s="42">
        <f>H453+H461</f>
        <v>0</v>
      </c>
      <c r="I462" s="42">
        <f>I453+I461</f>
        <v>821609.94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1629</v>
      </c>
      <c r="B466" s="105">
        <v>19</v>
      </c>
      <c r="C466" s="111">
        <v>1</v>
      </c>
      <c r="D466" s="2" t="s">
        <v>432</v>
      </c>
      <c r="E466" s="111"/>
      <c r="F466" s="18">
        <v>1236106.1000000001</v>
      </c>
      <c r="G466" s="18">
        <v>-7833.74</v>
      </c>
      <c r="H466" s="18">
        <v>67655.13</v>
      </c>
      <c r="I466" s="18"/>
      <c r="J466" s="18">
        <v>449156.43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23826559.859999999</v>
      </c>
      <c r="G469" s="18">
        <v>805985.67</v>
      </c>
      <c r="H469" s="18">
        <f>2156136.71</f>
        <v>2156136.71</v>
      </c>
      <c r="I469" s="18"/>
      <c r="J469" s="18">
        <v>350000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22453.51</v>
      </c>
      <c r="K470" s="24" t="s">
        <v>288</v>
      </c>
      <c r="L470" s="24" t="s">
        <v>288</v>
      </c>
      <c r="N470" s="263"/>
    </row>
    <row r="471" spans="1:14" s="52" customFormat="1" ht="12.2" customHeight="1" x14ac:dyDescent="0.2">
      <c r="A471" s="92" t="s">
        <v>425</v>
      </c>
      <c r="B471" s="75">
        <v>19</v>
      </c>
      <c r="C471" s="80">
        <v>4</v>
      </c>
      <c r="D471" s="2" t="s">
        <v>432</v>
      </c>
      <c r="E471" s="80"/>
      <c r="F471" s="53">
        <f>SUM(F469:F470)</f>
        <v>23826559.859999999</v>
      </c>
      <c r="G471" s="53">
        <f>SUM(G469:G470)</f>
        <v>805985.67</v>
      </c>
      <c r="H471" s="53">
        <f>SUM(H469:H470)</f>
        <v>2156136.71</v>
      </c>
      <c r="I471" s="53">
        <f>SUM(I469:I470)</f>
        <v>0</v>
      </c>
      <c r="J471" s="53">
        <f>SUM(J469:J470)</f>
        <v>372453.51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23609255.79-59217.87</f>
        <v>23550037.919999998</v>
      </c>
      <c r="G473" s="18">
        <v>677236</v>
      </c>
      <c r="H473" s="18">
        <v>2236034.59</v>
      </c>
      <c r="I473" s="18"/>
      <c r="J473" s="18"/>
      <c r="K473" s="24" t="s">
        <v>288</v>
      </c>
      <c r="L473" s="24" t="s">
        <v>288</v>
      </c>
      <c r="N473" s="263"/>
    </row>
    <row r="474" spans="1:14" s="52" customFormat="1" ht="12.2" customHeight="1" x14ac:dyDescent="0.2">
      <c r="A474" s="93" t="s">
        <v>613</v>
      </c>
      <c r="B474" s="75">
        <v>19</v>
      </c>
      <c r="C474" s="80">
        <v>6</v>
      </c>
      <c r="D474" s="2" t="s">
        <v>432</v>
      </c>
      <c r="E474" s="80"/>
      <c r="F474" s="18">
        <v>59217.87</v>
      </c>
      <c r="G474" s="18">
        <f>120915.93-71740.27</f>
        <v>49175.659999999989</v>
      </c>
      <c r="H474" s="18">
        <v>-12446.535</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23609255.789999999</v>
      </c>
      <c r="G475" s="53">
        <f>SUM(G473:G474)</f>
        <v>726411.66</v>
      </c>
      <c r="H475" s="53">
        <f>SUM(H473:H474)</f>
        <v>2223588.0549999997</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1630</v>
      </c>
      <c r="B477" s="75">
        <v>19</v>
      </c>
      <c r="C477" s="115">
        <v>8</v>
      </c>
      <c r="D477" s="2" t="s">
        <v>432</v>
      </c>
      <c r="E477" s="115"/>
      <c r="F477" s="53">
        <f>(F466+F471)- F475</f>
        <v>1453410.1700000018</v>
      </c>
      <c r="G477" s="53">
        <f>(G466+G471)- G475</f>
        <v>71740.270000000019</v>
      </c>
      <c r="H477" s="53">
        <f>(H466+H471)- H475</f>
        <v>203.78500000014901</v>
      </c>
      <c r="I477" s="53">
        <f>(I466+I471)- I475</f>
        <v>0</v>
      </c>
      <c r="J477" s="53">
        <f>(J466+J471)- J475</f>
        <v>821609.94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1813</v>
      </c>
      <c r="B481" s="112"/>
      <c r="C481" s="112"/>
      <c r="D481" s="112"/>
      <c r="E481" s="112"/>
      <c r="F481" s="112"/>
      <c r="G481" s="112"/>
      <c r="H481" s="112"/>
      <c r="I481" s="112" t="s">
        <v>401</v>
      </c>
      <c r="J481" s="112"/>
      <c r="K481" s="95"/>
      <c r="L481" s="95"/>
      <c r="N481" s="263"/>
    </row>
    <row r="482" spans="1:14" s="52" customFormat="1" ht="12.2" customHeight="1" x14ac:dyDescent="0.2">
      <c r="A482" s="174"/>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3" t="s">
        <v>1802</v>
      </c>
      <c r="B484" s="112"/>
      <c r="C484" s="112"/>
      <c r="D484" s="112"/>
      <c r="E484" s="112"/>
      <c r="F484" s="112"/>
      <c r="G484" s="112"/>
      <c r="H484" s="112"/>
      <c r="I484" s="112" t="s">
        <v>18</v>
      </c>
      <c r="J484" s="112"/>
      <c r="K484" s="95"/>
      <c r="L484" s="95"/>
      <c r="N484" s="263"/>
    </row>
    <row r="485" spans="1:14" s="52" customFormat="1" ht="12.2" customHeight="1" x14ac:dyDescent="0.2">
      <c r="A485" s="173" t="s">
        <v>1812</v>
      </c>
      <c r="B485" s="112"/>
      <c r="C485" s="112"/>
      <c r="D485" s="112"/>
      <c r="E485" s="112"/>
      <c r="F485" s="112"/>
      <c r="G485" s="112"/>
      <c r="H485" s="112"/>
      <c r="I485" s="112" t="s">
        <v>474</v>
      </c>
      <c r="J485" s="112"/>
      <c r="K485" s="95"/>
      <c r="L485" s="95"/>
      <c r="N485" s="263"/>
    </row>
    <row r="486" spans="1:14" s="52" customFormat="1" ht="12.2" customHeight="1" x14ac:dyDescent="0.2">
      <c r="A486" s="173" t="s">
        <v>1814</v>
      </c>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3">
        <v>15</v>
      </c>
      <c r="G491" s="153">
        <v>5</v>
      </c>
      <c r="H491" s="153">
        <v>5</v>
      </c>
      <c r="I491" s="153"/>
      <c r="J491" s="153"/>
      <c r="K491" s="24" t="s">
        <v>288</v>
      </c>
      <c r="L491" s="24" t="s">
        <v>288</v>
      </c>
      <c r="N491" s="263"/>
    </row>
    <row r="492" spans="1:14" s="52" customFormat="1" ht="12.2" customHeight="1" x14ac:dyDescent="0.2">
      <c r="A492" s="22" t="s">
        <v>615</v>
      </c>
      <c r="B492" s="75">
        <v>20</v>
      </c>
      <c r="C492" s="115">
        <v>2</v>
      </c>
      <c r="D492" s="2" t="s">
        <v>432</v>
      </c>
      <c r="E492" s="115"/>
      <c r="F492" s="154" t="s">
        <v>1803</v>
      </c>
      <c r="G492" s="154" t="s">
        <v>1804</v>
      </c>
      <c r="H492" s="371" t="s">
        <v>1807</v>
      </c>
      <c r="I492" s="153"/>
      <c r="J492" s="153"/>
      <c r="K492" s="24" t="s">
        <v>288</v>
      </c>
      <c r="L492" s="24" t="s">
        <v>288</v>
      </c>
      <c r="N492" s="263"/>
    </row>
    <row r="493" spans="1:14" s="52" customFormat="1" ht="12.2" customHeight="1" x14ac:dyDescent="0.2">
      <c r="A493" s="22" t="s">
        <v>616</v>
      </c>
      <c r="B493" s="75">
        <v>20</v>
      </c>
      <c r="C493" s="115">
        <v>3</v>
      </c>
      <c r="D493" s="2" t="s">
        <v>432</v>
      </c>
      <c r="E493" s="115"/>
      <c r="F493" s="154" t="s">
        <v>1805</v>
      </c>
      <c r="G493" s="154" t="s">
        <v>1806</v>
      </c>
      <c r="H493" s="371" t="s">
        <v>1808</v>
      </c>
      <c r="I493" s="153"/>
      <c r="J493" s="153"/>
      <c r="K493" s="24" t="s">
        <v>288</v>
      </c>
      <c r="L493" s="24" t="s">
        <v>288</v>
      </c>
      <c r="N493" s="263"/>
    </row>
    <row r="494" spans="1:14" s="52" customFormat="1" ht="12.2" customHeight="1" x14ac:dyDescent="0.2">
      <c r="A494" s="22" t="s">
        <v>617</v>
      </c>
      <c r="B494" s="75">
        <v>20</v>
      </c>
      <c r="C494" s="115">
        <v>4</v>
      </c>
      <c r="D494" s="2" t="s">
        <v>432</v>
      </c>
      <c r="E494" s="115"/>
      <c r="F494" s="18">
        <v>2657078</v>
      </c>
      <c r="G494" s="18">
        <v>35816.300000000003</v>
      </c>
      <c r="H494" s="18">
        <v>40092</v>
      </c>
      <c r="I494" s="18"/>
      <c r="J494" s="18"/>
      <c r="K494" s="24" t="s">
        <v>288</v>
      </c>
      <c r="L494" s="24" t="s">
        <v>288</v>
      </c>
      <c r="N494" s="263"/>
    </row>
    <row r="495" spans="1:14" s="52" customFormat="1" ht="12.2" customHeight="1" x14ac:dyDescent="0.2">
      <c r="A495" s="22" t="s">
        <v>618</v>
      </c>
      <c r="B495" s="75">
        <v>20</v>
      </c>
      <c r="C495" s="115">
        <v>5</v>
      </c>
      <c r="D495" s="2" t="s">
        <v>432</v>
      </c>
      <c r="E495" s="115"/>
      <c r="F495" s="18">
        <v>5.54</v>
      </c>
      <c r="G495" s="18">
        <v>1.9</v>
      </c>
      <c r="H495" s="18">
        <v>1.92</v>
      </c>
      <c r="I495" s="18"/>
      <c r="J495" s="18"/>
      <c r="K495" s="24" t="s">
        <v>288</v>
      </c>
      <c r="L495" s="24" t="s">
        <v>288</v>
      </c>
      <c r="N495" s="263"/>
    </row>
    <row r="496" spans="1:14" s="52" customFormat="1" ht="12.2" customHeight="1" x14ac:dyDescent="0.2">
      <c r="A496" s="22" t="s">
        <v>619</v>
      </c>
      <c r="B496" s="75">
        <v>20</v>
      </c>
      <c r="C496" s="115">
        <v>6</v>
      </c>
      <c r="D496" s="2" t="s">
        <v>432</v>
      </c>
      <c r="E496" s="115"/>
      <c r="F496" s="18">
        <f>F494-(20*88569.27)</f>
        <v>885692.59999999986</v>
      </c>
      <c r="G496" s="18">
        <v>35816.300000000003</v>
      </c>
      <c r="H496" s="18">
        <v>40092</v>
      </c>
      <c r="I496" s="18"/>
      <c r="J496" s="18"/>
      <c r="K496" s="53">
        <f>SUM(F496:J496)</f>
        <v>961600.89999999991</v>
      </c>
      <c r="L496" s="24" t="s">
        <v>288</v>
      </c>
      <c r="N496" s="263"/>
    </row>
    <row r="497" spans="1:14" s="52" customFormat="1" ht="12.2" customHeight="1" x14ac:dyDescent="0.2">
      <c r="A497" s="22" t="s">
        <v>620</v>
      </c>
      <c r="B497" s="75">
        <v>20</v>
      </c>
      <c r="C497" s="115">
        <v>7</v>
      </c>
      <c r="D497" s="2" t="s">
        <v>432</v>
      </c>
      <c r="E497" s="115"/>
      <c r="F497" s="18">
        <v>0</v>
      </c>
      <c r="G497" s="18">
        <v>0</v>
      </c>
      <c r="H497" s="18">
        <v>0</v>
      </c>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f>88569.27+88569.27</f>
        <v>177138.54</v>
      </c>
      <c r="G498" s="18">
        <v>7060.75</v>
      </c>
      <c r="H498" s="18">
        <v>7716.41</v>
      </c>
      <c r="I498" s="18"/>
      <c r="J498" s="18"/>
      <c r="K498" s="53">
        <f t="shared" si="35"/>
        <v>191915.7</v>
      </c>
      <c r="L498" s="24" t="s">
        <v>288</v>
      </c>
      <c r="N498" s="263"/>
    </row>
    <row r="499" spans="1:14" s="52" customFormat="1" ht="12.2" customHeight="1" x14ac:dyDescent="0.2">
      <c r="A499" s="198" t="s">
        <v>622</v>
      </c>
      <c r="B499" s="199">
        <v>20</v>
      </c>
      <c r="C499" s="200">
        <v>9</v>
      </c>
      <c r="D499" s="201" t="s">
        <v>432</v>
      </c>
      <c r="E499" s="200"/>
      <c r="F499" s="202"/>
      <c r="G499" s="202"/>
      <c r="H499" s="202"/>
      <c r="I499" s="202"/>
      <c r="J499" s="202"/>
      <c r="K499" s="203">
        <f t="shared" si="35"/>
        <v>0</v>
      </c>
      <c r="L499" s="204"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3">
        <v>11</v>
      </c>
      <c r="D501" s="39" t="s">
        <v>432</v>
      </c>
      <c r="E501" s="193"/>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198" t="s">
        <v>651</v>
      </c>
      <c r="B502" s="199">
        <v>20</v>
      </c>
      <c r="C502" s="200">
        <v>12</v>
      </c>
      <c r="D502" s="201" t="s">
        <v>432</v>
      </c>
      <c r="E502" s="200"/>
      <c r="F502" s="202"/>
      <c r="G502" s="202"/>
      <c r="H502" s="202"/>
      <c r="I502" s="202"/>
      <c r="J502" s="202"/>
      <c r="K502" s="203">
        <f t="shared" si="35"/>
        <v>0</v>
      </c>
      <c r="L502" s="204"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3">
        <v>14</v>
      </c>
      <c r="D504" s="39" t="s">
        <v>432</v>
      </c>
      <c r="E504" s="193"/>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6"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1158301.674217554</v>
      </c>
      <c r="G522" s="18">
        <v>657154.18999999994</v>
      </c>
      <c r="H522" s="18">
        <v>174420.20711893533</v>
      </c>
      <c r="I522" s="18">
        <v>4094.0042116474096</v>
      </c>
      <c r="J522" s="18">
        <v>1580.7443492969846</v>
      </c>
      <c r="K522" s="18">
        <v>3040.3389274431006</v>
      </c>
      <c r="L522" s="88">
        <f>SUM(F522:K522)</f>
        <v>1998591.1588248769</v>
      </c>
      <c r="N522" s="263"/>
    </row>
    <row r="523" spans="1:14" s="52" customFormat="1" ht="12.2" customHeight="1" x14ac:dyDescent="0.2">
      <c r="A523" s="22" t="s">
        <v>634</v>
      </c>
      <c r="B523" s="105">
        <v>21</v>
      </c>
      <c r="C523" s="115">
        <v>2</v>
      </c>
      <c r="D523" s="2" t="s">
        <v>432</v>
      </c>
      <c r="E523" s="115"/>
      <c r="F523" s="18">
        <v>478902.75453912455</v>
      </c>
      <c r="G523" s="18">
        <v>282071.84657137998</v>
      </c>
      <c r="H523" s="18">
        <v>113613.21374652072</v>
      </c>
      <c r="I523" s="18">
        <v>265.53636750109638</v>
      </c>
      <c r="J523" s="18">
        <v>377.77254866512129</v>
      </c>
      <c r="K523" s="18">
        <v>1237.5522918922788</v>
      </c>
      <c r="L523" s="88">
        <f>SUM(F523:K523)</f>
        <v>876468.67606508371</v>
      </c>
      <c r="N523" s="263"/>
    </row>
    <row r="524" spans="1:14" s="52" customFormat="1" ht="12.2" customHeight="1" thickBot="1" x14ac:dyDescent="0.25">
      <c r="A524" s="22" t="s">
        <v>635</v>
      </c>
      <c r="B524" s="105">
        <v>21</v>
      </c>
      <c r="C524" s="115">
        <v>3</v>
      </c>
      <c r="D524" s="2" t="s">
        <v>432</v>
      </c>
      <c r="E524" s="115"/>
      <c r="F524" s="18">
        <v>698721.55124332116</v>
      </c>
      <c r="G524" s="18">
        <v>395306.45</v>
      </c>
      <c r="H524" s="18">
        <v>59869.239134543961</v>
      </c>
      <c r="I524" s="18">
        <v>2634.8294208514944</v>
      </c>
      <c r="J524" s="18">
        <v>258.5431020378939</v>
      </c>
      <c r="K524" s="18">
        <v>1429.2787806646202</v>
      </c>
      <c r="L524" s="88">
        <f>SUM(F524:K524)</f>
        <v>1158219.8916814192</v>
      </c>
      <c r="N524" s="263"/>
    </row>
    <row r="525" spans="1:14" s="52" customFormat="1" ht="12.2" customHeight="1" thickTop="1" x14ac:dyDescent="0.2">
      <c r="A525" s="139" t="s">
        <v>63</v>
      </c>
      <c r="B525" s="107">
        <v>21</v>
      </c>
      <c r="C525" s="193">
        <v>4</v>
      </c>
      <c r="D525" s="194" t="s">
        <v>432</v>
      </c>
      <c r="E525" s="193"/>
      <c r="F525" s="108">
        <f>SUM(F522:F524)</f>
        <v>2335925.9799999995</v>
      </c>
      <c r="G525" s="108">
        <f t="shared" ref="G525:L525" si="36">SUM(G522:G524)</f>
        <v>1334532.4865713799</v>
      </c>
      <c r="H525" s="108">
        <f t="shared" si="36"/>
        <v>347902.66000000003</v>
      </c>
      <c r="I525" s="108">
        <f t="shared" si="36"/>
        <v>6994.3700000000008</v>
      </c>
      <c r="J525" s="108">
        <f t="shared" si="36"/>
        <v>2217.06</v>
      </c>
      <c r="K525" s="108">
        <f t="shared" si="36"/>
        <v>5707.1699999999992</v>
      </c>
      <c r="L525" s="89">
        <f t="shared" si="36"/>
        <v>4033279.7265713797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185448.15860757339</v>
      </c>
      <c r="G527" s="18">
        <v>94399.465495153621</v>
      </c>
      <c r="H527" s="18">
        <v>531317.74115042109</v>
      </c>
      <c r="I527" s="18">
        <v>3359.6485518154886</v>
      </c>
      <c r="J527" s="18">
        <v>430.34000000000003</v>
      </c>
      <c r="K527" s="18">
        <v>391.74624032291263</v>
      </c>
      <c r="L527" s="88">
        <f>SUM(F527:K527)</f>
        <v>815347.10004528658</v>
      </c>
      <c r="M527" s="8"/>
      <c r="N527" s="264"/>
    </row>
    <row r="528" spans="1:14" s="3" customFormat="1" ht="12.2" customHeight="1" x14ac:dyDescent="0.15">
      <c r="A528" s="22" t="s">
        <v>634</v>
      </c>
      <c r="B528" s="105">
        <v>21</v>
      </c>
      <c r="C528" s="115">
        <v>6</v>
      </c>
      <c r="D528" s="2" t="s">
        <v>432</v>
      </c>
      <c r="E528" s="115"/>
      <c r="F528" s="18">
        <v>96885.731907314766</v>
      </c>
      <c r="G528" s="18">
        <v>40104.358931918054</v>
      </c>
      <c r="H528" s="18">
        <v>226823.64087950741</v>
      </c>
      <c r="I528" s="18">
        <v>1195.2599236572903</v>
      </c>
      <c r="J528" s="18">
        <v>5183.08</v>
      </c>
      <c r="K528" s="18">
        <v>199.11767338208051</v>
      </c>
      <c r="L528" s="88">
        <f>SUM(F528:K528)</f>
        <v>370391.1893157796</v>
      </c>
      <c r="M528" s="8"/>
      <c r="N528" s="264"/>
    </row>
    <row r="529" spans="1:14" s="3" customFormat="1" ht="12.2" customHeight="1" thickBot="1" x14ac:dyDescent="0.2">
      <c r="A529" s="22" t="s">
        <v>635</v>
      </c>
      <c r="B529" s="118">
        <v>21</v>
      </c>
      <c r="C529" s="118">
        <v>7</v>
      </c>
      <c r="D529" s="2" t="s">
        <v>432</v>
      </c>
      <c r="E529" s="118"/>
      <c r="F529" s="18">
        <v>71463.629485111829</v>
      </c>
      <c r="G529" s="18">
        <v>24696.04557292832</v>
      </c>
      <c r="H529" s="18">
        <v>268830.10797007149</v>
      </c>
      <c r="I529" s="18">
        <v>1861.7715245272211</v>
      </c>
      <c r="J529" s="18">
        <v>0</v>
      </c>
      <c r="K529" s="18">
        <v>189.12608629500684</v>
      </c>
      <c r="L529" s="88">
        <f>SUM(F529:K529)</f>
        <v>367040.6806389339</v>
      </c>
      <c r="M529" s="8"/>
      <c r="N529" s="264"/>
    </row>
    <row r="530" spans="1:14" s="3" customFormat="1" ht="12.2" customHeight="1" thickTop="1" x14ac:dyDescent="0.15">
      <c r="A530" s="139" t="s">
        <v>65</v>
      </c>
      <c r="B530" s="107">
        <v>21</v>
      </c>
      <c r="C530" s="107">
        <v>8</v>
      </c>
      <c r="D530" s="157" t="s">
        <v>432</v>
      </c>
      <c r="E530" s="107"/>
      <c r="F530" s="89">
        <f>SUM(F527:F529)</f>
        <v>353797.52</v>
      </c>
      <c r="G530" s="89">
        <f t="shared" ref="G530:L530" si="37">SUM(G527:G529)</f>
        <v>159199.87</v>
      </c>
      <c r="H530" s="89">
        <f t="shared" si="37"/>
        <v>1026971.49</v>
      </c>
      <c r="I530" s="89">
        <f t="shared" si="37"/>
        <v>6416.68</v>
      </c>
      <c r="J530" s="89">
        <f t="shared" si="37"/>
        <v>5613.42</v>
      </c>
      <c r="K530" s="89">
        <f t="shared" si="37"/>
        <v>779.99</v>
      </c>
      <c r="L530" s="89">
        <f t="shared" si="37"/>
        <v>1552778.9700000002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70339.131824796597</v>
      </c>
      <c r="G532" s="18">
        <v>45777.798476099262</v>
      </c>
      <c r="H532" s="18">
        <v>0</v>
      </c>
      <c r="I532" s="18">
        <v>0</v>
      </c>
      <c r="J532" s="18">
        <v>0</v>
      </c>
      <c r="K532" s="18">
        <v>0</v>
      </c>
      <c r="L532" s="88">
        <f>SUM(F532:K532)</f>
        <v>116116.93030089585</v>
      </c>
      <c r="M532" s="8"/>
      <c r="N532" s="264"/>
    </row>
    <row r="533" spans="1:14" s="3" customFormat="1" ht="12.2" customHeight="1" x14ac:dyDescent="0.15">
      <c r="A533" s="22" t="s">
        <v>634</v>
      </c>
      <c r="B533" s="105">
        <v>21</v>
      </c>
      <c r="C533" s="105">
        <v>10</v>
      </c>
      <c r="D533" s="2" t="s">
        <v>432</v>
      </c>
      <c r="E533" s="105"/>
      <c r="F533" s="18">
        <v>33820.030473181607</v>
      </c>
      <c r="G533" s="18">
        <v>22010.600632847953</v>
      </c>
      <c r="H533" s="18">
        <v>0</v>
      </c>
      <c r="I533" s="18">
        <v>0</v>
      </c>
      <c r="J533" s="18">
        <v>0</v>
      </c>
      <c r="K533" s="18">
        <v>0</v>
      </c>
      <c r="L533" s="88">
        <f>SUM(F533:K533)</f>
        <v>55830.631106029556</v>
      </c>
      <c r="M533" s="8"/>
      <c r="N533" s="264"/>
    </row>
    <row r="534" spans="1:14" s="3" customFormat="1" ht="12.2" customHeight="1" thickBot="1" x14ac:dyDescent="0.2">
      <c r="A534" s="22" t="s">
        <v>635</v>
      </c>
      <c r="B534" s="105">
        <v>21</v>
      </c>
      <c r="C534" s="105">
        <v>11</v>
      </c>
      <c r="D534" s="2" t="s">
        <v>432</v>
      </c>
      <c r="E534" s="105"/>
      <c r="F534" s="18">
        <v>49158.217702021786</v>
      </c>
      <c r="G534" s="18">
        <v>31992.930891052776</v>
      </c>
      <c r="H534" s="18">
        <v>0</v>
      </c>
      <c r="I534" s="18">
        <v>0</v>
      </c>
      <c r="J534" s="18">
        <v>0</v>
      </c>
      <c r="K534" s="18">
        <v>0</v>
      </c>
      <c r="L534" s="88">
        <f>SUM(F534:K534)</f>
        <v>81151.148593074555</v>
      </c>
      <c r="M534" s="8"/>
      <c r="N534" s="264"/>
    </row>
    <row r="535" spans="1:14" s="3" customFormat="1" ht="12.2" customHeight="1" thickTop="1" x14ac:dyDescent="0.15">
      <c r="A535" s="139" t="s">
        <v>67</v>
      </c>
      <c r="B535" s="107">
        <v>21</v>
      </c>
      <c r="C535" s="107">
        <v>12</v>
      </c>
      <c r="D535" s="157" t="s">
        <v>432</v>
      </c>
      <c r="E535" s="107"/>
      <c r="F535" s="89">
        <f>SUM(F532:F534)</f>
        <v>153317.38</v>
      </c>
      <c r="G535" s="89">
        <f t="shared" ref="G535:L535" si="38">SUM(G532:G534)</f>
        <v>99781.329999999987</v>
      </c>
      <c r="H535" s="89">
        <f t="shared" si="38"/>
        <v>0</v>
      </c>
      <c r="I535" s="89">
        <f t="shared" si="38"/>
        <v>0</v>
      </c>
      <c r="J535" s="89">
        <f t="shared" si="38"/>
        <v>0</v>
      </c>
      <c r="K535" s="89">
        <f t="shared" si="38"/>
        <v>0</v>
      </c>
      <c r="L535" s="89">
        <f t="shared" si="38"/>
        <v>253098.70999999996</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7"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0</v>
      </c>
      <c r="G542" s="18">
        <v>0</v>
      </c>
      <c r="H542" s="18">
        <v>121465.75481084367</v>
      </c>
      <c r="I542" s="18">
        <v>0</v>
      </c>
      <c r="J542" s="18">
        <v>0</v>
      </c>
      <c r="K542" s="18">
        <v>0</v>
      </c>
      <c r="L542" s="88">
        <f>SUM(F542:K542)</f>
        <v>121465.75481084367</v>
      </c>
      <c r="M542" s="8"/>
      <c r="N542" s="264"/>
    </row>
    <row r="543" spans="1:14" s="3" customFormat="1" ht="12.2" customHeight="1" x14ac:dyDescent="0.15">
      <c r="A543" s="22" t="s">
        <v>634</v>
      </c>
      <c r="B543" s="105">
        <v>21</v>
      </c>
      <c r="C543" s="105">
        <v>18</v>
      </c>
      <c r="D543" s="2" t="s">
        <v>432</v>
      </c>
      <c r="E543" s="105"/>
      <c r="F543" s="18">
        <v>0</v>
      </c>
      <c r="G543" s="18">
        <v>0</v>
      </c>
      <c r="H543" s="18">
        <v>58402.420140513546</v>
      </c>
      <c r="I543" s="18">
        <v>0</v>
      </c>
      <c r="J543" s="18">
        <v>0</v>
      </c>
      <c r="K543" s="18">
        <v>0</v>
      </c>
      <c r="L543" s="88">
        <f>SUM(F543:K543)</f>
        <v>58402.420140513546</v>
      </c>
      <c r="M543" s="8"/>
      <c r="N543" s="264"/>
    </row>
    <row r="544" spans="1:14" s="3" customFormat="1" ht="12.2" customHeight="1" thickBot="1" x14ac:dyDescent="0.2">
      <c r="A544" s="22" t="s">
        <v>635</v>
      </c>
      <c r="B544" s="105">
        <v>21</v>
      </c>
      <c r="C544" s="105">
        <v>19</v>
      </c>
      <c r="D544" s="2" t="s">
        <v>432</v>
      </c>
      <c r="E544" s="105"/>
      <c r="F544" s="18">
        <v>0</v>
      </c>
      <c r="G544" s="18">
        <v>0</v>
      </c>
      <c r="H544" s="18">
        <v>88562.195048642738</v>
      </c>
      <c r="I544" s="18">
        <v>0</v>
      </c>
      <c r="J544" s="18">
        <v>0</v>
      </c>
      <c r="K544" s="18">
        <v>0</v>
      </c>
      <c r="L544" s="88">
        <f>SUM(F544:K544)</f>
        <v>88562.195048642738</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0">SUM(G542:G544)</f>
        <v>0</v>
      </c>
      <c r="H545" s="191">
        <f t="shared" si="40"/>
        <v>268430.36999999994</v>
      </c>
      <c r="I545" s="191">
        <f t="shared" si="40"/>
        <v>0</v>
      </c>
      <c r="J545" s="191">
        <f t="shared" si="40"/>
        <v>0</v>
      </c>
      <c r="K545" s="191">
        <f t="shared" si="40"/>
        <v>0</v>
      </c>
      <c r="L545" s="191">
        <f t="shared" si="40"/>
        <v>268430.36999999994</v>
      </c>
      <c r="M545" s="8"/>
      <c r="N545" s="264"/>
    </row>
    <row r="546" spans="1:14" s="3" customFormat="1" ht="12.2" customHeight="1" thickTop="1" x14ac:dyDescent="0.15">
      <c r="A546" s="98" t="s">
        <v>72</v>
      </c>
      <c r="B546" s="107">
        <v>21</v>
      </c>
      <c r="C546" s="107">
        <v>21</v>
      </c>
      <c r="D546" s="157" t="s">
        <v>432</v>
      </c>
      <c r="E546" s="107"/>
      <c r="F546" s="89">
        <f>F525+F530+F535+F540+F545</f>
        <v>2843040.8799999994</v>
      </c>
      <c r="G546" s="89">
        <f t="shared" ref="G546:L546" si="41">G525+G530+G535+G540+G545</f>
        <v>1593513.6865713801</v>
      </c>
      <c r="H546" s="89">
        <f t="shared" si="41"/>
        <v>1643304.5199999998</v>
      </c>
      <c r="I546" s="89">
        <f t="shared" si="41"/>
        <v>13411.050000000001</v>
      </c>
      <c r="J546" s="89">
        <f t="shared" si="41"/>
        <v>7830.48</v>
      </c>
      <c r="K546" s="89">
        <f t="shared" si="41"/>
        <v>6487.1599999999989</v>
      </c>
      <c r="L546" s="89">
        <f t="shared" si="41"/>
        <v>6107587.77657138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1998591.1588248769</v>
      </c>
      <c r="G550" s="87">
        <f>L527</f>
        <v>815347.10004528658</v>
      </c>
      <c r="H550" s="87">
        <f>L532</f>
        <v>116116.93030089585</v>
      </c>
      <c r="I550" s="87">
        <f>L537</f>
        <v>0</v>
      </c>
      <c r="J550" s="87">
        <f>L542</f>
        <v>121465.75481084367</v>
      </c>
      <c r="K550" s="87">
        <f>SUM(F550:J550)</f>
        <v>3051520.9439819031</v>
      </c>
      <c r="L550" s="24" t="s">
        <v>288</v>
      </c>
      <c r="M550" s="8"/>
      <c r="N550" s="264"/>
    </row>
    <row r="551" spans="1:14" s="3" customFormat="1" ht="12.2" customHeight="1" x14ac:dyDescent="0.15">
      <c r="A551" s="22" t="s">
        <v>634</v>
      </c>
      <c r="B551" s="75">
        <v>21</v>
      </c>
      <c r="C551" s="75">
        <v>23</v>
      </c>
      <c r="D551" s="2" t="s">
        <v>432</v>
      </c>
      <c r="E551" s="75"/>
      <c r="F551" s="87">
        <f>L523</f>
        <v>876468.67606508371</v>
      </c>
      <c r="G551" s="87">
        <f>L528</f>
        <v>370391.1893157796</v>
      </c>
      <c r="H551" s="87">
        <f>L533</f>
        <v>55830.631106029556</v>
      </c>
      <c r="I551" s="87">
        <f>L538</f>
        <v>0</v>
      </c>
      <c r="J551" s="87">
        <f>L543</f>
        <v>58402.420140513546</v>
      </c>
      <c r="K551" s="87">
        <f>SUM(F551:J551)</f>
        <v>1361092.9166274061</v>
      </c>
      <c r="L551" s="24" t="s">
        <v>288</v>
      </c>
      <c r="M551" s="8"/>
      <c r="N551" s="264"/>
    </row>
    <row r="552" spans="1:14" s="3" customFormat="1" ht="12.2" customHeight="1" thickBot="1" x14ac:dyDescent="0.2">
      <c r="A552" s="22" t="s">
        <v>635</v>
      </c>
      <c r="B552" s="75">
        <v>21</v>
      </c>
      <c r="C552" s="75">
        <v>24</v>
      </c>
      <c r="D552" s="2" t="s">
        <v>432</v>
      </c>
      <c r="E552" s="75"/>
      <c r="F552" s="87">
        <f>L524</f>
        <v>1158219.8916814192</v>
      </c>
      <c r="G552" s="87">
        <f>L529</f>
        <v>367040.6806389339</v>
      </c>
      <c r="H552" s="87">
        <f>L534</f>
        <v>81151.148593074555</v>
      </c>
      <c r="I552" s="87">
        <f>L539</f>
        <v>0</v>
      </c>
      <c r="J552" s="87">
        <f>L544</f>
        <v>88562.195048642738</v>
      </c>
      <c r="K552" s="87">
        <f>SUM(F552:J552)</f>
        <v>1694973.9159620707</v>
      </c>
      <c r="L552" s="24" t="s">
        <v>288</v>
      </c>
      <c r="M552" s="8"/>
      <c r="N552" s="264"/>
    </row>
    <row r="553" spans="1:14" s="3" customFormat="1" ht="12.2" customHeight="1" thickTop="1" x14ac:dyDescent="0.15">
      <c r="A553" s="171" t="s">
        <v>340</v>
      </c>
      <c r="B553" s="44">
        <v>21</v>
      </c>
      <c r="C553" s="44">
        <v>25</v>
      </c>
      <c r="D553" s="39" t="s">
        <v>432</v>
      </c>
      <c r="E553" s="44"/>
      <c r="F553" s="89">
        <f t="shared" ref="F553:K553" si="42">SUM(F550:F552)</f>
        <v>4033279.7265713797</v>
      </c>
      <c r="G553" s="89">
        <f t="shared" si="42"/>
        <v>1552778.9700000002</v>
      </c>
      <c r="H553" s="89">
        <f t="shared" si="42"/>
        <v>253098.70999999996</v>
      </c>
      <c r="I553" s="89">
        <f t="shared" si="42"/>
        <v>0</v>
      </c>
      <c r="J553" s="89">
        <f t="shared" si="42"/>
        <v>268430.36999999994</v>
      </c>
      <c r="K553" s="89">
        <f t="shared" si="42"/>
        <v>6107587.77657138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3">
        <v>4</v>
      </c>
      <c r="D561" s="194" t="s">
        <v>432</v>
      </c>
      <c r="E561" s="193"/>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4"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0</v>
      </c>
      <c r="G571" s="191">
        <f t="shared" ref="G571:L571" si="45">SUM(G568:G570)</f>
        <v>0</v>
      </c>
      <c r="H571" s="191">
        <f t="shared" si="45"/>
        <v>0</v>
      </c>
      <c r="I571" s="191">
        <f t="shared" si="45"/>
        <v>0</v>
      </c>
      <c r="J571" s="191">
        <f t="shared" si="45"/>
        <v>0</v>
      </c>
      <c r="K571" s="191">
        <f t="shared" si="45"/>
        <v>0</v>
      </c>
      <c r="L571" s="191">
        <f t="shared" si="45"/>
        <v>0</v>
      </c>
      <c r="M571" s="8"/>
      <c r="N571" s="264"/>
    </row>
    <row r="572" spans="1:14" s="3" customFormat="1" ht="12.2" customHeight="1" thickTop="1" x14ac:dyDescent="0.15">
      <c r="A572" s="98" t="s">
        <v>88</v>
      </c>
      <c r="B572" s="107">
        <v>22</v>
      </c>
      <c r="C572" s="107">
        <v>13</v>
      </c>
      <c r="D572" s="157"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5529.59</v>
      </c>
      <c r="I579" s="87">
        <f t="shared" si="47"/>
        <v>5529.59</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26247.7</v>
      </c>
      <c r="G580" s="18">
        <v>0</v>
      </c>
      <c r="H580" s="18">
        <v>0</v>
      </c>
      <c r="I580" s="87">
        <f t="shared" si="47"/>
        <v>26247.7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5"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5" t="s">
        <v>673</v>
      </c>
      <c r="B583" s="75">
        <v>22</v>
      </c>
      <c r="C583" s="75">
        <v>21</v>
      </c>
      <c r="D583" s="2" t="s">
        <v>432</v>
      </c>
      <c r="E583" s="75">
        <v>564</v>
      </c>
      <c r="F583" s="18">
        <v>126091.78</v>
      </c>
      <c r="G583" s="18">
        <v>102211.62</v>
      </c>
      <c r="H583" s="18">
        <v>41845.440000000002</v>
      </c>
      <c r="I583" s="87">
        <f t="shared" si="47"/>
        <v>270148.83999999997</v>
      </c>
      <c r="J583" s="24" t="s">
        <v>288</v>
      </c>
      <c r="K583" s="24" t="s">
        <v>288</v>
      </c>
      <c r="L583" s="24" t="s">
        <v>288</v>
      </c>
      <c r="M583" s="8"/>
      <c r="N583" s="264"/>
    </row>
    <row r="584" spans="1:14" s="3" customFormat="1" ht="12.2" customHeight="1" x14ac:dyDescent="0.15">
      <c r="A584" s="145"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51539.25</v>
      </c>
      <c r="I585" s="87">
        <f t="shared" si="47"/>
        <v>51539.25</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2" t="s">
        <v>743</v>
      </c>
      <c r="B589" s="105"/>
      <c r="C589" s="105"/>
      <c r="D589" s="105"/>
      <c r="E589" s="105"/>
      <c r="F589" s="103"/>
      <c r="G589" s="103"/>
      <c r="H589" s="103"/>
      <c r="I589" s="103"/>
      <c r="J589" s="103"/>
      <c r="K589" s="103"/>
      <c r="L589" s="103"/>
      <c r="M589" s="8"/>
      <c r="N589" s="264"/>
    </row>
    <row r="590" spans="1:14" s="3" customFormat="1" ht="12.2" customHeight="1" x14ac:dyDescent="0.15">
      <c r="A590" s="146"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439865.28</v>
      </c>
      <c r="I592" s="18">
        <v>211493.33</v>
      </c>
      <c r="J592" s="18">
        <v>308932.07</v>
      </c>
      <c r="K592" s="104">
        <f t="shared" ref="K592:K598" si="48">SUM(H592:J592)</f>
        <v>960290.67999999993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121465.75</v>
      </c>
      <c r="I593" s="18">
        <v>58402.42</v>
      </c>
      <c r="J593" s="18">
        <v>88562.2</v>
      </c>
      <c r="K593" s="104">
        <f t="shared" si="48"/>
        <v>268430.37</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27016.5</v>
      </c>
      <c r="K594" s="104">
        <f t="shared" si="48"/>
        <v>27016.5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2616</v>
      </c>
      <c r="I595" s="18">
        <v>10397.34</v>
      </c>
      <c r="J595" s="18">
        <v>42465.71</v>
      </c>
      <c r="K595" s="104">
        <f t="shared" si="48"/>
        <v>55479.05</v>
      </c>
      <c r="L595" s="24" t="s">
        <v>288</v>
      </c>
      <c r="M595" s="8"/>
      <c r="N595" s="264"/>
    </row>
    <row r="596" spans="1:14" s="3" customFormat="1" ht="12.2" customHeight="1" x14ac:dyDescent="0.15">
      <c r="A596" s="170" t="s">
        <v>652</v>
      </c>
      <c r="B596" s="75">
        <v>23</v>
      </c>
      <c r="C596" s="75">
        <v>5</v>
      </c>
      <c r="D596" s="2" t="s">
        <v>432</v>
      </c>
      <c r="E596" s="75"/>
      <c r="F596" s="102">
        <v>2725</v>
      </c>
      <c r="G596" s="103" t="s">
        <v>97</v>
      </c>
      <c r="H596" s="18">
        <v>17209.849999999999</v>
      </c>
      <c r="I596" s="18">
        <v>4496.7700000000004</v>
      </c>
      <c r="J596" s="18">
        <v>5269.24</v>
      </c>
      <c r="K596" s="104">
        <f t="shared" si="48"/>
        <v>26975.86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7">
        <v>2700</v>
      </c>
      <c r="G599" s="148" t="s">
        <v>97</v>
      </c>
      <c r="H599" s="108">
        <f>SUM(H592:H598)</f>
        <v>581156.88</v>
      </c>
      <c r="I599" s="108">
        <f>SUM(I592:I598)</f>
        <v>284789.86000000004</v>
      </c>
      <c r="J599" s="108">
        <f>SUM(J592:J598)</f>
        <v>472245.72000000003</v>
      </c>
      <c r="K599" s="108">
        <f>SUM(K592:K598)</f>
        <v>1338192.46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212888.34-24457.99</f>
        <v>188430.35</v>
      </c>
      <c r="I605" s="18">
        <v>69126.13</v>
      </c>
      <c r="J605" s="18">
        <v>131687.07999999999</v>
      </c>
      <c r="K605" s="104">
        <f>SUM(H605:J605)</f>
        <v>389243.56</v>
      </c>
      <c r="L605" s="24" t="s">
        <v>288</v>
      </c>
      <c r="M605" s="8"/>
      <c r="N605" s="264"/>
    </row>
    <row r="606" spans="1:14" s="3" customFormat="1" ht="12.2" customHeight="1" thickTop="1" x14ac:dyDescent="0.15">
      <c r="A606" s="98" t="s">
        <v>340</v>
      </c>
      <c r="B606" s="44">
        <v>23</v>
      </c>
      <c r="C606" s="44">
        <v>12</v>
      </c>
      <c r="D606" s="39" t="s">
        <v>432</v>
      </c>
      <c r="E606" s="44"/>
      <c r="F606" s="148" t="s">
        <v>476</v>
      </c>
      <c r="G606" s="147">
        <v>700</v>
      </c>
      <c r="H606" s="108">
        <f>SUM(H603:H605)</f>
        <v>188430.35</v>
      </c>
      <c r="I606" s="108">
        <f>SUM(I603:I605)</f>
        <v>69126.13</v>
      </c>
      <c r="J606" s="108">
        <f>SUM(J603:J605)</f>
        <v>131687.07999999999</v>
      </c>
      <c r="K606" s="108">
        <f>SUM(K603:K605)</f>
        <v>389243.56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0</v>
      </c>
      <c r="G612" s="18">
        <v>0</v>
      </c>
      <c r="H612" s="18">
        <v>0</v>
      </c>
      <c r="I612" s="18">
        <v>0</v>
      </c>
      <c r="J612" s="18">
        <v>0</v>
      </c>
      <c r="K612" s="18">
        <v>0</v>
      </c>
      <c r="L612" s="88">
        <f>SUM(F612:K612)</f>
        <v>0</v>
      </c>
      <c r="M612" s="8"/>
      <c r="N612" s="264"/>
    </row>
    <row r="613" spans="1:14" s="3" customFormat="1" ht="12.2" customHeight="1" x14ac:dyDescent="0.15">
      <c r="A613" s="22" t="s">
        <v>634</v>
      </c>
      <c r="B613" s="75">
        <v>23</v>
      </c>
      <c r="C613" s="75">
        <v>14</v>
      </c>
      <c r="D613" s="2" t="s">
        <v>432</v>
      </c>
      <c r="E613" s="75"/>
      <c r="F613" s="18">
        <v>455</v>
      </c>
      <c r="G613" s="18">
        <v>127.1</v>
      </c>
      <c r="H613" s="18">
        <v>0</v>
      </c>
      <c r="I613" s="18">
        <v>0</v>
      </c>
      <c r="J613" s="18">
        <v>0</v>
      </c>
      <c r="K613" s="18">
        <v>0</v>
      </c>
      <c r="L613" s="88">
        <f>SUM(F613:K613)</f>
        <v>582.1</v>
      </c>
      <c r="M613" s="8"/>
      <c r="N613" s="264"/>
    </row>
    <row r="614" spans="1:14" s="3" customFormat="1" ht="12.2" customHeight="1" thickBot="1" x14ac:dyDescent="0.2">
      <c r="A614" s="22" t="s">
        <v>645</v>
      </c>
      <c r="B614" s="75">
        <v>23</v>
      </c>
      <c r="C614" s="75">
        <v>15</v>
      </c>
      <c r="D614" s="2" t="s">
        <v>432</v>
      </c>
      <c r="E614" s="75"/>
      <c r="F614" s="18">
        <v>0</v>
      </c>
      <c r="G614" s="18">
        <v>0</v>
      </c>
      <c r="H614" s="18">
        <v>17.079999999999998</v>
      </c>
      <c r="I614" s="18">
        <v>976.78</v>
      </c>
      <c r="J614" s="18">
        <v>0</v>
      </c>
      <c r="K614" s="18">
        <v>80</v>
      </c>
      <c r="L614" s="88">
        <f>SUM(F614:K614)</f>
        <v>1073.8600000000001</v>
      </c>
      <c r="M614" s="8"/>
      <c r="N614" s="264"/>
    </row>
    <row r="615" spans="1:14" s="3" customFormat="1" ht="12.2" customHeight="1" thickTop="1" x14ac:dyDescent="0.15">
      <c r="A615" s="98" t="s">
        <v>340</v>
      </c>
      <c r="B615" s="107">
        <v>23</v>
      </c>
      <c r="C615" s="107">
        <v>16</v>
      </c>
      <c r="D615" s="39" t="s">
        <v>432</v>
      </c>
      <c r="E615" s="107"/>
      <c r="F615" s="108">
        <f t="shared" ref="F615:L615" si="49">SUM(F612:F614)</f>
        <v>455</v>
      </c>
      <c r="G615" s="108">
        <f t="shared" si="49"/>
        <v>127.1</v>
      </c>
      <c r="H615" s="108">
        <f t="shared" si="49"/>
        <v>17.079999999999998</v>
      </c>
      <c r="I615" s="108">
        <f t="shared" si="49"/>
        <v>976.78</v>
      </c>
      <c r="J615" s="108">
        <f t="shared" si="49"/>
        <v>0</v>
      </c>
      <c r="K615" s="108">
        <f t="shared" si="49"/>
        <v>80</v>
      </c>
      <c r="L615" s="89">
        <f t="shared" si="49"/>
        <v>1655.96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1971497.58</v>
      </c>
      <c r="H618" s="109">
        <f>SUM(F52)</f>
        <v>1971497.5799999998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670261.16</v>
      </c>
      <c r="H619" s="109">
        <f>SUM(G52)</f>
        <v>670261.16300000006</v>
      </c>
      <c r="I619" s="121" t="s">
        <v>876</v>
      </c>
      <c r="J619" s="109">
        <f>G619-H619</f>
        <v>-3.0000000260770321E-3</v>
      </c>
      <c r="K619" s="109"/>
      <c r="L619" s="109"/>
      <c r="M619" s="8"/>
    </row>
    <row r="620" spans="1:14" s="3" customFormat="1" ht="12.2" customHeight="1" x14ac:dyDescent="0.15">
      <c r="A620" s="97"/>
      <c r="B620" s="105"/>
      <c r="C620" s="105"/>
      <c r="D620" s="105"/>
      <c r="E620" s="105"/>
      <c r="F620" s="121" t="s">
        <v>685</v>
      </c>
      <c r="G620" s="109">
        <f>SUM(H19)</f>
        <v>922980.38</v>
      </c>
      <c r="H620" s="109">
        <f>SUM(H52)</f>
        <v>922980.38000000012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821609.94000000006</v>
      </c>
      <c r="H622" s="109">
        <f>SUM(J52)</f>
        <v>821609.94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1453410.17</v>
      </c>
      <c r="H623" s="109">
        <f>F477</f>
        <v>1453410.1700000018</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71740.273000000088</v>
      </c>
      <c r="H624" s="109">
        <f>G477</f>
        <v>71740.270000000019</v>
      </c>
      <c r="I624" s="121" t="s">
        <v>102</v>
      </c>
      <c r="J624" s="109">
        <f t="shared" si="50"/>
        <v>3.0000000697327778E-3</v>
      </c>
      <c r="K624" s="109"/>
      <c r="L624" s="109"/>
      <c r="M624" s="8"/>
    </row>
    <row r="625" spans="1:13" s="3" customFormat="1" ht="12.2" customHeight="1" x14ac:dyDescent="0.15">
      <c r="A625" s="97"/>
      <c r="B625" s="105"/>
      <c r="C625" s="105"/>
      <c r="D625" s="105"/>
      <c r="E625" s="105"/>
      <c r="F625" s="120" t="s">
        <v>867</v>
      </c>
      <c r="G625" s="109">
        <f>H51</f>
        <v>203.79</v>
      </c>
      <c r="H625" s="109">
        <f>H477</f>
        <v>203.78500000014901</v>
      </c>
      <c r="I625" s="121" t="s">
        <v>103</v>
      </c>
      <c r="J625" s="109">
        <f t="shared" si="50"/>
        <v>4.99999985098043E-3</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821609.94</v>
      </c>
      <c r="H627" s="109">
        <f>J477</f>
        <v>821609.94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23826559.860000003</v>
      </c>
      <c r="H628" s="104">
        <f>SUM(F469)</f>
        <v>23826559.859999999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805985.66999999993</v>
      </c>
      <c r="H629" s="104">
        <f>SUM(G469)</f>
        <v>805985.67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2156136.71</v>
      </c>
      <c r="H630" s="104">
        <f>SUM(H469)</f>
        <v>2156136.71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350000</v>
      </c>
      <c r="H632" s="104">
        <f>SUM(J469)</f>
        <v>350000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23550037.924154233</v>
      </c>
      <c r="H633" s="104">
        <f>SUM(F473)</f>
        <v>23550037.919999998</v>
      </c>
      <c r="I633" s="140" t="s">
        <v>111</v>
      </c>
      <c r="J633" s="109">
        <f t="shared" si="50"/>
        <v>4.1542351245880127E-3</v>
      </c>
      <c r="K633" s="85"/>
      <c r="L633" s="88"/>
      <c r="M633" s="8"/>
    </row>
    <row r="634" spans="1:13" s="3" customFormat="1" ht="12.2" customHeight="1" x14ac:dyDescent="0.15">
      <c r="A634" s="22"/>
      <c r="B634" s="105"/>
      <c r="C634" s="105"/>
      <c r="D634" s="105"/>
      <c r="E634" s="105"/>
      <c r="F634" s="120" t="s">
        <v>395</v>
      </c>
      <c r="G634" s="109">
        <f>SUM(L353)</f>
        <v>2236034.5864917259</v>
      </c>
      <c r="H634" s="104">
        <f>SUM(H473)</f>
        <v>2236034.59</v>
      </c>
      <c r="I634" s="140" t="s">
        <v>112</v>
      </c>
      <c r="J634" s="109">
        <f>G634-H634</f>
        <v>-3.5082739777863026E-3</v>
      </c>
      <c r="K634" s="85"/>
      <c r="L634" s="88"/>
      <c r="M634" s="8"/>
    </row>
    <row r="635" spans="1:13" s="168"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677236</v>
      </c>
      <c r="H636" s="104">
        <f>SUM(G473)</f>
        <v>677236</v>
      </c>
      <c r="I636" s="140" t="s">
        <v>114</v>
      </c>
      <c r="J636" s="109">
        <f t="shared" si="50"/>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0"/>
      <c r="B638" s="161"/>
      <c r="C638" s="161"/>
      <c r="D638" s="161"/>
      <c r="E638" s="161"/>
      <c r="F638" s="162" t="s">
        <v>477</v>
      </c>
      <c r="G638" s="150">
        <f>SUM(L409)</f>
        <v>350000</v>
      </c>
      <c r="H638" s="163">
        <f>SUM(J469)</f>
        <v>350000</v>
      </c>
      <c r="I638" s="164" t="s">
        <v>110</v>
      </c>
      <c r="J638" s="150">
        <f t="shared" si="50"/>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0"/>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821609.94000000006</v>
      </c>
      <c r="H641" s="104">
        <f>SUM(G462)</f>
        <v>821609.94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821609.94000000006</v>
      </c>
      <c r="H643" s="104">
        <f>SUM(I462)</f>
        <v>821609.94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350000</v>
      </c>
      <c r="H647" s="104">
        <f>L409</f>
        <v>350000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1338192.46</v>
      </c>
      <c r="H648" s="104">
        <f>L209+L227+L245</f>
        <v>1338192.4612839986</v>
      </c>
      <c r="I648" s="140" t="s">
        <v>396</v>
      </c>
      <c r="J648" s="109">
        <f t="shared" si="50"/>
        <v>-1.2839986011385918E-3</v>
      </c>
      <c r="K648" s="85"/>
      <c r="L648" s="88"/>
      <c r="M648" s="8"/>
    </row>
    <row r="649" spans="1:13" s="3" customFormat="1" ht="12.2" customHeight="1" x14ac:dyDescent="0.15">
      <c r="A649" s="22"/>
      <c r="B649" s="105"/>
      <c r="C649" s="105"/>
      <c r="D649" s="105"/>
      <c r="E649" s="105"/>
      <c r="F649" s="120" t="s">
        <v>52</v>
      </c>
      <c r="G649" s="109">
        <f>K606</f>
        <v>389243.56</v>
      </c>
      <c r="H649" s="104">
        <f>(J258+J339)-(J256+J337)</f>
        <v>389243.56047783559</v>
      </c>
      <c r="I649" s="140" t="s">
        <v>699</v>
      </c>
      <c r="J649" s="109">
        <f t="shared" si="50"/>
        <v>-4.7783559421077371E-4</v>
      </c>
      <c r="K649" s="85"/>
      <c r="L649" s="88"/>
      <c r="M649" s="8"/>
    </row>
    <row r="650" spans="1:13" s="3" customFormat="1" ht="12.2" customHeight="1" x14ac:dyDescent="0.15">
      <c r="A650" s="22"/>
      <c r="B650" s="105"/>
      <c r="C650" s="105"/>
      <c r="D650" s="105"/>
      <c r="E650" s="105"/>
      <c r="F650" s="120" t="s">
        <v>387</v>
      </c>
      <c r="G650" s="109">
        <f>L209</f>
        <v>581156.88</v>
      </c>
      <c r="H650" s="104">
        <f>H599</f>
        <v>581156.88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284789.8584212811</v>
      </c>
      <c r="H651" s="104">
        <f>I599</f>
        <v>284789.86000000004</v>
      </c>
      <c r="I651" s="140" t="s">
        <v>389</v>
      </c>
      <c r="J651" s="109">
        <f t="shared" si="50"/>
        <v>-1.578718947712332E-3</v>
      </c>
      <c r="K651" s="85"/>
      <c r="L651" s="88"/>
      <c r="M651" s="8"/>
    </row>
    <row r="652" spans="1:13" s="3" customFormat="1" ht="12.2" customHeight="1" x14ac:dyDescent="0.15">
      <c r="A652" s="22"/>
      <c r="B652" s="105"/>
      <c r="C652" s="105"/>
      <c r="D652" s="105"/>
      <c r="E652" s="105"/>
      <c r="F652" s="120" t="s">
        <v>393</v>
      </c>
      <c r="G652" s="109">
        <f>L245</f>
        <v>472245.7228627174</v>
      </c>
      <c r="H652" s="104">
        <f>J599</f>
        <v>472245.72000000003</v>
      </c>
      <c r="I652" s="140" t="s">
        <v>390</v>
      </c>
      <c r="J652" s="109">
        <f t="shared" si="50"/>
        <v>2.862717374227941E-3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5.1681399345397949E-3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11812002.258932723</v>
      </c>
      <c r="G661" s="19">
        <f>(L230+L310+L360)</f>
        <v>5713482.1026157439</v>
      </c>
      <c r="H661" s="19">
        <f>(L248+L329+L361)</f>
        <v>8165672.2890974907</v>
      </c>
      <c r="I661" s="19">
        <f>SUM(F661:H661)</f>
        <v>25691156.65064596</v>
      </c>
      <c r="J661" s="13"/>
      <c r="K661" s="13"/>
      <c r="L661" s="13"/>
      <c r="M661" s="9"/>
    </row>
    <row r="662" spans="1:13" s="3" customFormat="1" ht="12.2" customHeight="1" x14ac:dyDescent="0.2">
      <c r="A662" s="1" t="s">
        <v>127</v>
      </c>
      <c r="F662" s="19">
        <f>(L359/IF(SUM(L359:L361)=0,1,SUM(L359:L361))*(SUM(G97:G110)))</f>
        <v>19468.701696978602</v>
      </c>
      <c r="G662" s="19">
        <f>(L360/IF(SUM(L359:L361)=0,1,SUM(L359:L361))*(SUM(G97:G110)))</f>
        <v>9360.8215578705203</v>
      </c>
      <c r="H662" s="19">
        <f>(L361/IF(SUM(L359:L361)=0,1,SUM(L359:L361))*(SUM(G97:G110)))</f>
        <v>13606.176745150877</v>
      </c>
      <c r="I662" s="19">
        <f>SUM(F662:H662)</f>
        <v>42435.7</v>
      </c>
      <c r="J662"/>
      <c r="K662" s="13"/>
      <c r="L662" s="13"/>
      <c r="M662" s="8"/>
    </row>
    <row r="663" spans="1:13" s="3" customFormat="1" ht="12.2" customHeight="1" x14ac:dyDescent="0.2">
      <c r="A663" s="1" t="s">
        <v>128</v>
      </c>
      <c r="F663" s="19">
        <f>(L209+L288)-(J209+J288)</f>
        <v>581156.88</v>
      </c>
      <c r="G663" s="19">
        <f>(L227+L307)-(J227+J307)</f>
        <v>284789.8584212811</v>
      </c>
      <c r="H663" s="19">
        <f>(L245+L326)-(J245+J326)</f>
        <v>475967.51286271738</v>
      </c>
      <c r="I663" s="19">
        <f>SUM(F663:H663)</f>
        <v>1341914.2512839986</v>
      </c>
      <c r="J663"/>
      <c r="K663" s="13"/>
      <c r="L663" s="13"/>
      <c r="M663" s="9"/>
    </row>
    <row r="664" spans="1:13" s="3" customFormat="1" ht="12.2" customHeight="1" x14ac:dyDescent="0.15">
      <c r="A664" s="196" t="s">
        <v>129</v>
      </c>
      <c r="B664" s="168"/>
      <c r="C664" s="168"/>
      <c r="D664" s="168"/>
      <c r="E664" s="168"/>
      <c r="F664" s="197">
        <f>SUM(F576:F588)+SUM(H603:H605)+SUM(L612)</f>
        <v>340769.83</v>
      </c>
      <c r="G664" s="197">
        <f>SUM(G576:G588)+SUM(I603:I605)+L613</f>
        <v>171919.85</v>
      </c>
      <c r="H664" s="197">
        <f>SUM(H576:H588)+SUM(J603:J605)+L614</f>
        <v>231675.21999999997</v>
      </c>
      <c r="I664" s="19">
        <f>SUM(F664:H664)</f>
        <v>744364.9</v>
      </c>
      <c r="J664" s="13"/>
      <c r="K664" s="13"/>
      <c r="L664" s="13"/>
      <c r="M664" s="9"/>
    </row>
    <row r="665" spans="1:13" s="3" customFormat="1" ht="12.2" customHeight="1" x14ac:dyDescent="0.15">
      <c r="A665" s="1" t="s">
        <v>130</v>
      </c>
      <c r="F665" s="19">
        <f>F661-SUM(F662:F664)</f>
        <v>10870606.847235745</v>
      </c>
      <c r="G665" s="19">
        <f>G661-SUM(G662:G664)</f>
        <v>5247411.5726365922</v>
      </c>
      <c r="H665" s="19">
        <f>H661-SUM(H662:H664)</f>
        <v>7444423.379489623</v>
      </c>
      <c r="I665" s="19">
        <f>I661-SUM(I662:I664)</f>
        <v>23562441.799361963</v>
      </c>
      <c r="J665" s="13"/>
      <c r="K665" s="13"/>
      <c r="L665" s="13"/>
      <c r="M665" s="8"/>
    </row>
    <row r="666" spans="1:13" s="3" customFormat="1" ht="12.2" customHeight="1" x14ac:dyDescent="0.2">
      <c r="A666" s="1" t="s">
        <v>131</v>
      </c>
      <c r="F666" s="244">
        <v>496.61</v>
      </c>
      <c r="G666" s="245">
        <v>264.44</v>
      </c>
      <c r="H666" s="245">
        <v>395.9</v>
      </c>
      <c r="I666" s="19">
        <f>SUM(F666:H666)</f>
        <v>1156.9499999999998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21889.63</v>
      </c>
      <c r="G668" s="19">
        <f>ROUND(G665/G666,2)</f>
        <v>19843.490000000002</v>
      </c>
      <c r="H668" s="19">
        <f>ROUND(H665/H666,2)</f>
        <v>18803.8</v>
      </c>
      <c r="I668" s="19">
        <f>ROUND(I665/I666,2)</f>
        <v>20366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-4.3899999999999997</v>
      </c>
      <c r="I671" s="19">
        <f>SUM(F671:H671)</f>
        <v>-4.3899999999999997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21889.63</v>
      </c>
      <c r="G673" s="19">
        <f>ROUND((G665+G670)/(G666+G671),2)</f>
        <v>19843.490000000002</v>
      </c>
      <c r="H673" s="19">
        <f>ROUND((H665+H670)/(H666+H671),2)</f>
        <v>19014.64</v>
      </c>
      <c r="I673" s="19">
        <f>ROUND((I665+I670)/(I666+I671),2)</f>
        <v>20443.57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7"/>
    </sheetView>
  </sheetViews>
  <sheetFormatPr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2" t="s">
        <v>1643</v>
      </c>
      <c r="D2" s="372"/>
      <c r="E2" s="372"/>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452881.69</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56635.6</v>
      </c>
      <c r="F9" s="348" t="s">
        <v>1644</v>
      </c>
    </row>
    <row r="10" spans="2:8" x14ac:dyDescent="0.25">
      <c r="B10" s="347"/>
      <c r="C10" s="347"/>
      <c r="D10" s="347"/>
      <c r="E10" s="347"/>
      <c r="F10" s="347"/>
    </row>
    <row r="11" spans="2:8" x14ac:dyDescent="0.25">
      <c r="B11" s="347"/>
      <c r="C11" s="351" t="s">
        <v>1648</v>
      </c>
      <c r="D11" s="348" t="s">
        <v>1651</v>
      </c>
      <c r="E11" s="335">
        <v>0</v>
      </c>
      <c r="F11" s="348" t="s">
        <v>1645</v>
      </c>
    </row>
    <row r="12" spans="2:8" x14ac:dyDescent="0.25">
      <c r="B12" s="347"/>
      <c r="C12" s="347"/>
      <c r="D12" s="348"/>
      <c r="E12" s="347"/>
      <c r="F12" s="347"/>
    </row>
    <row r="13" spans="2:8" x14ac:dyDescent="0.25">
      <c r="B13" s="347"/>
      <c r="C13" s="348" t="s">
        <v>1638</v>
      </c>
      <c r="D13" s="348" t="s">
        <v>1652</v>
      </c>
      <c r="E13" s="335">
        <f>34255.99</f>
        <v>34255.99</v>
      </c>
      <c r="F13" s="348" t="s">
        <v>1646</v>
      </c>
    </row>
    <row r="14" spans="2:8" x14ac:dyDescent="0.25">
      <c r="B14" s="347"/>
      <c r="C14" s="347"/>
      <c r="D14" s="348"/>
      <c r="E14" s="347"/>
      <c r="F14" s="347"/>
    </row>
    <row r="15" spans="2:8" x14ac:dyDescent="0.25">
      <c r="B15" s="347"/>
      <c r="C15" s="348" t="s">
        <v>1640</v>
      </c>
      <c r="D15" s="348" t="s">
        <v>1653</v>
      </c>
      <c r="E15" s="335">
        <f>349408.59</f>
        <v>349408.59</v>
      </c>
      <c r="F15" s="348" t="s">
        <v>1647</v>
      </c>
    </row>
    <row r="16" spans="2:8" x14ac:dyDescent="0.25">
      <c r="B16" s="347"/>
      <c r="C16" s="347"/>
      <c r="D16" s="347"/>
      <c r="E16" s="347"/>
      <c r="F16" s="347"/>
    </row>
    <row r="17" spans="2:8" x14ac:dyDescent="0.25">
      <c r="B17" s="347"/>
      <c r="C17" s="348" t="s">
        <v>1639</v>
      </c>
      <c r="D17" s="348" t="s">
        <v>1654</v>
      </c>
      <c r="E17" s="335">
        <v>12581.51</v>
      </c>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5" t="s">
        <v>1581</v>
      </c>
      <c r="B3" s="316" t="s">
        <v>1614</v>
      </c>
      <c r="C3" s="314"/>
      <c r="D3" s="314"/>
      <c r="E3" s="314"/>
      <c r="F3" s="314"/>
      <c r="G3" s="314"/>
      <c r="H3" s="314"/>
      <c r="I3" t="s">
        <v>1613</v>
      </c>
    </row>
    <row r="4" spans="1:9" x14ac:dyDescent="0.2">
      <c r="I4" t="s">
        <v>1614</v>
      </c>
    </row>
    <row r="5" spans="1:9" ht="15.75" x14ac:dyDescent="0.25">
      <c r="A5" s="310" t="s">
        <v>908</v>
      </c>
      <c r="B5" s="374" t="str">
        <f>'DOE25'!A2</f>
        <v>Newfound Area</v>
      </c>
      <c r="C5" s="375"/>
      <c r="D5" s="375"/>
      <c r="E5" s="375"/>
      <c r="F5" s="375"/>
    </row>
    <row r="8" spans="1:9" ht="18" x14ac:dyDescent="0.25">
      <c r="A8" s="311" t="s">
        <v>1568</v>
      </c>
      <c r="F8" s="318" t="s">
        <v>1586</v>
      </c>
    </row>
    <row r="9" spans="1:9" ht="15" x14ac:dyDescent="0.2">
      <c r="A9" s="309" t="s">
        <v>1569</v>
      </c>
      <c r="B9" s="312">
        <f>'DOE25'!G97</f>
        <v>42435.7</v>
      </c>
      <c r="F9" s="309" t="s">
        <v>1582</v>
      </c>
    </row>
    <row r="10" spans="1:9" ht="15" x14ac:dyDescent="0.2">
      <c r="A10" s="309" t="s">
        <v>1570</v>
      </c>
      <c r="B10" s="312">
        <f>'DOE25'!G112-'DOE25'!G97</f>
        <v>538.40000000000146</v>
      </c>
      <c r="F10" s="309" t="s">
        <v>1583</v>
      </c>
    </row>
    <row r="11" spans="1:9" ht="15" x14ac:dyDescent="0.2">
      <c r="A11" s="309" t="s">
        <v>1571</v>
      </c>
      <c r="B11" s="312">
        <f>'DOE25'!G140</f>
        <v>9362.4599999999991</v>
      </c>
      <c r="F11" s="309" t="s">
        <v>1584</v>
      </c>
    </row>
    <row r="12" spans="1:9" ht="15" x14ac:dyDescent="0.2">
      <c r="A12" s="309" t="s">
        <v>1572</v>
      </c>
      <c r="B12" s="312">
        <f>'DOE25'!G170</f>
        <v>753649.11</v>
      </c>
      <c r="F12" s="309" t="s">
        <v>1585</v>
      </c>
    </row>
    <row r="13" spans="1:9" ht="15" x14ac:dyDescent="0.2">
      <c r="A13" s="309" t="s">
        <v>1573</v>
      </c>
      <c r="B13" s="312">
        <f>'DOE25'!G193-'DOE25'!G180</f>
        <v>0</v>
      </c>
      <c r="F13" s="309" t="s">
        <v>1595</v>
      </c>
    </row>
    <row r="14" spans="1:9" ht="18" x14ac:dyDescent="0.25">
      <c r="A14" s="311" t="s">
        <v>732</v>
      </c>
      <c r="B14" s="313">
        <f>SUM(B9:B13)</f>
        <v>805985.66999999993</v>
      </c>
    </row>
    <row r="16" spans="1:9" ht="18" x14ac:dyDescent="0.25">
      <c r="A16" s="311" t="s">
        <v>786</v>
      </c>
      <c r="F16" s="318" t="s">
        <v>1587</v>
      </c>
    </row>
    <row r="17" spans="1:6" ht="15" x14ac:dyDescent="0.2">
      <c r="A17" s="309" t="s">
        <v>1574</v>
      </c>
      <c r="B17" s="312">
        <f>'DOE25'!L363-'DOE25'!L362</f>
        <v>677236</v>
      </c>
      <c r="F17" s="309" t="s">
        <v>1588</v>
      </c>
    </row>
    <row r="18" spans="1:6" ht="15" x14ac:dyDescent="0.2">
      <c r="A18" s="309" t="s">
        <v>1575</v>
      </c>
      <c r="B18" s="322"/>
      <c r="F18" s="318" t="s">
        <v>1612</v>
      </c>
    </row>
    <row r="19" spans="1:6" ht="18" x14ac:dyDescent="0.25">
      <c r="A19" s="311" t="s">
        <v>725</v>
      </c>
      <c r="B19" s="313">
        <f>SUM(B17:B18)</f>
        <v>677236</v>
      </c>
    </row>
    <row r="21" spans="1:6" ht="18.75" thickBot="1" x14ac:dyDescent="0.3">
      <c r="A21" s="311" t="s">
        <v>1576</v>
      </c>
    </row>
    <row r="22" spans="1:6" ht="18.75" thickTop="1" x14ac:dyDescent="0.25">
      <c r="A22" s="311" t="s">
        <v>1577</v>
      </c>
      <c r="B22" s="317">
        <f>B14-B19</f>
        <v>128749.66999999993</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-7833.74</v>
      </c>
      <c r="F31" s="309" t="s">
        <v>1592</v>
      </c>
    </row>
    <row r="33" spans="1:6" ht="15" x14ac:dyDescent="0.2">
      <c r="A33" s="309" t="s">
        <v>1635</v>
      </c>
      <c r="B33" s="312">
        <f>'DOE25'!G477</f>
        <v>71740.270000000019</v>
      </c>
      <c r="F33" s="309" t="s">
        <v>1593</v>
      </c>
    </row>
    <row r="36" spans="1:6" ht="15" x14ac:dyDescent="0.2">
      <c r="A36" s="309" t="s">
        <v>1579</v>
      </c>
      <c r="B36" s="323">
        <v>482.12</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Normal="100" workbookViewId="0">
      <selection activeCell="C43" sqref="C43"/>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Newfound Area</v>
      </c>
      <c r="C1" s="236" t="s">
        <v>824</v>
      </c>
    </row>
    <row r="2" spans="1:3" x14ac:dyDescent="0.2">
      <c r="A2" s="231"/>
      <c r="B2" s="230"/>
    </row>
    <row r="3" spans="1:3" x14ac:dyDescent="0.2">
      <c r="A3" s="372" t="s">
        <v>780</v>
      </c>
      <c r="B3" s="372"/>
      <c r="C3" s="372"/>
    </row>
    <row r="4" spans="1:3" x14ac:dyDescent="0.2">
      <c r="A4" s="234"/>
      <c r="B4" s="235" t="str">
        <f>'DOE25'!H1</f>
        <v>DOE 25  2021-2022</v>
      </c>
      <c r="C4" s="234"/>
    </row>
    <row r="5" spans="1:3" x14ac:dyDescent="0.2">
      <c r="A5" s="231"/>
      <c r="B5" s="230"/>
    </row>
    <row r="6" spans="1:3" x14ac:dyDescent="0.2">
      <c r="A6" s="225"/>
      <c r="B6" s="378" t="s">
        <v>779</v>
      </c>
      <c r="C6" s="378"/>
    </row>
    <row r="7" spans="1:3" x14ac:dyDescent="0.2">
      <c r="A7" s="237" t="s">
        <v>782</v>
      </c>
      <c r="B7" s="376" t="s">
        <v>778</v>
      </c>
      <c r="C7" s="377"/>
    </row>
    <row r="8" spans="1:3" x14ac:dyDescent="0.2">
      <c r="B8" s="226" t="s">
        <v>54</v>
      </c>
      <c r="C8" s="226" t="s">
        <v>772</v>
      </c>
    </row>
    <row r="9" spans="1:3" x14ac:dyDescent="0.2">
      <c r="A9" s="33" t="s">
        <v>773</v>
      </c>
      <c r="B9" s="227">
        <f>'DOE25'!F198+'DOE25'!F216+'DOE25'!F234+'DOE25'!F277+'DOE25'!F296+'DOE25'!F315</f>
        <v>5651246.4400000004</v>
      </c>
      <c r="C9" s="227">
        <f>'DOE25'!G198+'DOE25'!G216+'DOE25'!G234+'DOE25'!G277+'DOE25'!G296+'DOE25'!G315</f>
        <v>3232774.66</v>
      </c>
    </row>
    <row r="10" spans="1:3" x14ac:dyDescent="0.2">
      <c r="A10" t="s">
        <v>775</v>
      </c>
      <c r="B10" s="238">
        <v>5239113.4800000004</v>
      </c>
      <c r="C10" s="238">
        <v>3031133.44</v>
      </c>
    </row>
    <row r="11" spans="1:3" x14ac:dyDescent="0.2">
      <c r="A11" t="s">
        <v>776</v>
      </c>
      <c r="B11" s="238">
        <v>233991</v>
      </c>
      <c r="C11" s="238">
        <v>95711.35</v>
      </c>
    </row>
    <row r="12" spans="1:3" x14ac:dyDescent="0.2">
      <c r="A12" t="s">
        <v>777</v>
      </c>
      <c r="B12" s="238">
        <v>178141.96</v>
      </c>
      <c r="C12" s="238">
        <v>105929.87</v>
      </c>
    </row>
    <row r="13" spans="1:3" x14ac:dyDescent="0.2">
      <c r="A13" t="str">
        <f>IF(B9=B13,IF(C9=C13,"Check Total OK","Check Total Error"),"Check Total Error")</f>
        <v>Check Total OK</v>
      </c>
      <c r="B13" s="229">
        <f>SUM(B10:B12)</f>
        <v>5651246.4400000004</v>
      </c>
      <c r="C13" s="229">
        <f>SUM(C10:C12)</f>
        <v>3232774.66</v>
      </c>
    </row>
    <row r="14" spans="1:3" x14ac:dyDescent="0.2">
      <c r="B14" s="228"/>
      <c r="C14" s="228"/>
    </row>
    <row r="15" spans="1:3" x14ac:dyDescent="0.2">
      <c r="B15" s="378" t="s">
        <v>779</v>
      </c>
      <c r="C15" s="378"/>
    </row>
    <row r="16" spans="1:3" x14ac:dyDescent="0.2">
      <c r="A16" s="237" t="s">
        <v>783</v>
      </c>
      <c r="B16" s="376" t="s">
        <v>703</v>
      </c>
      <c r="C16" s="377"/>
    </row>
    <row r="17" spans="1:3" x14ac:dyDescent="0.2">
      <c r="B17" s="226" t="s">
        <v>54</v>
      </c>
      <c r="C17" s="226" t="s">
        <v>772</v>
      </c>
    </row>
    <row r="18" spans="1:3" x14ac:dyDescent="0.2">
      <c r="A18" s="33" t="s">
        <v>773</v>
      </c>
      <c r="B18" s="227">
        <f>'DOE25'!F199+'DOE25'!F217+'DOE25'!F235+'DOE25'!F278+'DOE25'!F297+'DOE25'!F316</f>
        <v>2335925.9757824456</v>
      </c>
      <c r="C18" s="227">
        <f>'DOE25'!G199+'DOE25'!G217+'DOE25'!G235+'DOE25'!G278+'DOE25'!G297+'DOE25'!G316</f>
        <v>1334532.4910645913</v>
      </c>
    </row>
    <row r="19" spans="1:3" x14ac:dyDescent="0.2">
      <c r="A19" t="s">
        <v>775</v>
      </c>
      <c r="B19" s="238">
        <v>714060.82</v>
      </c>
      <c r="C19" s="238">
        <v>452850.18</v>
      </c>
    </row>
    <row r="20" spans="1:3" x14ac:dyDescent="0.2">
      <c r="A20" t="s">
        <v>776</v>
      </c>
      <c r="B20" s="238">
        <v>1470120.68</v>
      </c>
      <c r="C20" s="238">
        <v>803598.23</v>
      </c>
    </row>
    <row r="21" spans="1:3" x14ac:dyDescent="0.2">
      <c r="A21" t="s">
        <v>777</v>
      </c>
      <c r="B21" s="238">
        <v>151744.48000000001</v>
      </c>
      <c r="C21" s="238">
        <v>78084.08</v>
      </c>
    </row>
    <row r="22" spans="1:3" x14ac:dyDescent="0.2">
      <c r="A22" t="str">
        <f>IF(B18=B22,IF(C18=C22,"Check Total OK","Check Total Error"),"Check Total Error")</f>
        <v>Check Total Error</v>
      </c>
      <c r="B22" s="229">
        <f>SUM(B19:B21)</f>
        <v>2335925.98</v>
      </c>
      <c r="C22" s="229">
        <f>SUM(C19:C21)</f>
        <v>1334532.49</v>
      </c>
    </row>
    <row r="23" spans="1:3" x14ac:dyDescent="0.2">
      <c r="B23" s="228"/>
      <c r="C23" s="228"/>
    </row>
    <row r="24" spans="1:3" x14ac:dyDescent="0.2">
      <c r="B24" s="378" t="s">
        <v>779</v>
      </c>
      <c r="C24" s="378"/>
    </row>
    <row r="25" spans="1:3" x14ac:dyDescent="0.2">
      <c r="A25" s="237" t="s">
        <v>784</v>
      </c>
      <c r="B25" s="376" t="s">
        <v>704</v>
      </c>
      <c r="C25" s="377"/>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78" t="s">
        <v>779</v>
      </c>
      <c r="C33" s="378"/>
    </row>
    <row r="34" spans="1:3" x14ac:dyDescent="0.2">
      <c r="A34" s="237" t="s">
        <v>785</v>
      </c>
      <c r="B34" s="376" t="s">
        <v>705</v>
      </c>
      <c r="C34" s="377"/>
    </row>
    <row r="35" spans="1:3" x14ac:dyDescent="0.2">
      <c r="B35" s="226" t="s">
        <v>54</v>
      </c>
      <c r="C35" s="226" t="s">
        <v>772</v>
      </c>
    </row>
    <row r="36" spans="1:3" x14ac:dyDescent="0.2">
      <c r="A36" s="33" t="s">
        <v>773</v>
      </c>
      <c r="B36" s="233">
        <f>'DOE25'!F201+'DOE25'!F219+'DOE25'!F237+'DOE25'!F280+'DOE25'!F299+'DOE25'!F318</f>
        <v>466358.15</v>
      </c>
      <c r="C36" s="233">
        <f>'DOE25'!G201+'DOE25'!G219+'DOE25'!G237+'DOE25'!G280+'DOE25'!G299+'DOE25'!G318</f>
        <v>99315.510000000009</v>
      </c>
    </row>
    <row r="37" spans="1:3" x14ac:dyDescent="0.2">
      <c r="A37" t="s">
        <v>775</v>
      </c>
      <c r="B37" s="238">
        <v>16565</v>
      </c>
      <c r="C37" s="238">
        <v>4685.74</v>
      </c>
    </row>
    <row r="38" spans="1:3" x14ac:dyDescent="0.2">
      <c r="A38" t="s">
        <v>776</v>
      </c>
      <c r="B38" s="238">
        <v>0</v>
      </c>
      <c r="C38" s="238">
        <v>0</v>
      </c>
    </row>
    <row r="39" spans="1:3" x14ac:dyDescent="0.2">
      <c r="A39" t="s">
        <v>777</v>
      </c>
      <c r="B39" s="238">
        <v>449793.15</v>
      </c>
      <c r="C39" s="238">
        <v>94629.77</v>
      </c>
    </row>
    <row r="40" spans="1:3" x14ac:dyDescent="0.2">
      <c r="A40" t="str">
        <f>IF(B36=B40,IF(C36=C40,"Check Total OK","Check Total Error"),"Check Total Error")</f>
        <v>Check Total OK</v>
      </c>
      <c r="B40" s="229">
        <f>SUM(B37:B39)</f>
        <v>466358.15</v>
      </c>
      <c r="C40" s="229">
        <f>SUM(C37:C39)</f>
        <v>99315.510000000009</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79"/>
    </row>
    <row r="2" spans="1:9" x14ac:dyDescent="0.2">
      <c r="A2" s="33" t="s">
        <v>713</v>
      </c>
      <c r="B2" s="258" t="str">
        <f>'DOE25'!A2</f>
        <v>Newfound Area</v>
      </c>
      <c r="C2" s="275"/>
      <c r="D2" s="179" t="s">
        <v>787</v>
      </c>
      <c r="E2" s="179" t="s">
        <v>789</v>
      </c>
      <c r="F2" s="379" t="s">
        <v>891</v>
      </c>
      <c r="G2" s="380"/>
      <c r="H2" s="380"/>
      <c r="I2" s="270"/>
    </row>
    <row r="3" spans="1:9" x14ac:dyDescent="0.2">
      <c r="A3" s="179" t="s">
        <v>94</v>
      </c>
      <c r="B3" s="226" t="s">
        <v>10</v>
      </c>
      <c r="C3" s="271" t="s">
        <v>5</v>
      </c>
      <c r="D3" s="276" t="s">
        <v>788</v>
      </c>
      <c r="E3" s="179" t="s">
        <v>790</v>
      </c>
      <c r="F3" s="269" t="s">
        <v>1616</v>
      </c>
      <c r="G3" s="267" t="s">
        <v>887</v>
      </c>
      <c r="H3" s="215"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12937339.959681563</v>
      </c>
      <c r="D5" s="20">
        <f>SUM('DOE25'!L198:L201)+SUM('DOE25'!L216:L219)+SUM('DOE25'!L234:L237)-F5-G5-H5</f>
        <v>12772418.07425434</v>
      </c>
      <c r="E5" s="241"/>
      <c r="F5" s="242">
        <v>69399</v>
      </c>
      <c r="G5" s="53">
        <f>SUM('DOE25'!J198:J201)+SUM('DOE25'!J216:J219)+SUM('DOE25'!J234:J237)</f>
        <v>49545.15</v>
      </c>
      <c r="H5" s="53">
        <f>SUM('DOE25'!K198:K201)+SUM('DOE25'!K216:K219)+SUM('DOE25'!K234:K237)</f>
        <v>45977.73542722383</v>
      </c>
      <c r="I5" s="254"/>
    </row>
    <row r="6" spans="1:9" x14ac:dyDescent="0.2">
      <c r="A6" s="32">
        <v>2100</v>
      </c>
      <c r="B6" t="s">
        <v>796</v>
      </c>
      <c r="C6" s="273">
        <f t="shared" si="0"/>
        <v>2650186.0959396963</v>
      </c>
      <c r="D6" s="20">
        <f>'DOE25'!L203+'DOE25'!L221+'DOE25'!L239-F6-G6-H6</f>
        <v>1863842.8921800188</v>
      </c>
      <c r="E6" s="241"/>
      <c r="F6" s="242">
        <f>213630+215346+122460+228007</f>
        <v>779443</v>
      </c>
      <c r="G6" s="53">
        <f>'DOE25'!J203+'DOE25'!J221+'DOE25'!J239</f>
        <v>6120.21</v>
      </c>
      <c r="H6" s="53">
        <f>'DOE25'!K203+'DOE25'!K221+'DOE25'!K239</f>
        <v>779.99375967708738</v>
      </c>
      <c r="I6" s="254"/>
    </row>
    <row r="7" spans="1:9" x14ac:dyDescent="0.2">
      <c r="A7" s="32">
        <v>2200</v>
      </c>
      <c r="B7" t="s">
        <v>821</v>
      </c>
      <c r="C7" s="273">
        <f t="shared" si="0"/>
        <v>864703.99120268854</v>
      </c>
      <c r="D7" s="20">
        <f>'DOE25'!L204+'DOE25'!L222+'DOE25'!L240-F7-G7-H7</f>
        <v>536378.68371913396</v>
      </c>
      <c r="E7" s="241"/>
      <c r="F7" s="242"/>
      <c r="G7" s="53">
        <f>'DOE25'!J204+'DOE25'!J222+'DOE25'!J240</f>
        <v>143859.54748355455</v>
      </c>
      <c r="H7" s="53">
        <f>'DOE25'!K204+'DOE25'!K222+'DOE25'!K240</f>
        <v>184465.76</v>
      </c>
      <c r="I7" s="254"/>
    </row>
    <row r="8" spans="1:9" x14ac:dyDescent="0.2">
      <c r="A8" s="32">
        <v>2300</v>
      </c>
      <c r="B8" t="s">
        <v>797</v>
      </c>
      <c r="C8" s="273">
        <f t="shared" si="0"/>
        <v>883126.83826917759</v>
      </c>
      <c r="D8" s="241"/>
      <c r="E8" s="20">
        <f>'DOE25'!L205+'DOE25'!L223+'DOE25'!L241-F8-G8-H8-D9-D11</f>
        <v>855401.42518423393</v>
      </c>
      <c r="F8" s="242"/>
      <c r="G8" s="53">
        <f>'DOE25'!J205+'DOE25'!J223+'DOE25'!J241</f>
        <v>16403.6329177593</v>
      </c>
      <c r="H8" s="53">
        <f>'DOE25'!K205+'DOE25'!K223+'DOE25'!K241</f>
        <v>11321.78016718427</v>
      </c>
      <c r="I8" s="254"/>
    </row>
    <row r="9" spans="1:9" ht="14.25" x14ac:dyDescent="0.2">
      <c r="A9" s="32">
        <v>2310</v>
      </c>
      <c r="B9" s="183" t="s">
        <v>888</v>
      </c>
      <c r="C9" s="273">
        <f t="shared" si="0"/>
        <v>4844.3599999999997</v>
      </c>
      <c r="D9" s="242">
        <v>4844.3599999999997</v>
      </c>
      <c r="E9" s="241"/>
      <c r="F9" s="251"/>
      <c r="G9" s="251"/>
      <c r="H9" s="251"/>
      <c r="I9" s="254"/>
    </row>
    <row r="10" spans="1:9" ht="14.25" x14ac:dyDescent="0.2">
      <c r="A10" s="32">
        <v>2317</v>
      </c>
      <c r="B10" s="183" t="s">
        <v>889</v>
      </c>
      <c r="C10" s="273">
        <f t="shared" si="0"/>
        <v>27450</v>
      </c>
      <c r="D10" s="241"/>
      <c r="E10" s="242">
        <v>27450</v>
      </c>
      <c r="F10" s="251"/>
      <c r="G10" s="251"/>
      <c r="H10" s="251"/>
      <c r="I10" s="254"/>
    </row>
    <row r="11" spans="1:9" ht="14.25" x14ac:dyDescent="0.2">
      <c r="A11" s="32">
        <v>2321</v>
      </c>
      <c r="B11" s="183" t="s">
        <v>890</v>
      </c>
      <c r="C11" s="273">
        <f t="shared" si="0"/>
        <v>292513.88</v>
      </c>
      <c r="D11" s="242">
        <f>135102.28+70704.21+52916.43+22382.26+7800+1703+1740.7+165</f>
        <v>292513.88</v>
      </c>
      <c r="E11" s="241"/>
      <c r="F11" s="251"/>
      <c r="G11" s="251"/>
      <c r="H11" s="251"/>
      <c r="I11" s="254"/>
    </row>
    <row r="12" spans="1:9" x14ac:dyDescent="0.2">
      <c r="A12" s="32">
        <v>2400</v>
      </c>
      <c r="B12" t="s">
        <v>711</v>
      </c>
      <c r="C12" s="273">
        <f t="shared" si="0"/>
        <v>1667868.33</v>
      </c>
      <c r="D12" s="20">
        <f>'DOE25'!L206+'DOE25'!L224+'DOE25'!L242-F12-G12-H12</f>
        <v>1659506.3800000001</v>
      </c>
      <c r="E12" s="241"/>
      <c r="F12" s="242"/>
      <c r="G12" s="53">
        <f>'DOE25'!J206+'DOE25'!J224+'DOE25'!J242</f>
        <v>1175.95</v>
      </c>
      <c r="H12" s="53">
        <f>'DOE25'!K206+'DOE25'!K224+'DOE25'!K242</f>
        <v>7186</v>
      </c>
      <c r="I12" s="254"/>
    </row>
    <row r="13" spans="1:9" x14ac:dyDescent="0.2">
      <c r="A13" s="32">
        <v>2500</v>
      </c>
      <c r="B13" t="s">
        <v>798</v>
      </c>
      <c r="C13" s="273">
        <f t="shared" si="0"/>
        <v>0</v>
      </c>
      <c r="D13" s="241"/>
      <c r="E13" s="20">
        <f>'DOE25'!L207+'DOE25'!L225+'DOE25'!L243-F13-G13-H13</f>
        <v>0</v>
      </c>
      <c r="F13" s="242"/>
      <c r="G13" s="53">
        <f>'DOE25'!J207+'DOE25'!J225+'DOE25'!J243</f>
        <v>0</v>
      </c>
      <c r="H13" s="53">
        <f>'DOE25'!K207+'DOE25'!K225+'DOE25'!K243</f>
        <v>0</v>
      </c>
      <c r="I13" s="254"/>
    </row>
    <row r="14" spans="1:9" x14ac:dyDescent="0.2">
      <c r="A14" s="32">
        <v>2600</v>
      </c>
      <c r="B14" t="s">
        <v>819</v>
      </c>
      <c r="C14" s="273">
        <f t="shared" si="0"/>
        <v>2177812.0177771109</v>
      </c>
      <c r="D14" s="20">
        <f>'DOE25'!L208+'DOE25'!L226+'DOE25'!L244-F14-G14-H14</f>
        <v>1786421.8877005896</v>
      </c>
      <c r="E14" s="241"/>
      <c r="F14" s="242">
        <f>343155+32701</f>
        <v>375856</v>
      </c>
      <c r="G14" s="53">
        <f>'DOE25'!J208+'DOE25'!J226+'DOE25'!J244</f>
        <v>15534.130076521706</v>
      </c>
      <c r="H14" s="53">
        <f>'DOE25'!K208+'DOE25'!K226+'DOE25'!K244</f>
        <v>0</v>
      </c>
      <c r="I14" s="254"/>
    </row>
    <row r="15" spans="1:9" x14ac:dyDescent="0.2">
      <c r="A15" s="32">
        <v>2700</v>
      </c>
      <c r="B15" t="s">
        <v>799</v>
      </c>
      <c r="C15" s="273">
        <f t="shared" si="0"/>
        <v>1338192.4612839986</v>
      </c>
      <c r="D15" s="20">
        <f>'DOE25'!L209+'DOE25'!L227+'DOE25'!L245-F15-G15-H15</f>
        <v>254172.46128399856</v>
      </c>
      <c r="E15" s="241"/>
      <c r="F15" s="242">
        <f>792247+264757+27016</f>
        <v>1084020</v>
      </c>
      <c r="G15" s="53">
        <f>'DOE25'!J209+'DOE25'!J227+'DOE25'!J245</f>
        <v>0</v>
      </c>
      <c r="H15" s="53">
        <f>'DOE25'!K209+'DOE25'!K227+'DOE25'!K245</f>
        <v>0</v>
      </c>
      <c r="I15" s="254"/>
    </row>
    <row r="16" spans="1:9" x14ac:dyDescent="0.2">
      <c r="A16" s="32">
        <v>2800</v>
      </c>
      <c r="B16" t="s">
        <v>800</v>
      </c>
      <c r="C16" s="273">
        <f t="shared" si="0"/>
        <v>0</v>
      </c>
      <c r="D16" s="241"/>
      <c r="E16" s="20">
        <f>'DOE25'!L210+'DOE25'!L228+'DOE25'!L246-F16-G16-H16</f>
        <v>0</v>
      </c>
      <c r="F16" s="242"/>
      <c r="G16" s="53">
        <f>'DOE25'!J210+'DOE25'!J228+'DOE25'!J246</f>
        <v>0</v>
      </c>
      <c r="H16" s="53">
        <f>'DOE25'!K210+'DOE25'!K228+'DOE25'!K246</f>
        <v>0</v>
      </c>
      <c r="I16" s="254"/>
    </row>
    <row r="17" spans="1:9" x14ac:dyDescent="0.2">
      <c r="A17" s="32">
        <v>1600</v>
      </c>
      <c r="B17" t="s">
        <v>801</v>
      </c>
      <c r="C17" s="273">
        <f t="shared" si="0"/>
        <v>0</v>
      </c>
      <c r="D17" s="20">
        <f>'DOE25'!L252-F17-G17-H17</f>
        <v>0</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150772.18</v>
      </c>
      <c r="D22" s="241"/>
      <c r="E22" s="241"/>
      <c r="F22" s="241"/>
      <c r="G22" s="53">
        <f>'DOE25'!L256+'DOE25'!L337</f>
        <v>150772.18</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257135.81</v>
      </c>
      <c r="D25" s="241"/>
      <c r="E25" s="241"/>
      <c r="F25" s="253"/>
      <c r="G25" s="251"/>
      <c r="H25" s="251"/>
      <c r="I25" s="252">
        <f>'DOE25'!L261+'DOE25'!L262+'DOE25'!L342+'DOE25'!L343</f>
        <v>257135.81</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677236</v>
      </c>
      <c r="D29" s="281">
        <f>'DOE25'!L359+'DOE25'!L360+'DOE25'!L361-'DOE25'!I368-F29-G29-H29</f>
        <v>0</v>
      </c>
      <c r="E29" s="241"/>
      <c r="F29" s="242">
        <v>677236</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2197332.7164917258</v>
      </c>
      <c r="D31" s="20">
        <f>'DOE25'!L291+'DOE25'!L310+'DOE25'!L329+'DOE25'!L334+'DOE25'!L335+'DOE25'!L336-F31-G31-H31</f>
        <v>1790602.1111736014</v>
      </c>
      <c r="E31" s="241"/>
      <c r="F31" s="242">
        <v>225281</v>
      </c>
      <c r="G31" s="53">
        <f>'DOE25'!J291+'DOE25'!J310+'DOE25'!J329+'DOE25'!J334+'DOE25'!J335+'DOE25'!J336</f>
        <v>156604.94</v>
      </c>
      <c r="H31" s="53">
        <f>'DOE25'!K291+'DOE25'!K310+'DOE25'!K329+'DOE25'!K334+'DOE25'!K335+'DOE25'!K336</f>
        <v>24844.665318124455</v>
      </c>
      <c r="I31" s="254"/>
    </row>
    <row r="32" spans="1:9" ht="12" thickBot="1" x14ac:dyDescent="0.25">
      <c r="C32" s="274"/>
      <c r="G32" s="249"/>
      <c r="H32" s="249"/>
      <c r="I32" s="256"/>
    </row>
    <row r="33" spans="1:9" ht="12" thickTop="1" x14ac:dyDescent="0.2">
      <c r="B33" t="s">
        <v>809</v>
      </c>
      <c r="D33" s="243">
        <f t="shared" ref="D33:I33" si="1">SUM(D5:D31)</f>
        <v>20960700.730311684</v>
      </c>
      <c r="E33" s="243">
        <f t="shared" si="1"/>
        <v>882851.42518423393</v>
      </c>
      <c r="F33" s="243">
        <f t="shared" si="1"/>
        <v>3211235</v>
      </c>
      <c r="G33" s="243">
        <f t="shared" si="1"/>
        <v>540015.74047783553</v>
      </c>
      <c r="H33" s="243">
        <f t="shared" si="1"/>
        <v>274575.93467220967</v>
      </c>
      <c r="I33" s="243">
        <f t="shared" si="1"/>
        <v>257135.81</v>
      </c>
    </row>
    <row r="35" spans="1:9" ht="12" thickBot="1" x14ac:dyDescent="0.25">
      <c r="B35" s="249" t="s">
        <v>831</v>
      </c>
      <c r="D35" s="250">
        <f>E33</f>
        <v>882851.42518423393</v>
      </c>
      <c r="E35" s="246"/>
      <c r="F35" s="327" t="s">
        <v>1617</v>
      </c>
      <c r="G35" s="328"/>
      <c r="H35" s="328"/>
      <c r="I35" s="328"/>
    </row>
    <row r="36" spans="1:9" ht="12" thickTop="1" x14ac:dyDescent="0.2">
      <c r="B36" t="s">
        <v>810</v>
      </c>
      <c r="D36" s="20">
        <f>D33</f>
        <v>20960700.730311684</v>
      </c>
      <c r="F36" s="330" t="s">
        <v>1613</v>
      </c>
      <c r="G36" s="329" t="str">
        <f>IF(F36=0,"&lt;&lt;&lt;&lt;&lt; YOU HAVE NOT CHOSEN IF YOU WANT AN INDIRECT COST RATE!!","")</f>
        <v/>
      </c>
      <c r="H36" s="329"/>
    </row>
    <row r="38" spans="1:9" x14ac:dyDescent="0.2">
      <c r="B38" s="185" t="s">
        <v>899</v>
      </c>
      <c r="C38" s="259"/>
      <c r="D38" s="282"/>
    </row>
    <row r="39" spans="1:9" x14ac:dyDescent="0.2">
      <c r="B39" s="185"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82" t="s">
        <v>900</v>
      </c>
      <c r="C53" s="382"/>
      <c r="D53" s="382"/>
      <c r="E53" s="382"/>
      <c r="F53" s="382"/>
      <c r="G53" s="382"/>
      <c r="H53" s="382"/>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23" sqref="I2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Newfound Area</v>
      </c>
      <c r="B2" s="126">
        <f>'DOE25'!B2</f>
        <v>388</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11501299.109999999</v>
      </c>
      <c r="G4" s="298">
        <f>'DOE25'!L212+'DOE25'!L291</f>
        <v>11501299.108932722</v>
      </c>
      <c r="H4" s="339">
        <f>F4-G4</f>
        <v>1.0672770440578461E-3</v>
      </c>
      <c r="I4" s="383" t="str">
        <f>IF(H4=0,"","ISSUES!! Please review page 7 and 11 totals in comparison with total on this page")</f>
        <v>ISSUES!! Please review page 7 and 11 totals in comparison with total on this page</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384"/>
      <c r="N5"/>
    </row>
    <row r="6" spans="1:18" x14ac:dyDescent="0.2">
      <c r="A6" s="126" t="str" cm="1">
        <f t="array" ref="A6">IFERROR(INDEX('School Tables'!$A$4:$G$325,'School Tables'!$J4,3),"")</f>
        <v>Bridgewater-Hebron Village School</v>
      </c>
      <c r="B6" s="299">
        <f>IFERROR(VLOOKUP(A6,'School Tables'!$C$3:$D$365,2,FALSE),"")</f>
        <v>27685</v>
      </c>
      <c r="C6" s="292" t="str">
        <f>IFERROR(INDEX('School Tables'!$B$3:$B$365,MATCH('School Level Expenditures'!B6,'School Tables'!$D$3:$D$365,0)),"")</f>
        <v xml:space="preserve">Newfound Area </v>
      </c>
      <c r="D6" s="289">
        <v>2500073.14</v>
      </c>
      <c r="E6" s="289">
        <v>339187.8</v>
      </c>
      <c r="F6" s="302">
        <f t="shared" ref="F6:F20" si="0">D6+E6</f>
        <v>2839260.94</v>
      </c>
      <c r="G6" s="292"/>
      <c r="H6" s="292"/>
      <c r="I6" s="384"/>
      <c r="N6"/>
    </row>
    <row r="7" spans="1:18" x14ac:dyDescent="0.2">
      <c r="A7" s="126" t="str" cm="1">
        <f t="array" ref="A7">IFERROR(INDEX('School Tables'!$A$4:$G$325,'School Tables'!$J5,3),"")</f>
        <v>Bristol Elementary School</v>
      </c>
      <c r="B7" s="299">
        <f>IFERROR(VLOOKUP(A7,'School Tables'!$C$3:$D$365,2,FALSE),"")</f>
        <v>20090</v>
      </c>
      <c r="C7" s="292" t="str">
        <f>IFERROR(INDEX('School Tables'!$B$3:$B$365,MATCH('School Level Expenditures'!B7,'School Tables'!$D$3:$D$365,0)),"")</f>
        <v xml:space="preserve">Newfound Area </v>
      </c>
      <c r="D7" s="289">
        <v>4196012.49</v>
      </c>
      <c r="E7" s="289">
        <v>569277.84</v>
      </c>
      <c r="F7" s="302">
        <f t="shared" si="0"/>
        <v>4765290.33</v>
      </c>
      <c r="G7" s="292"/>
      <c r="H7" s="292"/>
      <c r="I7" s="340"/>
      <c r="N7"/>
    </row>
    <row r="8" spans="1:18" x14ac:dyDescent="0.2">
      <c r="A8" s="126" t="str" cm="1">
        <f t="array" ref="A8">IFERROR(INDEX('School Tables'!$A$4:$G$325,'School Tables'!$J6,3),"")</f>
        <v>Danbury Elementary School</v>
      </c>
      <c r="B8" s="299">
        <f>IFERROR(VLOOKUP(A8,'School Tables'!$C$3:$D$365,2,FALSE),"")</f>
        <v>20095</v>
      </c>
      <c r="C8" s="292" t="str">
        <f>IFERROR(INDEX('School Tables'!$B$3:$B$365,MATCH('School Level Expenditures'!B8,'School Tables'!$D$3:$D$365,0)),"")</f>
        <v xml:space="preserve">Newfound Area </v>
      </c>
      <c r="D8" s="289">
        <v>1369514.86</v>
      </c>
      <c r="E8" s="289">
        <v>185803.66</v>
      </c>
      <c r="F8" s="302">
        <f t="shared" si="0"/>
        <v>1555318.52</v>
      </c>
      <c r="G8" s="292"/>
      <c r="H8" s="292"/>
      <c r="I8" s="340"/>
      <c r="N8"/>
    </row>
    <row r="9" spans="1:18" x14ac:dyDescent="0.2">
      <c r="A9" s="126" t="str" cm="1">
        <f t="array" ref="A9">IFERROR(INDEX('School Tables'!$A$4:$G$325,'School Tables'!$J7,3),"")</f>
        <v>New Hampton Community School</v>
      </c>
      <c r="B9" s="299">
        <f>IFERROR(VLOOKUP(A9,'School Tables'!$C$3:$D$365,2,FALSE),"")</f>
        <v>20105</v>
      </c>
      <c r="C9" s="292" t="str">
        <f>IFERROR(INDEX('School Tables'!$B$3:$B$365,MATCH('School Level Expenditures'!B9,'School Tables'!$D$3:$D$365,0)),"")</f>
        <v xml:space="preserve">Newfound Area </v>
      </c>
      <c r="D9" s="289">
        <v>2061714.2</v>
      </c>
      <c r="E9" s="289">
        <v>279715.12</v>
      </c>
      <c r="F9" s="302">
        <f t="shared" si="0"/>
        <v>2341429.3199999998</v>
      </c>
      <c r="G9" s="292"/>
      <c r="H9" s="292"/>
      <c r="I9" s="340"/>
      <c r="N9"/>
    </row>
    <row r="10" spans="1:18" x14ac:dyDescent="0.2">
      <c r="A10" s="126" t="str" cm="1">
        <f t="array" ref="A10">IFERROR(INDEX('School Tables'!$A$4:$G$325,'School Tables'!$J8,3),"")</f>
        <v/>
      </c>
      <c r="B10" s="299" t="str">
        <f>IFERROR(VLOOKUP(A10,'School Tables'!$C$3:$D$365,2,FALSE),"")</f>
        <v/>
      </c>
      <c r="C10" s="292" t="str">
        <f>IFERROR(INDEX('School Tables'!$B$3:$B$365,MATCH('School Level Expenditures'!B10,'School Tables'!$D$3:$D$365,0)),"")</f>
        <v/>
      </c>
      <c r="D10" s="289"/>
      <c r="E10" s="289"/>
      <c r="F10" s="302">
        <f t="shared" si="0"/>
        <v>0</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7">
        <f>SUM(D5:D20)</f>
        <v>10127314.690000001</v>
      </c>
      <c r="E21" s="337">
        <f>SUM(E5:E20)</f>
        <v>1373984.42</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5564091.7200000007</v>
      </c>
      <c r="G24" s="298">
        <f>'DOE25'!L230+'DOE25'!L310</f>
        <v>5564091.722615744</v>
      </c>
      <c r="H24" s="339">
        <f>F24-G24</f>
        <v>-2.6157433167099953E-3</v>
      </c>
      <c r="I24" s="383" t="str">
        <f>IF(H24=0,"","ISSUES!! Please review page 8 and 12 totals in comparison with total on this page")</f>
        <v>ISSUES!! Please review page 8 and 12 totals in comparison with total on this page</v>
      </c>
      <c r="N24"/>
    </row>
    <row r="25" spans="1:14" x14ac:dyDescent="0.2">
      <c r="A25" s="126" t="s">
        <v>1548</v>
      </c>
      <c r="B25" s="299">
        <v>99999</v>
      </c>
      <c r="C25" s="292" t="s">
        <v>1548</v>
      </c>
      <c r="D25" s="289"/>
      <c r="E25" s="289"/>
      <c r="F25" s="302">
        <f>D25+E25</f>
        <v>0</v>
      </c>
      <c r="G25" s="292"/>
      <c r="H25" s="292"/>
      <c r="I25" s="384"/>
      <c r="N25"/>
    </row>
    <row r="26" spans="1:14" x14ac:dyDescent="0.2">
      <c r="A26" s="126" t="str" cm="1">
        <f t="array" ref="A26">IFERROR(INDEX('School Tables'!$L$4:$R$75,'School Tables'!$U4,3),"")</f>
        <v>Newfound Memorial Middle School</v>
      </c>
      <c r="B26" s="299">
        <f>IFERROR(VLOOKUP(A26,'School Tables'!$N$4:$O$75,2,FALSE),"")</f>
        <v>26680</v>
      </c>
      <c r="C26" s="292" t="str">
        <f>IFERROR(INDEX('School Tables'!$M$4:$M$75,MATCH('School Level Expenditures'!A26,'School Tables'!$N$4:$N$75,0)),"")</f>
        <v xml:space="preserve">Newfound Area </v>
      </c>
      <c r="D26" s="289">
        <v>5221321.07</v>
      </c>
      <c r="E26" s="289">
        <v>342770.65</v>
      </c>
      <c r="F26" s="302">
        <f t="shared" ref="F26:F32" si="1">D26+E26</f>
        <v>5564091.7200000007</v>
      </c>
      <c r="G26" s="292"/>
      <c r="H26" s="292"/>
      <c r="I26" s="384"/>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7">
        <f>SUM(D25:D32)</f>
        <v>5221321.07</v>
      </c>
      <c r="E33" s="337">
        <f>SUM(E25:E32)</f>
        <v>342770.65</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7948529.8200000003</v>
      </c>
      <c r="G36" s="298">
        <f>'DOE25'!L248+'DOE25'!L329</f>
        <v>7948529.819097491</v>
      </c>
      <c r="H36" s="339">
        <f>F36-G36</f>
        <v>9.0250931680202484E-4</v>
      </c>
      <c r="I36" s="383" t="str">
        <f>IF(H36=0,"","ISSUES!! Please review page 9 and 13 totals in comparison with total on this page")</f>
        <v>ISSUES!! Please review page 9 and 13 totals in comparison with total on this page</v>
      </c>
      <c r="N36"/>
    </row>
    <row r="37" spans="1:14" x14ac:dyDescent="0.2">
      <c r="A37" s="126" t="s">
        <v>1548</v>
      </c>
      <c r="B37" s="299">
        <v>99999</v>
      </c>
      <c r="C37" s="292" t="s">
        <v>1548</v>
      </c>
      <c r="D37" s="289"/>
      <c r="E37" s="289"/>
      <c r="F37" s="302">
        <f t="shared" ref="F37:F42" si="2">D37+E37</f>
        <v>0</v>
      </c>
      <c r="G37" s="292"/>
      <c r="H37" s="292"/>
      <c r="I37" s="384"/>
      <c r="N37"/>
    </row>
    <row r="38" spans="1:14" x14ac:dyDescent="0.2">
      <c r="A38" s="126" t="str" cm="1">
        <f t="array" ref="A38">IFERROR(INDEX('School Tables'!$W$4:$AC$100,'School Tables'!$AF4,3),"")</f>
        <v>Newfound Regional High School</v>
      </c>
      <c r="B38" s="299">
        <f>IFERROR(VLOOKUP(A38,'School Tables'!$Y$4:$Z$100,2,FALSE),"")</f>
        <v>20085</v>
      </c>
      <c r="C38" s="292" t="str">
        <f>IFERROR(INDEX('School Tables'!$X$4:$X$100,MATCH('School Level Expenditures'!A38,'School Tables'!$Y$4:$Y$100,0)),"")</f>
        <v xml:space="preserve">Newfound Area </v>
      </c>
      <c r="D38" s="289">
        <v>7467952.1699999999</v>
      </c>
      <c r="E38" s="289">
        <v>480577.65</v>
      </c>
      <c r="F38" s="302">
        <f t="shared" si="2"/>
        <v>7948529.8200000003</v>
      </c>
      <c r="G38" s="292"/>
      <c r="H38" s="292"/>
      <c r="I38" s="384"/>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7">
        <f>SUM(D37:D42)</f>
        <v>7467952.1699999999</v>
      </c>
      <c r="E43" s="338">
        <f>SUM(E37:E42)</f>
        <v>480577.65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82"/>
      <c r="B58" s="382"/>
      <c r="C58" s="382"/>
      <c r="D58" s="382"/>
      <c r="E58" s="382"/>
      <c r="F58" s="382"/>
      <c r="G58" s="38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10" zoomScaleNormal="100" workbookViewId="0">
      <selection activeCell="P23" sqref="P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Newfound Area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-80940.38</v>
      </c>
      <c r="D8" s="95">
        <f>'DOE25'!G9</f>
        <v>514919.42</v>
      </c>
      <c r="E8" s="95">
        <f>'DOE25'!H9</f>
        <v>0</v>
      </c>
      <c r="F8" s="95">
        <f>'DOE25'!I9</f>
        <v>0</v>
      </c>
      <c r="G8" s="95">
        <f>'DOE25'!J9</f>
        <v>152040.36000000002</v>
      </c>
      <c r="H8" s="124">
        <f>SUM(C8:G8)</f>
        <v>586019.4</v>
      </c>
      <c r="I8" s="124"/>
    </row>
    <row r="9" spans="1:9" x14ac:dyDescent="0.2">
      <c r="A9" s="1" t="s">
        <v>140</v>
      </c>
      <c r="B9" s="6">
        <v>110</v>
      </c>
      <c r="C9" s="95">
        <f>'DOE25'!F10</f>
        <v>0</v>
      </c>
      <c r="D9" s="95">
        <f>'DOE25'!G10</f>
        <v>0</v>
      </c>
      <c r="E9" s="95">
        <f>'DOE25'!H10</f>
        <v>0</v>
      </c>
      <c r="F9" s="95">
        <f>'DOE25'!I10</f>
        <v>0</v>
      </c>
      <c r="G9" s="95">
        <f>'DOE25'!J10</f>
        <v>669569.58000000007</v>
      </c>
      <c r="H9" s="124">
        <f t="shared" ref="H9:H18" si="0">SUM(C9:G9)</f>
        <v>669569.58000000007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1264172.58</v>
      </c>
      <c r="D11" s="95">
        <f>'DOE25'!G12</f>
        <v>0</v>
      </c>
      <c r="E11" s="95">
        <f>'DOE25'!H12</f>
        <v>0</v>
      </c>
      <c r="F11" s="95">
        <f>'DOE25'!I12</f>
        <v>0</v>
      </c>
      <c r="G11" s="95">
        <f>'DOE25'!J12</f>
        <v>0</v>
      </c>
      <c r="H11" s="124">
        <f t="shared" si="0"/>
        <v>1264172.58</v>
      </c>
      <c r="I11" s="124"/>
    </row>
    <row r="12" spans="1:9" x14ac:dyDescent="0.2">
      <c r="A12" s="1" t="s">
        <v>143</v>
      </c>
      <c r="B12" s="6">
        <v>140</v>
      </c>
      <c r="C12" s="95">
        <f>'DOE25'!F13</f>
        <v>788265.38</v>
      </c>
      <c r="D12" s="95">
        <f>'DOE25'!G13</f>
        <v>152696.56</v>
      </c>
      <c r="E12" s="95">
        <f>'DOE25'!H13</f>
        <v>922980.38</v>
      </c>
      <c r="F12" s="95">
        <f>'DOE25'!I13</f>
        <v>0</v>
      </c>
      <c r="G12" s="95">
        <f>'DOE25'!J13</f>
        <v>0</v>
      </c>
      <c r="H12" s="124">
        <f t="shared" si="0"/>
        <v>1863942.3199999998</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2645.18</v>
      </c>
      <c r="E15" s="95">
        <f>'DOE25'!H16</f>
        <v>0</v>
      </c>
      <c r="F15" s="95">
        <f>'DOE25'!I16</f>
        <v>0</v>
      </c>
      <c r="G15" s="24" t="s">
        <v>288</v>
      </c>
      <c r="H15" s="124">
        <f t="shared" si="0"/>
        <v>2645.18</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1971497.58</v>
      </c>
      <c r="D18" s="41">
        <f>SUM(D8:D17)</f>
        <v>670261.16</v>
      </c>
      <c r="E18" s="41">
        <f>SUM(E8:E17)</f>
        <v>922980.38</v>
      </c>
      <c r="F18" s="41">
        <f>SUM(F8:F17)</f>
        <v>0</v>
      </c>
      <c r="G18" s="41">
        <f>SUM(G8:G17)</f>
        <v>821609.94000000006</v>
      </c>
      <c r="H18" s="41">
        <f t="shared" si="0"/>
        <v>4386349.0600000005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473186.64</v>
      </c>
      <c r="E21" s="95">
        <f>'DOE25'!H22</f>
        <v>711759.15</v>
      </c>
      <c r="F21" s="95">
        <f>'DOE25'!I22</f>
        <v>0</v>
      </c>
      <c r="G21" s="95">
        <f>'DOE25'!J22</f>
        <v>0</v>
      </c>
      <c r="H21" s="124">
        <f t="shared" ref="H21:H31" si="1">SUM(C21:G21)</f>
        <v>1184945.79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516018.31</v>
      </c>
      <c r="D27" s="95">
        <f>'DOE25'!G28</f>
        <v>125334.25</v>
      </c>
      <c r="E27" s="95">
        <f>'DOE25'!H28</f>
        <v>211017.44</v>
      </c>
      <c r="F27" s="95">
        <f>'DOE25'!I28</f>
        <v>0</v>
      </c>
      <c r="G27" s="24" t="s">
        <v>288</v>
      </c>
      <c r="H27" s="124">
        <f t="shared" si="1"/>
        <v>852370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2069.1</v>
      </c>
      <c r="D30" s="95">
        <f>'DOE25'!G31</f>
        <v>0</v>
      </c>
      <c r="E30" s="95">
        <f>'DOE25'!H31</f>
        <v>0</v>
      </c>
      <c r="F30" s="95">
        <f>'DOE25'!I31</f>
        <v>0</v>
      </c>
      <c r="G30" s="95">
        <f>'DOE25'!J31</f>
        <v>0</v>
      </c>
      <c r="H30" s="124">
        <f t="shared" si="1"/>
        <v>2069.1</v>
      </c>
      <c r="I30" s="124"/>
    </row>
    <row r="31" spans="1:9" ht="12" thickTop="1" x14ac:dyDescent="0.2">
      <c r="A31" s="38" t="s">
        <v>160</v>
      </c>
      <c r="B31" s="2"/>
      <c r="C31" s="41">
        <f>SUM(C21:C30)</f>
        <v>518087.41</v>
      </c>
      <c r="D31" s="41">
        <f>SUM(D21:D30)</f>
        <v>598520.89</v>
      </c>
      <c r="E31" s="41">
        <f>SUM(E21:E30)</f>
        <v>922776.59000000008</v>
      </c>
      <c r="F31" s="41">
        <f>SUM(F21:F30)</f>
        <v>0</v>
      </c>
      <c r="G31" s="41">
        <f>SUM(G21:G30)</f>
        <v>0</v>
      </c>
      <c r="H31" s="41">
        <f t="shared" si="1"/>
        <v>2039384.8900000001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2645.183</v>
      </c>
      <c r="E34" s="95">
        <f>'DOE25'!H35</f>
        <v>0</v>
      </c>
      <c r="F34" s="95">
        <f>'DOE25'!I35</f>
        <v>0</v>
      </c>
      <c r="G34" s="24" t="s">
        <v>288</v>
      </c>
      <c r="H34" s="124">
        <f t="shared" ref="H34:H51" si="2">SUM(C34:G34)</f>
        <v>2645.183</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96875.739999999991</v>
      </c>
      <c r="H36" s="124">
        <f t="shared" si="2"/>
        <v>96875.739999999991</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69095.090000000084</v>
      </c>
      <c r="E39" s="24" t="s">
        <v>288</v>
      </c>
      <c r="F39" s="24" t="s">
        <v>288</v>
      </c>
      <c r="G39" s="24" t="s">
        <v>288</v>
      </c>
      <c r="H39" s="124">
        <f t="shared" si="2"/>
        <v>69095.090000000084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450000</v>
      </c>
      <c r="D43" s="95">
        <f>'DOE25'!G44</f>
        <v>0</v>
      </c>
      <c r="E43" s="95">
        <f>'DOE25'!H44</f>
        <v>0</v>
      </c>
      <c r="F43" s="95">
        <f>'DOE25'!I44</f>
        <v>0</v>
      </c>
      <c r="G43" s="24" t="s">
        <v>288</v>
      </c>
      <c r="H43" s="124">
        <f t="shared" si="2"/>
        <v>450000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470000</v>
      </c>
      <c r="D45" s="24" t="s">
        <v>288</v>
      </c>
      <c r="E45" s="24" t="s">
        <v>288</v>
      </c>
      <c r="F45" s="24" t="s">
        <v>288</v>
      </c>
      <c r="G45" s="24" t="s">
        <v>288</v>
      </c>
      <c r="H45" s="124">
        <f t="shared" si="2"/>
        <v>470000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203.79</v>
      </c>
      <c r="F47" s="95">
        <f>'DOE25'!I48</f>
        <v>0</v>
      </c>
      <c r="G47" s="95">
        <f>'DOE25'!J48</f>
        <v>724734.2</v>
      </c>
      <c r="H47" s="124">
        <f t="shared" si="2"/>
        <v>724937.99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533410.17000000004</v>
      </c>
      <c r="D49" s="24" t="s">
        <v>288</v>
      </c>
      <c r="E49" s="24" t="s">
        <v>288</v>
      </c>
      <c r="F49" s="24" t="s">
        <v>288</v>
      </c>
      <c r="G49" s="24" t="s">
        <v>288</v>
      </c>
      <c r="H49" s="124">
        <f t="shared" si="2"/>
        <v>533410.17000000004</v>
      </c>
      <c r="I49" s="124"/>
    </row>
    <row r="50" spans="1:9" ht="12.75" thickTop="1" thickBot="1" x14ac:dyDescent="0.25">
      <c r="A50" s="38" t="s">
        <v>884</v>
      </c>
      <c r="B50" s="48"/>
      <c r="C50" s="41">
        <f>SUM(C34:C49)</f>
        <v>1453410.17</v>
      </c>
      <c r="D50" s="41">
        <f>SUM(D34:D49)</f>
        <v>71740.273000000088</v>
      </c>
      <c r="E50" s="41">
        <f>SUM(E34:E49)</f>
        <v>203.79</v>
      </c>
      <c r="F50" s="41">
        <f>SUM(F34:F49)</f>
        <v>0</v>
      </c>
      <c r="G50" s="41">
        <f>SUM(G34:G49)</f>
        <v>821609.94</v>
      </c>
      <c r="H50" s="41">
        <f t="shared" si="2"/>
        <v>2346964.173</v>
      </c>
      <c r="I50" s="124"/>
    </row>
    <row r="51" spans="1:9" ht="12" thickTop="1" x14ac:dyDescent="0.2">
      <c r="A51" s="38" t="s">
        <v>885</v>
      </c>
      <c r="B51" s="2"/>
      <c r="C51" s="41">
        <f>C50+C31</f>
        <v>1971497.5799999998</v>
      </c>
      <c r="D51" s="41">
        <f>D50+D31</f>
        <v>670261.16300000006</v>
      </c>
      <c r="E51" s="41">
        <f>E50+E31</f>
        <v>922980.38000000012</v>
      </c>
      <c r="F51" s="41">
        <f>F50+F31</f>
        <v>0</v>
      </c>
      <c r="G51" s="41">
        <f>G50+G31</f>
        <v>821609.94</v>
      </c>
      <c r="H51" s="41">
        <f t="shared" si="2"/>
        <v>4386349.0629999992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14233036</v>
      </c>
      <c r="D56" s="95">
        <f>'DOE25'!G60</f>
        <v>0</v>
      </c>
      <c r="E56" s="95">
        <f>'DOE25'!H60</f>
        <v>0</v>
      </c>
      <c r="F56" s="95">
        <f>'DOE25'!I60</f>
        <v>0</v>
      </c>
      <c r="G56" s="95">
        <f>'DOE25'!J60</f>
        <v>0</v>
      </c>
      <c r="H56" s="124">
        <f t="shared" ref="H56:H63" si="3">SUM(C56:G56)</f>
        <v>14233036</v>
      </c>
      <c r="I56"/>
    </row>
    <row r="57" spans="1:9" x14ac:dyDescent="0.2">
      <c r="A57" s="1" t="s">
        <v>164</v>
      </c>
      <c r="B57" s="6" t="s">
        <v>165</v>
      </c>
      <c r="C57" s="95">
        <f>'DOE25'!F79</f>
        <v>991842.04</v>
      </c>
      <c r="D57" s="24" t="s">
        <v>288</v>
      </c>
      <c r="E57" s="95">
        <f>'DOE25'!H79</f>
        <v>0</v>
      </c>
      <c r="F57" s="24" t="s">
        <v>288</v>
      </c>
      <c r="G57" s="24" t="s">
        <v>288</v>
      </c>
      <c r="H57" s="124">
        <f t="shared" si="3"/>
        <v>991842.04</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699.92</v>
      </c>
      <c r="D59" s="95">
        <f>'DOE25'!G96</f>
        <v>538.4</v>
      </c>
      <c r="E59" s="95">
        <f>'DOE25'!H96</f>
        <v>0</v>
      </c>
      <c r="F59" s="95">
        <f>'DOE25'!I96</f>
        <v>0</v>
      </c>
      <c r="G59" s="95">
        <f>'DOE25'!J96</f>
        <v>0</v>
      </c>
      <c r="H59" s="124">
        <f t="shared" si="3"/>
        <v>1238.32</v>
      </c>
      <c r="I59"/>
    </row>
    <row r="60" spans="1:9" x14ac:dyDescent="0.2">
      <c r="A60" s="1" t="s">
        <v>170</v>
      </c>
      <c r="B60" s="118" t="s">
        <v>171</v>
      </c>
      <c r="C60" s="24" t="s">
        <v>288</v>
      </c>
      <c r="D60" s="95">
        <f>'DOE25'!G97</f>
        <v>42435.7</v>
      </c>
      <c r="E60" s="24" t="s">
        <v>288</v>
      </c>
      <c r="F60" s="24" t="s">
        <v>288</v>
      </c>
      <c r="G60" s="24" t="s">
        <v>288</v>
      </c>
      <c r="H60" s="124">
        <f t="shared" si="3"/>
        <v>42435.7</v>
      </c>
      <c r="I60"/>
    </row>
    <row r="61" spans="1:9" ht="12" thickBot="1" x14ac:dyDescent="0.25">
      <c r="A61" s="1" t="s">
        <v>172</v>
      </c>
      <c r="B61" s="118" t="s">
        <v>173</v>
      </c>
      <c r="C61" s="95">
        <f>SUM('DOE25'!F98:F110)</f>
        <v>267395.88</v>
      </c>
      <c r="D61" s="95">
        <f>SUM('DOE25'!G98:G110)</f>
        <v>0</v>
      </c>
      <c r="E61" s="95">
        <f>SUM('DOE25'!H98:H110)</f>
        <v>65927.570000000007</v>
      </c>
      <c r="F61" s="95">
        <f>SUM('DOE25'!I98:I110)</f>
        <v>0</v>
      </c>
      <c r="G61" s="95">
        <f>SUM('DOE25'!J98:J110)</f>
        <v>0</v>
      </c>
      <c r="H61" s="124">
        <f t="shared" si="3"/>
        <v>333323.45</v>
      </c>
      <c r="I61"/>
    </row>
    <row r="62" spans="1:9" ht="12.75" thickTop="1" thickBot="1" x14ac:dyDescent="0.25">
      <c r="A62" s="29" t="s">
        <v>174</v>
      </c>
      <c r="B62" s="6"/>
      <c r="C62" s="130">
        <f>SUM(C57:C61)</f>
        <v>1259937.8400000001</v>
      </c>
      <c r="D62" s="130">
        <f>SUM(D57:D61)</f>
        <v>42974.1</v>
      </c>
      <c r="E62" s="130">
        <f>SUM(E57:E61)</f>
        <v>65927.570000000007</v>
      </c>
      <c r="F62" s="130">
        <f>SUM(F57:F61)</f>
        <v>0</v>
      </c>
      <c r="G62" s="130">
        <f>SUM(G57:G61)</f>
        <v>0</v>
      </c>
      <c r="H62" s="124">
        <f t="shared" si="3"/>
        <v>1368839.5100000002</v>
      </c>
      <c r="I62"/>
    </row>
    <row r="63" spans="1:9" ht="12" thickTop="1" x14ac:dyDescent="0.2">
      <c r="A63" s="29" t="s">
        <v>175</v>
      </c>
      <c r="B63" s="6"/>
      <c r="C63" s="22">
        <f>C56+C62</f>
        <v>15492973.84</v>
      </c>
      <c r="D63" s="22">
        <f>D56+D62</f>
        <v>42974.1</v>
      </c>
      <c r="E63" s="22">
        <f>E56+E62</f>
        <v>65927.570000000007</v>
      </c>
      <c r="F63" s="22">
        <f>F56+F62</f>
        <v>0</v>
      </c>
      <c r="G63" s="22">
        <f>G56+G62</f>
        <v>0</v>
      </c>
      <c r="H63" s="124">
        <f t="shared" si="3"/>
        <v>15601875.51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4035623.77</v>
      </c>
      <c r="D66" s="24" t="s">
        <v>288</v>
      </c>
      <c r="E66" s="24" t="s">
        <v>288</v>
      </c>
      <c r="F66" s="24" t="s">
        <v>288</v>
      </c>
      <c r="G66" s="24" t="s">
        <v>288</v>
      </c>
      <c r="H66" s="124">
        <f t="shared" ref="H66:H81" si="4">SUM(C66:G66)</f>
        <v>4035623.77</v>
      </c>
      <c r="I66"/>
    </row>
    <row r="67" spans="1:9" x14ac:dyDescent="0.2">
      <c r="A67" s="1" t="s">
        <v>770</v>
      </c>
      <c r="B67" s="6">
        <v>3112</v>
      </c>
      <c r="C67" s="95">
        <f>'DOE25'!F118</f>
        <v>3792142</v>
      </c>
      <c r="D67" s="24"/>
      <c r="E67" s="24"/>
      <c r="F67" s="24"/>
      <c r="G67" s="24"/>
      <c r="H67" s="124">
        <f t="shared" si="4"/>
        <v>3792142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5985.63</v>
      </c>
      <c r="D69" s="95">
        <f>'DOE25'!G120</f>
        <v>0</v>
      </c>
      <c r="E69" s="95">
        <f>'DOE25'!H120</f>
        <v>0</v>
      </c>
      <c r="F69" s="95">
        <f>'DOE25'!I120</f>
        <v>0</v>
      </c>
      <c r="G69" s="95">
        <f>'DOE25'!J120</f>
        <v>0</v>
      </c>
      <c r="H69" s="124">
        <f t="shared" si="4"/>
        <v>5985.63</v>
      </c>
      <c r="I69"/>
    </row>
    <row r="70" spans="1:9" ht="12" thickTop="1" x14ac:dyDescent="0.2">
      <c r="A70" s="29" t="s">
        <v>252</v>
      </c>
      <c r="B70" s="2"/>
      <c r="C70" s="139">
        <f>SUM(C66:C69)</f>
        <v>7833751.3999999994</v>
      </c>
      <c r="D70" s="139">
        <f>D69</f>
        <v>0</v>
      </c>
      <c r="E70" s="139">
        <f>E69</f>
        <v>0</v>
      </c>
      <c r="F70" s="139">
        <f>F69</f>
        <v>0</v>
      </c>
      <c r="G70" s="139">
        <f>G69</f>
        <v>0</v>
      </c>
      <c r="H70" s="124">
        <f t="shared" si="4"/>
        <v>7833751.3999999994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97426.2</v>
      </c>
      <c r="D72" s="24" t="s">
        <v>288</v>
      </c>
      <c r="E72" s="24" t="s">
        <v>288</v>
      </c>
      <c r="F72" s="95">
        <f>'DOE25'!I123</f>
        <v>0</v>
      </c>
      <c r="G72" s="24" t="s">
        <v>288</v>
      </c>
      <c r="H72" s="124">
        <f t="shared" si="4"/>
        <v>97426.2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94060.46</v>
      </c>
      <c r="D75" s="24" t="s">
        <v>288</v>
      </c>
      <c r="E75" s="24" t="s">
        <v>288</v>
      </c>
      <c r="F75" s="24" t="s">
        <v>288</v>
      </c>
      <c r="G75" s="24" t="s">
        <v>288</v>
      </c>
      <c r="H75" s="124">
        <f t="shared" si="4"/>
        <v>94060.46</v>
      </c>
      <c r="I75"/>
    </row>
    <row r="76" spans="1:9" x14ac:dyDescent="0.2">
      <c r="A76" s="1" t="s">
        <v>257</v>
      </c>
      <c r="B76" s="6" t="s">
        <v>179</v>
      </c>
      <c r="C76" s="95">
        <f>SUM('DOE25'!F127:F130)</f>
        <v>6088.2</v>
      </c>
      <c r="D76" s="24" t="s">
        <v>288</v>
      </c>
      <c r="E76" s="95">
        <f>SUM('DOE25'!H127:H130)</f>
        <v>0</v>
      </c>
      <c r="F76" s="95">
        <f>SUM('DOE25'!I127:I130)</f>
        <v>0</v>
      </c>
      <c r="G76" s="24" t="s">
        <v>288</v>
      </c>
      <c r="H76" s="124">
        <f t="shared" si="4"/>
        <v>6088.2</v>
      </c>
      <c r="I76"/>
    </row>
    <row r="77" spans="1:9" ht="12" thickBot="1" x14ac:dyDescent="0.25">
      <c r="A77" s="1" t="s">
        <v>258</v>
      </c>
      <c r="B77" s="6" t="s">
        <v>180</v>
      </c>
      <c r="C77" s="95">
        <f>SUM('DOE25'!F131:F135)</f>
        <v>0</v>
      </c>
      <c r="D77" s="95">
        <f>SUM('DOE25'!G131:G135)</f>
        <v>9362.4599999999991</v>
      </c>
      <c r="E77" s="95">
        <f>SUM('DOE25'!H131:H135)</f>
        <v>0</v>
      </c>
      <c r="F77" s="95">
        <f>SUM('DOE25'!I131:I135)</f>
        <v>0</v>
      </c>
      <c r="G77" s="95">
        <f>SUM('DOE25'!J131:J135)</f>
        <v>0</v>
      </c>
      <c r="H77" s="124">
        <f t="shared" si="4"/>
        <v>9362.4599999999991</v>
      </c>
      <c r="I77"/>
    </row>
    <row r="78" spans="1:9" ht="12.75" thickTop="1" thickBot="1" x14ac:dyDescent="0.25">
      <c r="A78" s="29" t="s">
        <v>259</v>
      </c>
      <c r="B78" s="6"/>
      <c r="C78" s="130">
        <f>SUM(C72:C77)</f>
        <v>197574.86000000002</v>
      </c>
      <c r="D78" s="130">
        <f>SUM(D72:D77)</f>
        <v>9362.4599999999991</v>
      </c>
      <c r="E78" s="130">
        <f>SUM(E72:E77)</f>
        <v>0</v>
      </c>
      <c r="F78" s="130">
        <f>SUM(F72:F77)</f>
        <v>0</v>
      </c>
      <c r="G78" s="130">
        <f>SUM(G72:G77)</f>
        <v>0</v>
      </c>
      <c r="H78" s="124">
        <f t="shared" si="4"/>
        <v>206937.32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8031326.2599999998</v>
      </c>
      <c r="D81" s="130">
        <f>SUM(D79:D80)+D78+D70</f>
        <v>9362.4599999999991</v>
      </c>
      <c r="E81" s="130">
        <f>SUM(E79:E80)+E78+E70</f>
        <v>0</v>
      </c>
      <c r="F81" s="130">
        <f>SUM(F79:F80)+F78+F70</f>
        <v>0</v>
      </c>
      <c r="G81" s="130">
        <f>SUM(G79:G80)+G78+G70</f>
        <v>0</v>
      </c>
      <c r="H81" s="130">
        <f t="shared" si="4"/>
        <v>8040688.7199999997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6" t="s">
        <v>747</v>
      </c>
      <c r="B88" s="324" t="s">
        <v>184</v>
      </c>
      <c r="C88" s="325">
        <f>SUM('DOE25'!F153:F162)</f>
        <v>288012.89</v>
      </c>
      <c r="D88" s="325">
        <f>SUM('DOE25'!G153:G162)</f>
        <v>753649.11</v>
      </c>
      <c r="E88" s="325">
        <f>SUM('DOE25'!H153:H162)</f>
        <v>2090209.14</v>
      </c>
      <c r="F88" s="325">
        <f>SUM('DOE25'!I153:I162)</f>
        <v>0</v>
      </c>
      <c r="G88" s="24" t="s">
        <v>288</v>
      </c>
      <c r="H88" s="124">
        <f t="shared" si="5"/>
        <v>3131871.1399999997</v>
      </c>
    </row>
    <row r="89" spans="1:9" x14ac:dyDescent="0.2">
      <c r="A89" t="s">
        <v>748</v>
      </c>
      <c r="B89" s="32" t="s">
        <v>185</v>
      </c>
      <c r="C89" s="95">
        <f>'DOE25'!F164+'DOE25'!F167+'DOE25'!F169</f>
        <v>3</v>
      </c>
      <c r="D89" s="95">
        <f>'DOE25'!G164+'DOE25'!G169</f>
        <v>0</v>
      </c>
      <c r="E89" s="95">
        <f>'DOE25'!H164+'DOE25'!H169</f>
        <v>0</v>
      </c>
      <c r="F89" s="95">
        <f>'DOE25'!I164</f>
        <v>0</v>
      </c>
      <c r="G89" s="24" t="s">
        <v>288</v>
      </c>
      <c r="H89" s="124">
        <f t="shared" si="5"/>
        <v>3</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288015.89</v>
      </c>
      <c r="D91" s="131">
        <f>SUM(D85:D90)</f>
        <v>753649.11</v>
      </c>
      <c r="E91" s="131">
        <f>SUM(E85:E90)</f>
        <v>2090209.14</v>
      </c>
      <c r="F91" s="131">
        <f>SUM(F85:F90)</f>
        <v>0</v>
      </c>
      <c r="G91" s="24" t="s">
        <v>288</v>
      </c>
      <c r="H91" s="124">
        <f t="shared" si="5"/>
        <v>3131874.1399999997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350000</v>
      </c>
      <c r="H96" s="124">
        <f t="shared" si="5"/>
        <v>350000</v>
      </c>
    </row>
    <row r="97" spans="1:8" x14ac:dyDescent="0.2">
      <c r="A97" t="s">
        <v>754</v>
      </c>
      <c r="B97" s="32" t="s">
        <v>188</v>
      </c>
      <c r="C97" s="95">
        <f>SUM('DOE25'!F181:F182)</f>
        <v>14243.87</v>
      </c>
      <c r="D97" s="95">
        <f>SUM('DOE25'!G181:G182)</f>
        <v>0</v>
      </c>
      <c r="E97" s="95">
        <f>SUM('DOE25'!H181:H182)</f>
        <v>0</v>
      </c>
      <c r="F97" s="95">
        <f>SUM('DOE25'!I181:I182)</f>
        <v>0</v>
      </c>
      <c r="G97" s="95">
        <f>SUM('DOE25'!J181:J182)</f>
        <v>0</v>
      </c>
      <c r="H97" s="124">
        <f t="shared" si="5"/>
        <v>14243.87</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14243.87</v>
      </c>
      <c r="D103" s="86">
        <f>SUM(D93:D102)</f>
        <v>0</v>
      </c>
      <c r="E103" s="86">
        <f>SUM(E93:E102)</f>
        <v>0</v>
      </c>
      <c r="F103" s="86">
        <f>SUM(F93:F102)</f>
        <v>0</v>
      </c>
      <c r="G103" s="86">
        <f>SUM(G93:G102)</f>
        <v>350000</v>
      </c>
      <c r="H103" s="86">
        <f t="shared" si="5"/>
        <v>364243.87</v>
      </c>
    </row>
    <row r="104" spans="1:8" ht="12.75" thickTop="1" thickBot="1" x14ac:dyDescent="0.25">
      <c r="A104" s="33" t="s">
        <v>761</v>
      </c>
      <c r="C104" s="86">
        <f>C63+C81+C91+C103</f>
        <v>23826559.860000003</v>
      </c>
      <c r="D104" s="86">
        <f>D63+D81+D91+D103</f>
        <v>805985.66999999993</v>
      </c>
      <c r="E104" s="86">
        <f>E63+E81+E91+E103</f>
        <v>2156136.71</v>
      </c>
      <c r="F104" s="86">
        <f>F63+F81+F91+F103</f>
        <v>0</v>
      </c>
      <c r="G104" s="86">
        <f>G63+G81+G103</f>
        <v>350000</v>
      </c>
      <c r="H104" s="86">
        <f t="shared" si="5"/>
        <v>27138682.240000002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8619641.8735214304</v>
      </c>
      <c r="D109" s="24" t="s">
        <v>288</v>
      </c>
      <c r="E109" s="95">
        <f>('DOE25'!L277)+('DOE25'!L296)+('DOE25'!L315)</f>
        <v>742941.20955939614</v>
      </c>
      <c r="F109" s="24" t="s">
        <v>288</v>
      </c>
      <c r="G109" s="24" t="s">
        <v>288</v>
      </c>
      <c r="H109" s="124">
        <f t="shared" ref="H109:H115" si="6">SUM(C109:G109)</f>
        <v>9362583.0830808263</v>
      </c>
    </row>
    <row r="110" spans="1:8" x14ac:dyDescent="0.2">
      <c r="A110" t="s">
        <v>198</v>
      </c>
      <c r="B110" s="32" t="s">
        <v>199</v>
      </c>
      <c r="C110" s="95">
        <f>('DOE25'!L199)+('DOE25'!L217)+('DOE25'!L235)</f>
        <v>3858681.576160131</v>
      </c>
      <c r="D110" s="24" t="s">
        <v>288</v>
      </c>
      <c r="E110" s="95">
        <f>('DOE25'!L278)+('DOE25'!L297)+('DOE25'!L316)</f>
        <v>174598.14920301075</v>
      </c>
      <c r="F110" s="24" t="s">
        <v>288</v>
      </c>
      <c r="G110" s="24" t="s">
        <v>288</v>
      </c>
      <c r="H110" s="124">
        <f t="shared" si="6"/>
        <v>4033279.7253631419</v>
      </c>
    </row>
    <row r="111" spans="1:8" x14ac:dyDescent="0.2">
      <c r="A111" t="s">
        <v>200</v>
      </c>
      <c r="B111" s="32" t="s">
        <v>165</v>
      </c>
      <c r="C111" s="95">
        <f>('DOE25'!L200)+('DOE25'!L218)+('DOE25'!L236)</f>
        <v>51539.25</v>
      </c>
      <c r="D111" s="24" t="s">
        <v>288</v>
      </c>
      <c r="E111" s="95">
        <f>('DOE25'!L279)+('DOE25'!L298)+('DOE25'!L317)</f>
        <v>0</v>
      </c>
      <c r="F111" s="24" t="s">
        <v>288</v>
      </c>
      <c r="G111" s="24" t="s">
        <v>288</v>
      </c>
      <c r="H111" s="124">
        <f t="shared" si="6"/>
        <v>51539.25</v>
      </c>
    </row>
    <row r="112" spans="1:8" x14ac:dyDescent="0.2">
      <c r="A112" t="s">
        <v>201</v>
      </c>
      <c r="B112" s="32" t="s">
        <v>167</v>
      </c>
      <c r="C112" s="95">
        <f>('DOE25'!L201)+('DOE25'!L219)+('DOE25'!L237)</f>
        <v>407477.25999999995</v>
      </c>
      <c r="D112" s="24" t="s">
        <v>288</v>
      </c>
      <c r="E112" s="95">
        <f>+('DOE25'!L280)+('DOE25'!L299)+('DOE25'!L318)</f>
        <v>354982.11</v>
      </c>
      <c r="F112" s="24" t="s">
        <v>288</v>
      </c>
      <c r="G112" s="24" t="s">
        <v>288</v>
      </c>
      <c r="H112" s="124">
        <f t="shared" si="6"/>
        <v>762459.36999999988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12937339.959681561</v>
      </c>
      <c r="D115" s="86">
        <f>SUM(D109:D114)</f>
        <v>0</v>
      </c>
      <c r="E115" s="86">
        <f>SUM(E109:E114)</f>
        <v>1272521.4687624068</v>
      </c>
      <c r="F115" s="86">
        <f>SUM(F109:F114)</f>
        <v>0</v>
      </c>
      <c r="G115" s="86">
        <f>SUM(G109:G114)</f>
        <v>0</v>
      </c>
      <c r="H115" s="86">
        <f t="shared" si="6"/>
        <v>14209861.428443968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2650186.0959396958</v>
      </c>
      <c r="D118" s="24" t="s">
        <v>288</v>
      </c>
      <c r="E118" s="95">
        <f>+('DOE25'!L282)+('DOE25'!L301)+('DOE25'!L320)</f>
        <v>368792.04</v>
      </c>
      <c r="F118" s="24" t="s">
        <v>288</v>
      </c>
      <c r="G118" s="24" t="s">
        <v>288</v>
      </c>
      <c r="H118" s="124">
        <f t="shared" ref="H118:H145" si="7">SUM(C118:G118)</f>
        <v>3018978.1359396959</v>
      </c>
    </row>
    <row r="119" spans="1:8" x14ac:dyDescent="0.2">
      <c r="A119" t="s">
        <v>208</v>
      </c>
      <c r="B119" s="32" t="s">
        <v>209</v>
      </c>
      <c r="C119" s="95">
        <f>('DOE25'!L204)+('DOE25'!L222)+('DOE25'!L240)</f>
        <v>864703.99120268854</v>
      </c>
      <c r="D119" s="24" t="s">
        <v>288</v>
      </c>
      <c r="E119" s="95">
        <f>+('DOE25'!L283)+('DOE25'!L302)+('DOE25'!L321)</f>
        <v>352006.76772931905</v>
      </c>
      <c r="F119" s="24" t="s">
        <v>288</v>
      </c>
      <c r="G119" s="24" t="s">
        <v>288</v>
      </c>
      <c r="H119" s="124">
        <f t="shared" si="7"/>
        <v>1216710.7589320075</v>
      </c>
    </row>
    <row r="120" spans="1:8" x14ac:dyDescent="0.2">
      <c r="A120" t="s">
        <v>210</v>
      </c>
      <c r="B120" s="32" t="s">
        <v>211</v>
      </c>
      <c r="C120" s="95">
        <f>('DOE25'!L205)+('DOE25'!L223)+('DOE25'!L241)</f>
        <v>1180485.0782691776</v>
      </c>
      <c r="D120" s="24" t="s">
        <v>288</v>
      </c>
      <c r="E120" s="95">
        <f>+('DOE25'!L284)+('DOE25'!L303)+('DOE25'!L322)</f>
        <v>66468.949999999983</v>
      </c>
      <c r="F120" s="24" t="s">
        <v>288</v>
      </c>
      <c r="G120" s="24" t="s">
        <v>288</v>
      </c>
      <c r="H120" s="124">
        <f t="shared" si="7"/>
        <v>1246954.0282691775</v>
      </c>
    </row>
    <row r="121" spans="1:8" x14ac:dyDescent="0.2">
      <c r="A121" t="s">
        <v>212</v>
      </c>
      <c r="B121" s="32" t="s">
        <v>213</v>
      </c>
      <c r="C121" s="95">
        <f>('DOE25'!L206)+('DOE25'!L224)+('DOE25'!L242)</f>
        <v>1667868.33</v>
      </c>
      <c r="D121" s="24" t="s">
        <v>288</v>
      </c>
      <c r="E121" s="95">
        <f>+('DOE25'!L285)+('DOE25'!L304)+('DOE25'!L323)</f>
        <v>0</v>
      </c>
      <c r="F121" s="24" t="s">
        <v>288</v>
      </c>
      <c r="G121" s="24" t="s">
        <v>288</v>
      </c>
      <c r="H121" s="124">
        <f t="shared" si="7"/>
        <v>1667868.33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2177812.0177771114</v>
      </c>
      <c r="D123" s="24" t="s">
        <v>288</v>
      </c>
      <c r="E123" s="95">
        <f>+('DOE25'!L287)+('DOE25'!L306)+('DOE25'!L325)</f>
        <v>133821.69999999998</v>
      </c>
      <c r="F123" s="24" t="s">
        <v>288</v>
      </c>
      <c r="G123" s="24" t="s">
        <v>288</v>
      </c>
      <c r="H123" s="124">
        <f t="shared" si="7"/>
        <v>2311633.7177771116</v>
      </c>
    </row>
    <row r="124" spans="1:8" x14ac:dyDescent="0.2">
      <c r="A124" t="s">
        <v>218</v>
      </c>
      <c r="B124" s="32" t="s">
        <v>219</v>
      </c>
      <c r="C124" s="95">
        <f>('DOE25'!L209)+('DOE25'!L227)+('DOE25'!L245+'DOE25'!L255)</f>
        <v>1338192.4612839986</v>
      </c>
      <c r="D124" s="24" t="s">
        <v>288</v>
      </c>
      <c r="E124" s="95">
        <f>+('DOE25'!L288)+('DOE25'!L307)+('DOE25'!L326)</f>
        <v>3721.79</v>
      </c>
      <c r="F124" s="24" t="s">
        <v>288</v>
      </c>
      <c r="G124" s="24" t="s">
        <v>288</v>
      </c>
      <c r="H124" s="124">
        <f t="shared" si="7"/>
        <v>1341914.2512839986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677236</v>
      </c>
      <c r="E127" s="24" t="s">
        <v>288</v>
      </c>
      <c r="F127" s="24" t="s">
        <v>288</v>
      </c>
      <c r="G127" s="24" t="s">
        <v>288</v>
      </c>
      <c r="H127" s="124">
        <f t="shared" si="7"/>
        <v>677236</v>
      </c>
    </row>
    <row r="128" spans="1:8" ht="12.75" thickTop="1" thickBot="1" x14ac:dyDescent="0.25">
      <c r="A128" s="33" t="s">
        <v>226</v>
      </c>
      <c r="C128" s="86">
        <f>SUM(C118:C127)</f>
        <v>9879247.9744726717</v>
      </c>
      <c r="D128" s="86">
        <f>SUM(D118:D127)</f>
        <v>677236</v>
      </c>
      <c r="E128" s="86">
        <f>SUM(E118:E127)</f>
        <v>924811.24772931891</v>
      </c>
      <c r="F128" s="86">
        <f>SUM(F118:F127)</f>
        <v>0</v>
      </c>
      <c r="G128" s="86">
        <f>SUM(G118:G127)</f>
        <v>0</v>
      </c>
      <c r="H128" s="86">
        <f t="shared" si="7"/>
        <v>11481295.22220199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126314.18</v>
      </c>
      <c r="D130" s="24" t="s">
        <v>288</v>
      </c>
      <c r="E130" s="129">
        <f>'DOE25'!L337</f>
        <v>24458</v>
      </c>
      <c r="F130" s="129">
        <f>SUM('DOE25'!L375:'DOE25'!L381)</f>
        <v>0</v>
      </c>
      <c r="G130" s="24" t="s">
        <v>288</v>
      </c>
      <c r="H130" s="124">
        <f t="shared" si="7"/>
        <v>150772.18</v>
      </c>
    </row>
    <row r="131" spans="1:8" x14ac:dyDescent="0.2">
      <c r="A131" t="s">
        <v>229</v>
      </c>
      <c r="B131" s="32">
        <v>5110</v>
      </c>
      <c r="C131" s="95">
        <f>'DOE25'!L261</f>
        <v>191915.7</v>
      </c>
      <c r="D131" s="24" t="s">
        <v>288</v>
      </c>
      <c r="E131" s="129">
        <f>'DOE25'!L342</f>
        <v>0</v>
      </c>
      <c r="F131" s="24" t="s">
        <v>288</v>
      </c>
      <c r="G131" s="24" t="s">
        <v>288</v>
      </c>
      <c r="H131" s="124">
        <f t="shared" si="7"/>
        <v>191915.7</v>
      </c>
    </row>
    <row r="132" spans="1:8" x14ac:dyDescent="0.2">
      <c r="A132" t="s">
        <v>230</v>
      </c>
      <c r="B132" s="32">
        <v>5120</v>
      </c>
      <c r="C132" s="95">
        <f>'DOE25'!L262</f>
        <v>65220.11</v>
      </c>
      <c r="D132" s="24" t="s">
        <v>288</v>
      </c>
      <c r="E132" s="129">
        <f>'DOE25'!L343</f>
        <v>0</v>
      </c>
      <c r="F132" s="24" t="s">
        <v>288</v>
      </c>
      <c r="G132" s="24" t="s">
        <v>288</v>
      </c>
      <c r="H132" s="124">
        <f t="shared" si="7"/>
        <v>65220.11</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14243.87</v>
      </c>
      <c r="F134" s="95">
        <f>'DOE25'!K382</f>
        <v>0</v>
      </c>
      <c r="G134" s="95">
        <f>'DOE25'!K435</f>
        <v>0</v>
      </c>
      <c r="H134" s="124">
        <f t="shared" si="7"/>
        <v>14243.87</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350000</v>
      </c>
      <c r="D139" s="24" t="s">
        <v>288</v>
      </c>
      <c r="E139" s="24" t="s">
        <v>288</v>
      </c>
      <c r="F139" s="24" t="s">
        <v>288</v>
      </c>
      <c r="G139" s="24" t="s">
        <v>288</v>
      </c>
      <c r="H139" s="124">
        <f t="shared" si="7"/>
        <v>350000</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0</v>
      </c>
      <c r="D141" s="24" t="s">
        <v>288</v>
      </c>
      <c r="E141" s="24" t="s">
        <v>288</v>
      </c>
      <c r="F141" s="24" t="s">
        <v>288</v>
      </c>
      <c r="G141" s="24" t="s">
        <v>288</v>
      </c>
      <c r="H141" s="124">
        <f t="shared" si="7"/>
        <v>0</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733449.99</v>
      </c>
      <c r="D144" s="141">
        <f>SUM(D130:D143)</f>
        <v>0</v>
      </c>
      <c r="E144" s="141">
        <f>SUM(E130:E143)</f>
        <v>38701.870000000003</v>
      </c>
      <c r="F144" s="141">
        <f>SUM(F130:F143)</f>
        <v>0</v>
      </c>
      <c r="G144" s="141">
        <f>SUM(G130:G143)</f>
        <v>0</v>
      </c>
      <c r="H144" s="141">
        <f t="shared" si="7"/>
        <v>772151.86</v>
      </c>
    </row>
    <row r="145" spans="1:9" ht="12.75" thickTop="1" thickBot="1" x14ac:dyDescent="0.25">
      <c r="A145" s="33" t="s">
        <v>244</v>
      </c>
      <c r="C145" s="86">
        <f>(C115+C128+C144)</f>
        <v>23550037.924154233</v>
      </c>
      <c r="D145" s="86">
        <f>(D115+D128+D144)</f>
        <v>677236</v>
      </c>
      <c r="E145" s="86">
        <f>(E115+E128+E144)</f>
        <v>2236034.5864917259</v>
      </c>
      <c r="F145" s="86">
        <f>(F115+F128+F144)</f>
        <v>0</v>
      </c>
      <c r="G145" s="86">
        <f>(G115+G128+G144)</f>
        <v>0</v>
      </c>
      <c r="H145" s="86">
        <f t="shared" si="7"/>
        <v>26463308.51064596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15</v>
      </c>
      <c r="C151" s="152">
        <f>'DOE25'!G491</f>
        <v>5</v>
      </c>
      <c r="D151" s="152">
        <f>'DOE25'!H491</f>
        <v>5</v>
      </c>
      <c r="E151" s="152">
        <f>'DOE25'!I491</f>
        <v>0</v>
      </c>
      <c r="F151" s="152">
        <f>'DOE25'!J491</f>
        <v>0</v>
      </c>
      <c r="G151" s="24" t="s">
        <v>288</v>
      </c>
    </row>
    <row r="152" spans="1:9" x14ac:dyDescent="0.2">
      <c r="A152" s="136" t="s">
        <v>28</v>
      </c>
      <c r="B152" s="151" t="str">
        <f>'DOE25'!F492</f>
        <v>07/10</v>
      </c>
      <c r="C152" s="151" t="str">
        <f>'DOE25'!G492</f>
        <v>11/20</v>
      </c>
      <c r="D152" s="151" t="str">
        <f>'DOE25'!H492</f>
        <v>03/21</v>
      </c>
      <c r="E152" s="151">
        <f>'DOE25'!I492</f>
        <v>0</v>
      </c>
      <c r="F152" s="151">
        <f>'DOE25'!J492</f>
        <v>0</v>
      </c>
      <c r="G152" s="24" t="s">
        <v>288</v>
      </c>
    </row>
    <row r="153" spans="1:9" x14ac:dyDescent="0.2">
      <c r="A153" s="136" t="s">
        <v>29</v>
      </c>
      <c r="B153" s="151" t="str">
        <f>'DOE25'!F493</f>
        <v>01/26</v>
      </c>
      <c r="C153" s="151" t="str">
        <f>'DOE25'!G493</f>
        <v>08/25</v>
      </c>
      <c r="D153" s="151" t="str">
        <f>'DOE25'!H493</f>
        <v>05/26</v>
      </c>
      <c r="E153" s="151">
        <f>'DOE25'!I493</f>
        <v>0</v>
      </c>
      <c r="F153" s="151">
        <f>'DOE25'!J493</f>
        <v>0</v>
      </c>
      <c r="G153" s="24" t="s">
        <v>288</v>
      </c>
    </row>
    <row r="154" spans="1:9" x14ac:dyDescent="0.2">
      <c r="A154" s="136" t="s">
        <v>30</v>
      </c>
      <c r="B154" s="137">
        <f>'DOE25'!F494</f>
        <v>2657078</v>
      </c>
      <c r="C154" s="137">
        <f>'DOE25'!G494</f>
        <v>35816.300000000003</v>
      </c>
      <c r="D154" s="137">
        <f>'DOE25'!H494</f>
        <v>40092</v>
      </c>
      <c r="E154" s="137">
        <f>'DOE25'!I494</f>
        <v>0</v>
      </c>
      <c r="F154" s="137">
        <f>'DOE25'!J494</f>
        <v>0</v>
      </c>
      <c r="G154" s="24" t="s">
        <v>288</v>
      </c>
    </row>
    <row r="155" spans="1:9" x14ac:dyDescent="0.2">
      <c r="A155" s="136" t="s">
        <v>31</v>
      </c>
      <c r="B155" s="137">
        <f>'DOE25'!F495</f>
        <v>5.54</v>
      </c>
      <c r="C155" s="137">
        <f>'DOE25'!G495</f>
        <v>1.9</v>
      </c>
      <c r="D155" s="137">
        <f>'DOE25'!H495</f>
        <v>1.92</v>
      </c>
      <c r="E155" s="137">
        <f>'DOE25'!I495</f>
        <v>0</v>
      </c>
      <c r="F155" s="137">
        <f>'DOE25'!J495</f>
        <v>0</v>
      </c>
      <c r="G155" s="24" t="s">
        <v>288</v>
      </c>
    </row>
    <row r="156" spans="1:9" x14ac:dyDescent="0.2">
      <c r="A156" s="22" t="s">
        <v>32</v>
      </c>
      <c r="B156" s="137">
        <f>'DOE25'!F496</f>
        <v>885692.59999999986</v>
      </c>
      <c r="C156" s="137">
        <f>'DOE25'!G496</f>
        <v>35816.300000000003</v>
      </c>
      <c r="D156" s="137">
        <f>'DOE25'!H496</f>
        <v>40092</v>
      </c>
      <c r="E156" s="137">
        <f>'DOE25'!I496</f>
        <v>0</v>
      </c>
      <c r="F156" s="137">
        <f>'DOE25'!J496</f>
        <v>0</v>
      </c>
      <c r="G156" s="138">
        <f>SUM(B156:F156)</f>
        <v>961600.89999999991</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177138.54</v>
      </c>
      <c r="C158" s="137">
        <f>'DOE25'!G498</f>
        <v>7060.75</v>
      </c>
      <c r="D158" s="137">
        <f>'DOE25'!H498</f>
        <v>7716.41</v>
      </c>
      <c r="E158" s="137">
        <f>'DOE25'!I498</f>
        <v>0</v>
      </c>
      <c r="F158" s="137">
        <f>'DOE25'!J498</f>
        <v>0</v>
      </c>
      <c r="G158" s="138">
        <f t="shared" si="8"/>
        <v>191915.7</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5" t="s">
        <v>713</v>
      </c>
      <c r="B2" s="184" t="str">
        <f>'DOE25'!A2</f>
        <v>Newfound Area</v>
      </c>
    </row>
    <row r="3" spans="1:4" x14ac:dyDescent="0.2">
      <c r="B3" s="186" t="s">
        <v>1799</v>
      </c>
    </row>
    <row r="4" spans="1:4" x14ac:dyDescent="0.2">
      <c r="B4" t="s">
        <v>61</v>
      </c>
      <c r="C4" s="177">
        <f>IF('DOE25'!F666+'DOE25'!F671=0,0,ROUND('DOE25'!F673,0))</f>
        <v>21890</v>
      </c>
    </row>
    <row r="5" spans="1:4" x14ac:dyDescent="0.2">
      <c r="B5" t="s">
        <v>700</v>
      </c>
      <c r="C5" s="177">
        <f>IF('DOE25'!G666+'DOE25'!G671=0,0,ROUND('DOE25'!G673,0))</f>
        <v>19843</v>
      </c>
    </row>
    <row r="6" spans="1:4" x14ac:dyDescent="0.2">
      <c r="B6" t="s">
        <v>62</v>
      </c>
      <c r="C6" s="177">
        <f>IF('DOE25'!H666+'DOE25'!H671=0,0,ROUND('DOE25'!H673,0))</f>
        <v>19015</v>
      </c>
    </row>
    <row r="7" spans="1:4" x14ac:dyDescent="0.2">
      <c r="B7" t="s">
        <v>701</v>
      </c>
      <c r="C7" s="177">
        <f>IF('DOE25'!I666+'DOE25'!I671=0,0,ROUND('DOE25'!I673,0))</f>
        <v>20444</v>
      </c>
    </row>
    <row r="9" spans="1:4" x14ac:dyDescent="0.2">
      <c r="A9" s="185" t="s">
        <v>94</v>
      </c>
      <c r="B9" s="186" t="s">
        <v>1800</v>
      </c>
      <c r="C9" s="179" t="s">
        <v>720</v>
      </c>
      <c r="D9" s="179" t="s">
        <v>721</v>
      </c>
    </row>
    <row r="10" spans="1:4" x14ac:dyDescent="0.2">
      <c r="A10">
        <v>1100</v>
      </c>
      <c r="B10" t="s">
        <v>702</v>
      </c>
      <c r="C10" s="177">
        <f>ROUND('DOE25'!L198+'DOE25'!L216+'DOE25'!L234+'DOE25'!L277+'DOE25'!L296+'DOE25'!L315,0)</f>
        <v>9362583</v>
      </c>
      <c r="D10" s="180">
        <f>ROUND((C10/$C$28)*100,1)</f>
        <v>36.4</v>
      </c>
    </row>
    <row r="11" spans="1:4" x14ac:dyDescent="0.2">
      <c r="A11">
        <v>1200</v>
      </c>
      <c r="B11" t="s">
        <v>703</v>
      </c>
      <c r="C11" s="177">
        <f>ROUND('DOE25'!L199+'DOE25'!L217+'DOE25'!L235+'DOE25'!L278+'DOE25'!L297+'DOE25'!L316,0)</f>
        <v>4033280</v>
      </c>
      <c r="D11" s="180">
        <f>ROUND((C11/$C$28)*100,1)</f>
        <v>15.7</v>
      </c>
    </row>
    <row r="12" spans="1:4" x14ac:dyDescent="0.2">
      <c r="A12">
        <v>1300</v>
      </c>
      <c r="B12" t="s">
        <v>704</v>
      </c>
      <c r="C12" s="177">
        <f>ROUND('DOE25'!L200+'DOE25'!L218+'DOE25'!L236+'DOE25'!L279+'DOE25'!L298+'DOE25'!L317,0)</f>
        <v>51539</v>
      </c>
      <c r="D12" s="180">
        <f>ROUND((C12/$C$28)*100,1)</f>
        <v>0.2</v>
      </c>
    </row>
    <row r="13" spans="1:4" x14ac:dyDescent="0.2">
      <c r="A13">
        <v>1400</v>
      </c>
      <c r="B13" t="s">
        <v>705</v>
      </c>
      <c r="C13" s="177">
        <f>ROUND('DOE25'!L201+'DOE25'!L219+'DOE25'!L237+'DOE25'!L280+'DOE25'!L299+'DOE25'!L318,0)</f>
        <v>762459</v>
      </c>
      <c r="D13" s="180">
        <f>ROUND((C13/$C$28)*100,1)</f>
        <v>3</v>
      </c>
    </row>
    <row r="14" spans="1:4" x14ac:dyDescent="0.2">
      <c r="D14" s="180"/>
    </row>
    <row r="15" spans="1:4" x14ac:dyDescent="0.2">
      <c r="A15">
        <v>2100</v>
      </c>
      <c r="B15" t="s">
        <v>706</v>
      </c>
      <c r="C15" s="177">
        <f>ROUND('DOE25'!L203+'DOE25'!L221+'DOE25'!L239+'DOE25'!L282+'DOE25'!L301+'DOE25'!L320,0)</f>
        <v>3018978</v>
      </c>
      <c r="D15" s="180">
        <f t="shared" ref="D15:D27" si="0">ROUND((C15/$C$28)*100,1)</f>
        <v>11.7</v>
      </c>
    </row>
    <row r="16" spans="1:4" x14ac:dyDescent="0.2">
      <c r="A16">
        <v>2200</v>
      </c>
      <c r="B16" t="s">
        <v>707</v>
      </c>
      <c r="C16" s="177">
        <f>ROUND('DOE25'!L204+'DOE25'!L222+'DOE25'!L240+'DOE25'!L283+'DOE25'!L302+'DOE25'!L321,0)</f>
        <v>1216711</v>
      </c>
      <c r="D16" s="180">
        <f t="shared" si="0"/>
        <v>4.7</v>
      </c>
    </row>
    <row r="17" spans="1:4" x14ac:dyDescent="0.2">
      <c r="A17" s="181" t="s">
        <v>723</v>
      </c>
      <c r="B17" t="s">
        <v>738</v>
      </c>
      <c r="C17" s="177">
        <f>ROUND('DOE25'!L205+'DOE25'!L210+'DOE25'!L223+'DOE25'!L228+'DOE25'!L241+'DOE25'!L246+'DOE25'!L284+'DOE25'!L289+'DOE25'!L303+'DOE25'!L308+'DOE25'!L322+'DOE25'!L327,0)</f>
        <v>1246954</v>
      </c>
      <c r="D17" s="180">
        <f t="shared" si="0"/>
        <v>4.8</v>
      </c>
    </row>
    <row r="18" spans="1:4" x14ac:dyDescent="0.2">
      <c r="A18">
        <v>2400</v>
      </c>
      <c r="B18" t="s">
        <v>711</v>
      </c>
      <c r="C18" s="177">
        <f>ROUND('DOE25'!L206+'DOE25'!L224+'DOE25'!L242+'DOE25'!L285+'DOE25'!L304+'DOE25'!L323,0)</f>
        <v>1667868</v>
      </c>
      <c r="D18" s="180">
        <f t="shared" si="0"/>
        <v>6.5</v>
      </c>
    </row>
    <row r="19" spans="1:4" x14ac:dyDescent="0.2">
      <c r="A19">
        <v>2500</v>
      </c>
      <c r="B19" t="s">
        <v>708</v>
      </c>
      <c r="C19" s="177">
        <f>ROUND('DOE25'!L207+'DOE25'!L225+'DOE25'!L243+'DOE25'!L286+'DOE25'!L305+'DOE25'!L324,0)</f>
        <v>0</v>
      </c>
      <c r="D19" s="180">
        <f t="shared" si="0"/>
        <v>0</v>
      </c>
    </row>
    <row r="20" spans="1:4" x14ac:dyDescent="0.2">
      <c r="A20">
        <v>2600</v>
      </c>
      <c r="B20" t="s">
        <v>709</v>
      </c>
      <c r="C20" s="177">
        <f>ROUND('DOE25'!L208+'DOE25'!L226+'DOE25'!L244+'DOE25'!L287+'DOE25'!L306+'DOE25'!L325,0)</f>
        <v>2311634</v>
      </c>
      <c r="D20" s="180">
        <f t="shared" si="0"/>
        <v>9</v>
      </c>
    </row>
    <row r="21" spans="1:4" x14ac:dyDescent="0.2">
      <c r="A21">
        <v>2700</v>
      </c>
      <c r="B21" t="s">
        <v>710</v>
      </c>
      <c r="C21" s="177">
        <f>ROUND('DOE25'!L209+'DOE25'!L227+'DOE25'!L245+'DOE25'!L288+'DOE25'!L307+'DOE25'!L326,0)</f>
        <v>1341914</v>
      </c>
      <c r="D21" s="180">
        <f t="shared" si="0"/>
        <v>5.2</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65220</v>
      </c>
      <c r="D25" s="180">
        <f t="shared" si="0"/>
        <v>0.3</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634800.30000000005</v>
      </c>
      <c r="D27" s="180">
        <f t="shared" si="0"/>
        <v>2.5</v>
      </c>
    </row>
    <row r="28" spans="1:4" x14ac:dyDescent="0.2">
      <c r="B28" s="185" t="s">
        <v>719</v>
      </c>
      <c r="C28" s="178">
        <f>SUM(C10:C27)</f>
        <v>25713940.300000001</v>
      </c>
      <c r="D28" s="182">
        <f>ROUND(SUM(D10:D27),0)</f>
        <v>100</v>
      </c>
    </row>
    <row r="29" spans="1:4" x14ac:dyDescent="0.2">
      <c r="A29">
        <v>4000</v>
      </c>
      <c r="B29" t="s">
        <v>724</v>
      </c>
      <c r="C29" s="177">
        <f>ROUND('DOE25'!L256+'DOE25'!L337+'DOE25'!L375+'DOE25'!L376+'DOE25'!L377+'DOE25'!L378+'DOE25'!L379+'DOE25'!L380+'DOE25'!L381,0)</f>
        <v>150772</v>
      </c>
    </row>
    <row r="30" spans="1:4" x14ac:dyDescent="0.2">
      <c r="B30" s="185" t="s">
        <v>725</v>
      </c>
      <c r="C30" s="178">
        <f>SUM(C28:C29)</f>
        <v>25864712.300000001</v>
      </c>
    </row>
    <row r="31" spans="1:4" x14ac:dyDescent="0.2">
      <c r="B31" s="33"/>
      <c r="C31" s="178"/>
    </row>
    <row r="32" spans="1:4" x14ac:dyDescent="0.2">
      <c r="A32">
        <v>5100</v>
      </c>
      <c r="B32" s="33" t="s">
        <v>726</v>
      </c>
      <c r="C32" s="178">
        <f>ROUND('DOE25'!L261+'DOE25'!L342,0)</f>
        <v>191916</v>
      </c>
    </row>
    <row r="34" spans="1:4" x14ac:dyDescent="0.2">
      <c r="A34" s="185" t="s">
        <v>94</v>
      </c>
      <c r="B34" s="186" t="s">
        <v>1801</v>
      </c>
      <c r="C34" s="179" t="s">
        <v>720</v>
      </c>
      <c r="D34" s="179" t="s">
        <v>721</v>
      </c>
    </row>
    <row r="35" spans="1:4" x14ac:dyDescent="0.2">
      <c r="A35">
        <v>1100</v>
      </c>
      <c r="B35" s="183" t="s">
        <v>727</v>
      </c>
      <c r="C35" s="177">
        <f>ROUND('DOE25'!F60+'DOE25'!G60+'DOE25'!H60+'DOE25'!I60+'DOE25'!J60,0)</f>
        <v>14233036</v>
      </c>
      <c r="D35" s="180">
        <f t="shared" ref="D35:D40" si="1">ROUND((C35/$C$41)*100,1)</f>
        <v>53.2</v>
      </c>
    </row>
    <row r="36" spans="1:4" x14ac:dyDescent="0.2">
      <c r="B36" s="183" t="s">
        <v>739</v>
      </c>
      <c r="C36" s="177">
        <f>SUM('DOE25'!F112:J112)-SUM('DOE25'!G97:G110)+('DOE25'!F175+'DOE25'!F176+'DOE25'!I175+'DOE25'!I176)-C35</f>
        <v>1326403.8100000005</v>
      </c>
      <c r="D36" s="180">
        <f t="shared" si="1"/>
        <v>5</v>
      </c>
    </row>
    <row r="37" spans="1:4" x14ac:dyDescent="0.2">
      <c r="A37" s="181" t="s">
        <v>835</v>
      </c>
      <c r="B37" s="183" t="s">
        <v>728</v>
      </c>
      <c r="C37" s="177">
        <f>ROUND('DOE25'!F117+'DOE25'!F118,0)</f>
        <v>7827766</v>
      </c>
      <c r="D37" s="180">
        <f t="shared" si="1"/>
        <v>29.3</v>
      </c>
    </row>
    <row r="38" spans="1:4" x14ac:dyDescent="0.2">
      <c r="A38" s="181" t="s">
        <v>734</v>
      </c>
      <c r="B38" s="183" t="s">
        <v>729</v>
      </c>
      <c r="C38" s="177">
        <f>ROUND(SUM('DOE25'!F140:J140)-SUM('DOE25'!F117:F119),0)</f>
        <v>212923</v>
      </c>
      <c r="D38" s="180">
        <f t="shared" si="1"/>
        <v>0.8</v>
      </c>
    </row>
    <row r="39" spans="1:4" x14ac:dyDescent="0.2">
      <c r="A39">
        <v>4000</v>
      </c>
      <c r="B39" s="183" t="s">
        <v>730</v>
      </c>
      <c r="C39" s="177">
        <f>ROUND('DOE25'!F170+'DOE25'!G170+'DOE25'!H170+'DOE25'!I170,0)</f>
        <v>3131874</v>
      </c>
      <c r="D39" s="180">
        <f t="shared" si="1"/>
        <v>11.7</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26732002.810000002</v>
      </c>
      <c r="D41" s="182">
        <f>SUM(D35:D40)</f>
        <v>100</v>
      </c>
    </row>
    <row r="42" spans="1:4" x14ac:dyDescent="0.2">
      <c r="A42" s="181" t="s">
        <v>737</v>
      </c>
      <c r="B42" s="183" t="s">
        <v>733</v>
      </c>
      <c r="C42" s="177">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2" sqref="C22:M22"/>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1"/>
      <c r="K1" s="211"/>
      <c r="L1" s="211"/>
      <c r="M1" s="212"/>
    </row>
    <row r="2" spans="1:26" ht="12.75" x14ac:dyDescent="0.2">
      <c r="A2" s="396" t="s">
        <v>763</v>
      </c>
      <c r="B2" s="397"/>
      <c r="C2" s="397"/>
      <c r="D2" s="397"/>
      <c r="E2" s="397"/>
      <c r="F2" s="394" t="str">
        <f>'DOE25'!A2</f>
        <v>Newfound Area</v>
      </c>
      <c r="G2" s="395"/>
      <c r="H2" s="395"/>
      <c r="I2" s="395"/>
      <c r="J2" s="52"/>
      <c r="K2" s="52"/>
      <c r="L2" s="52"/>
      <c r="M2" s="213"/>
    </row>
    <row r="3" spans="1:26" x14ac:dyDescent="0.2">
      <c r="A3" s="214" t="s">
        <v>764</v>
      </c>
      <c r="B3" s="215" t="s">
        <v>765</v>
      </c>
      <c r="C3" s="392" t="s">
        <v>767</v>
      </c>
      <c r="D3" s="392"/>
      <c r="E3" s="392"/>
      <c r="F3" s="392"/>
      <c r="G3" s="392"/>
      <c r="H3" s="392"/>
      <c r="I3" s="392"/>
      <c r="J3" s="392"/>
      <c r="K3" s="392"/>
      <c r="L3" s="392"/>
      <c r="M3" s="393"/>
    </row>
    <row r="4" spans="1:26" x14ac:dyDescent="0.2">
      <c r="A4" s="216">
        <v>6</v>
      </c>
      <c r="B4" s="217">
        <v>6</v>
      </c>
      <c r="C4" s="388" t="s">
        <v>1809</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6">
        <v>6</v>
      </c>
      <c r="B5" s="217"/>
      <c r="C5" s="388" t="s">
        <v>1810</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6">
        <v>1</v>
      </c>
      <c r="B6" s="217">
        <v>33</v>
      </c>
      <c r="C6" s="388" t="s">
        <v>1811</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6"/>
      <c r="B7" s="217"/>
      <c r="C7" s="388" t="s">
        <v>1815</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6"/>
      <c r="B8" s="217"/>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6"/>
      <c r="B9" s="217"/>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6"/>
      <c r="B10" s="217"/>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6"/>
      <c r="B11" s="217"/>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6"/>
      <c r="B12" s="217"/>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6"/>
      <c r="B13" s="217"/>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6"/>
      <c r="B14" s="217"/>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6"/>
      <c r="B15" s="217"/>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6"/>
      <c r="B16" s="217"/>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6"/>
      <c r="B17" s="217"/>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6"/>
      <c r="B18" s="217"/>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6"/>
      <c r="B19" s="217"/>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6"/>
      <c r="B20" s="217"/>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6"/>
      <c r="B21" s="217"/>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6"/>
      <c r="B22" s="217"/>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6"/>
      <c r="B23" s="217"/>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6"/>
      <c r="B24" s="217"/>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6"/>
      <c r="B25" s="217"/>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6"/>
      <c r="B26" s="217"/>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6"/>
      <c r="B27" s="217"/>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6"/>
      <c r="B28" s="217"/>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6"/>
      <c r="B29" s="217"/>
      <c r="C29" s="388"/>
      <c r="D29" s="388"/>
      <c r="E29" s="388"/>
      <c r="F29" s="388"/>
      <c r="G29" s="388"/>
      <c r="H29" s="388"/>
      <c r="I29" s="388"/>
      <c r="J29" s="388"/>
      <c r="K29" s="388"/>
      <c r="L29" s="388"/>
      <c r="M29" s="389"/>
      <c r="N29" s="209"/>
      <c r="O29" s="209"/>
      <c r="P29" s="387"/>
      <c r="Q29" s="387"/>
      <c r="R29" s="387"/>
      <c r="S29" s="387"/>
      <c r="T29" s="387"/>
      <c r="U29" s="387"/>
      <c r="V29" s="387"/>
      <c r="W29" s="387"/>
      <c r="X29" s="387"/>
      <c r="Y29" s="387"/>
      <c r="Z29" s="387"/>
      <c r="AA29" s="205"/>
      <c r="AB29" s="205"/>
      <c r="AC29" s="386"/>
      <c r="AD29" s="386"/>
      <c r="AE29" s="386"/>
      <c r="AF29" s="386"/>
      <c r="AG29" s="386"/>
      <c r="AH29" s="386"/>
      <c r="AI29" s="386"/>
      <c r="AJ29" s="386"/>
      <c r="AK29" s="386"/>
      <c r="AL29" s="386"/>
      <c r="AM29" s="386"/>
      <c r="AN29" s="205"/>
      <c r="AO29" s="205"/>
      <c r="AP29" s="386"/>
      <c r="AQ29" s="386"/>
      <c r="AR29" s="386"/>
      <c r="AS29" s="386"/>
      <c r="AT29" s="386"/>
      <c r="AU29" s="386"/>
      <c r="AV29" s="386"/>
      <c r="AW29" s="386"/>
      <c r="AX29" s="386"/>
      <c r="AY29" s="386"/>
      <c r="AZ29" s="386"/>
      <c r="BA29" s="205"/>
      <c r="BB29" s="205"/>
      <c r="BC29" s="386"/>
      <c r="BD29" s="386"/>
      <c r="BE29" s="386"/>
      <c r="BF29" s="386"/>
      <c r="BG29" s="386"/>
      <c r="BH29" s="386"/>
      <c r="BI29" s="386"/>
      <c r="BJ29" s="386"/>
      <c r="BK29" s="386"/>
      <c r="BL29" s="386"/>
      <c r="BM29" s="386"/>
      <c r="BN29" s="205"/>
      <c r="BO29" s="205"/>
      <c r="BP29" s="386"/>
      <c r="BQ29" s="386"/>
      <c r="BR29" s="386"/>
      <c r="BS29" s="386"/>
      <c r="BT29" s="386"/>
      <c r="BU29" s="386"/>
      <c r="BV29" s="386"/>
      <c r="BW29" s="386"/>
      <c r="BX29" s="386"/>
      <c r="BY29" s="386"/>
      <c r="BZ29" s="386"/>
      <c r="CA29" s="205"/>
      <c r="CB29" s="205"/>
      <c r="CC29" s="386"/>
      <c r="CD29" s="386"/>
      <c r="CE29" s="386"/>
      <c r="CF29" s="386"/>
      <c r="CG29" s="386"/>
      <c r="CH29" s="386"/>
      <c r="CI29" s="386"/>
      <c r="CJ29" s="386"/>
      <c r="CK29" s="386"/>
      <c r="CL29" s="386"/>
      <c r="CM29" s="386"/>
      <c r="CN29" s="205"/>
      <c r="CO29" s="205"/>
      <c r="CP29" s="386"/>
      <c r="CQ29" s="386"/>
      <c r="CR29" s="386"/>
      <c r="CS29" s="386"/>
      <c r="CT29" s="386"/>
      <c r="CU29" s="386"/>
      <c r="CV29" s="386"/>
      <c r="CW29" s="386"/>
      <c r="CX29" s="386"/>
      <c r="CY29" s="386"/>
      <c r="CZ29" s="386"/>
      <c r="DA29" s="205"/>
      <c r="DB29" s="205"/>
      <c r="DC29" s="386"/>
      <c r="DD29" s="386"/>
      <c r="DE29" s="386"/>
      <c r="DF29" s="386"/>
      <c r="DG29" s="386"/>
      <c r="DH29" s="386"/>
      <c r="DI29" s="386"/>
      <c r="DJ29" s="386"/>
      <c r="DK29" s="386"/>
      <c r="DL29" s="386"/>
      <c r="DM29" s="386"/>
      <c r="DN29" s="205"/>
      <c r="DO29" s="205"/>
      <c r="DP29" s="386"/>
      <c r="DQ29" s="386"/>
      <c r="DR29" s="386"/>
      <c r="DS29" s="386"/>
      <c r="DT29" s="386"/>
      <c r="DU29" s="386"/>
      <c r="DV29" s="386"/>
      <c r="DW29" s="386"/>
      <c r="DX29" s="386"/>
      <c r="DY29" s="386"/>
      <c r="DZ29" s="386"/>
      <c r="EA29" s="205"/>
      <c r="EB29" s="205"/>
      <c r="EC29" s="386"/>
      <c r="ED29" s="386"/>
      <c r="EE29" s="386"/>
      <c r="EF29" s="386"/>
      <c r="EG29" s="386"/>
      <c r="EH29" s="386"/>
      <c r="EI29" s="386"/>
      <c r="EJ29" s="386"/>
      <c r="EK29" s="386"/>
      <c r="EL29" s="386"/>
      <c r="EM29" s="386"/>
      <c r="EN29" s="205"/>
      <c r="EO29" s="205"/>
      <c r="EP29" s="386"/>
      <c r="EQ29" s="386"/>
      <c r="ER29" s="386"/>
      <c r="ES29" s="386"/>
      <c r="ET29" s="386"/>
      <c r="EU29" s="386"/>
      <c r="EV29" s="386"/>
      <c r="EW29" s="386"/>
      <c r="EX29" s="386"/>
      <c r="EY29" s="386"/>
      <c r="EZ29" s="386"/>
      <c r="FA29" s="205"/>
      <c r="FB29" s="205"/>
      <c r="FC29" s="386"/>
      <c r="FD29" s="386"/>
      <c r="FE29" s="386"/>
      <c r="FF29" s="386"/>
      <c r="FG29" s="386"/>
      <c r="FH29" s="386"/>
      <c r="FI29" s="386"/>
      <c r="FJ29" s="386"/>
      <c r="FK29" s="386"/>
      <c r="FL29" s="386"/>
      <c r="FM29" s="386"/>
      <c r="FN29" s="205"/>
      <c r="FO29" s="205"/>
      <c r="FP29" s="386"/>
      <c r="FQ29" s="386"/>
      <c r="FR29" s="386"/>
      <c r="FS29" s="386"/>
      <c r="FT29" s="386"/>
      <c r="FU29" s="386"/>
      <c r="FV29" s="386"/>
      <c r="FW29" s="386"/>
      <c r="FX29" s="386"/>
      <c r="FY29" s="386"/>
      <c r="FZ29" s="386"/>
      <c r="GA29" s="205"/>
      <c r="GB29" s="205"/>
      <c r="GC29" s="386"/>
      <c r="GD29" s="386"/>
      <c r="GE29" s="386"/>
      <c r="GF29" s="386"/>
      <c r="GG29" s="386"/>
      <c r="GH29" s="386"/>
      <c r="GI29" s="386"/>
      <c r="GJ29" s="386"/>
      <c r="GK29" s="386"/>
      <c r="GL29" s="386"/>
      <c r="GM29" s="386"/>
      <c r="GN29" s="205"/>
      <c r="GO29" s="205"/>
      <c r="GP29" s="386"/>
      <c r="GQ29" s="386"/>
      <c r="GR29" s="386"/>
      <c r="GS29" s="386"/>
      <c r="GT29" s="386"/>
      <c r="GU29" s="386"/>
      <c r="GV29" s="386"/>
      <c r="GW29" s="386"/>
      <c r="GX29" s="386"/>
      <c r="GY29" s="386"/>
      <c r="GZ29" s="386"/>
      <c r="HA29" s="205"/>
      <c r="HB29" s="205"/>
      <c r="HC29" s="386"/>
      <c r="HD29" s="386"/>
      <c r="HE29" s="386"/>
      <c r="HF29" s="386"/>
      <c r="HG29" s="386"/>
      <c r="HH29" s="386"/>
      <c r="HI29" s="386"/>
      <c r="HJ29" s="386"/>
      <c r="HK29" s="386"/>
      <c r="HL29" s="386"/>
      <c r="HM29" s="386"/>
      <c r="HN29" s="205"/>
      <c r="HO29" s="205"/>
      <c r="HP29" s="386"/>
      <c r="HQ29" s="386"/>
      <c r="HR29" s="386"/>
      <c r="HS29" s="386"/>
      <c r="HT29" s="386"/>
      <c r="HU29" s="386"/>
      <c r="HV29" s="386"/>
      <c r="HW29" s="386"/>
      <c r="HX29" s="386"/>
      <c r="HY29" s="386"/>
      <c r="HZ29" s="386"/>
      <c r="IA29" s="205"/>
      <c r="IB29" s="205"/>
      <c r="IC29" s="386"/>
      <c r="ID29" s="386"/>
      <c r="IE29" s="386"/>
      <c r="IF29" s="386"/>
      <c r="IG29" s="386"/>
      <c r="IH29" s="386"/>
      <c r="II29" s="386"/>
      <c r="IJ29" s="386"/>
      <c r="IK29" s="386"/>
      <c r="IL29" s="386"/>
      <c r="IM29" s="386"/>
      <c r="IN29" s="205"/>
      <c r="IO29" s="205"/>
      <c r="IP29" s="386"/>
      <c r="IQ29" s="386"/>
      <c r="IR29" s="386"/>
      <c r="IS29" s="386"/>
      <c r="IT29" s="386"/>
      <c r="IU29" s="386"/>
      <c r="IV29" s="386"/>
    </row>
    <row r="30" spans="1:256" x14ac:dyDescent="0.2">
      <c r="A30" s="216"/>
      <c r="B30" s="217"/>
      <c r="C30" s="388"/>
      <c r="D30" s="388"/>
      <c r="E30" s="388"/>
      <c r="F30" s="388"/>
      <c r="G30" s="388"/>
      <c r="H30" s="388"/>
      <c r="I30" s="388"/>
      <c r="J30" s="388"/>
      <c r="K30" s="388"/>
      <c r="L30" s="388"/>
      <c r="M30" s="389"/>
      <c r="N30" s="209"/>
      <c r="O30" s="209"/>
      <c r="P30" s="387"/>
      <c r="Q30" s="387"/>
      <c r="R30" s="387"/>
      <c r="S30" s="387"/>
      <c r="T30" s="387"/>
      <c r="U30" s="387"/>
      <c r="V30" s="387"/>
      <c r="W30" s="387"/>
      <c r="X30" s="387"/>
      <c r="Y30" s="387"/>
      <c r="Z30" s="387"/>
      <c r="AA30" s="205"/>
      <c r="AB30" s="205"/>
      <c r="AC30" s="386"/>
      <c r="AD30" s="386"/>
      <c r="AE30" s="386"/>
      <c r="AF30" s="386"/>
      <c r="AG30" s="386"/>
      <c r="AH30" s="386"/>
      <c r="AI30" s="386"/>
      <c r="AJ30" s="386"/>
      <c r="AK30" s="386"/>
      <c r="AL30" s="386"/>
      <c r="AM30" s="386"/>
      <c r="AN30" s="205"/>
      <c r="AO30" s="205"/>
      <c r="AP30" s="386"/>
      <c r="AQ30" s="386"/>
      <c r="AR30" s="386"/>
      <c r="AS30" s="386"/>
      <c r="AT30" s="386"/>
      <c r="AU30" s="386"/>
      <c r="AV30" s="386"/>
      <c r="AW30" s="386"/>
      <c r="AX30" s="386"/>
      <c r="AY30" s="386"/>
      <c r="AZ30" s="386"/>
      <c r="BA30" s="205"/>
      <c r="BB30" s="205"/>
      <c r="BC30" s="386"/>
      <c r="BD30" s="386"/>
      <c r="BE30" s="386"/>
      <c r="BF30" s="386"/>
      <c r="BG30" s="386"/>
      <c r="BH30" s="386"/>
      <c r="BI30" s="386"/>
      <c r="BJ30" s="386"/>
      <c r="BK30" s="386"/>
      <c r="BL30" s="386"/>
      <c r="BM30" s="386"/>
      <c r="BN30" s="205"/>
      <c r="BO30" s="205"/>
      <c r="BP30" s="386"/>
      <c r="BQ30" s="386"/>
      <c r="BR30" s="386"/>
      <c r="BS30" s="386"/>
      <c r="BT30" s="386"/>
      <c r="BU30" s="386"/>
      <c r="BV30" s="386"/>
      <c r="BW30" s="386"/>
      <c r="BX30" s="386"/>
      <c r="BY30" s="386"/>
      <c r="BZ30" s="386"/>
      <c r="CA30" s="205"/>
      <c r="CB30" s="205"/>
      <c r="CC30" s="386"/>
      <c r="CD30" s="386"/>
      <c r="CE30" s="386"/>
      <c r="CF30" s="386"/>
      <c r="CG30" s="386"/>
      <c r="CH30" s="386"/>
      <c r="CI30" s="386"/>
      <c r="CJ30" s="386"/>
      <c r="CK30" s="386"/>
      <c r="CL30" s="386"/>
      <c r="CM30" s="386"/>
      <c r="CN30" s="205"/>
      <c r="CO30" s="205"/>
      <c r="CP30" s="386"/>
      <c r="CQ30" s="386"/>
      <c r="CR30" s="386"/>
      <c r="CS30" s="386"/>
      <c r="CT30" s="386"/>
      <c r="CU30" s="386"/>
      <c r="CV30" s="386"/>
      <c r="CW30" s="386"/>
      <c r="CX30" s="386"/>
      <c r="CY30" s="386"/>
      <c r="CZ30" s="386"/>
      <c r="DA30" s="205"/>
      <c r="DB30" s="205"/>
      <c r="DC30" s="386"/>
      <c r="DD30" s="386"/>
      <c r="DE30" s="386"/>
      <c r="DF30" s="386"/>
      <c r="DG30" s="386"/>
      <c r="DH30" s="386"/>
      <c r="DI30" s="386"/>
      <c r="DJ30" s="386"/>
      <c r="DK30" s="386"/>
      <c r="DL30" s="386"/>
      <c r="DM30" s="386"/>
      <c r="DN30" s="205"/>
      <c r="DO30" s="205"/>
      <c r="DP30" s="386"/>
      <c r="DQ30" s="386"/>
      <c r="DR30" s="386"/>
      <c r="DS30" s="386"/>
      <c r="DT30" s="386"/>
      <c r="DU30" s="386"/>
      <c r="DV30" s="386"/>
      <c r="DW30" s="386"/>
      <c r="DX30" s="386"/>
      <c r="DY30" s="386"/>
      <c r="DZ30" s="386"/>
      <c r="EA30" s="205"/>
      <c r="EB30" s="205"/>
      <c r="EC30" s="386"/>
      <c r="ED30" s="386"/>
      <c r="EE30" s="386"/>
      <c r="EF30" s="386"/>
      <c r="EG30" s="386"/>
      <c r="EH30" s="386"/>
      <c r="EI30" s="386"/>
      <c r="EJ30" s="386"/>
      <c r="EK30" s="386"/>
      <c r="EL30" s="386"/>
      <c r="EM30" s="386"/>
      <c r="EN30" s="205"/>
      <c r="EO30" s="205"/>
      <c r="EP30" s="386"/>
      <c r="EQ30" s="386"/>
      <c r="ER30" s="386"/>
      <c r="ES30" s="386"/>
      <c r="ET30" s="386"/>
      <c r="EU30" s="386"/>
      <c r="EV30" s="386"/>
      <c r="EW30" s="386"/>
      <c r="EX30" s="386"/>
      <c r="EY30" s="386"/>
      <c r="EZ30" s="386"/>
      <c r="FA30" s="205"/>
      <c r="FB30" s="205"/>
      <c r="FC30" s="386"/>
      <c r="FD30" s="386"/>
      <c r="FE30" s="386"/>
      <c r="FF30" s="386"/>
      <c r="FG30" s="386"/>
      <c r="FH30" s="386"/>
      <c r="FI30" s="386"/>
      <c r="FJ30" s="386"/>
      <c r="FK30" s="386"/>
      <c r="FL30" s="386"/>
      <c r="FM30" s="386"/>
      <c r="FN30" s="205"/>
      <c r="FO30" s="205"/>
      <c r="FP30" s="386"/>
      <c r="FQ30" s="386"/>
      <c r="FR30" s="386"/>
      <c r="FS30" s="386"/>
      <c r="FT30" s="386"/>
      <c r="FU30" s="386"/>
      <c r="FV30" s="386"/>
      <c r="FW30" s="386"/>
      <c r="FX30" s="386"/>
      <c r="FY30" s="386"/>
      <c r="FZ30" s="386"/>
      <c r="GA30" s="205"/>
      <c r="GB30" s="205"/>
      <c r="GC30" s="386"/>
      <c r="GD30" s="386"/>
      <c r="GE30" s="386"/>
      <c r="GF30" s="386"/>
      <c r="GG30" s="386"/>
      <c r="GH30" s="386"/>
      <c r="GI30" s="386"/>
      <c r="GJ30" s="386"/>
      <c r="GK30" s="386"/>
      <c r="GL30" s="386"/>
      <c r="GM30" s="386"/>
      <c r="GN30" s="205"/>
      <c r="GO30" s="205"/>
      <c r="GP30" s="386"/>
      <c r="GQ30" s="386"/>
      <c r="GR30" s="386"/>
      <c r="GS30" s="386"/>
      <c r="GT30" s="386"/>
      <c r="GU30" s="386"/>
      <c r="GV30" s="386"/>
      <c r="GW30" s="386"/>
      <c r="GX30" s="386"/>
      <c r="GY30" s="386"/>
      <c r="GZ30" s="386"/>
      <c r="HA30" s="205"/>
      <c r="HB30" s="205"/>
      <c r="HC30" s="386"/>
      <c r="HD30" s="386"/>
      <c r="HE30" s="386"/>
      <c r="HF30" s="386"/>
      <c r="HG30" s="386"/>
      <c r="HH30" s="386"/>
      <c r="HI30" s="386"/>
      <c r="HJ30" s="386"/>
      <c r="HK30" s="386"/>
      <c r="HL30" s="386"/>
      <c r="HM30" s="386"/>
      <c r="HN30" s="205"/>
      <c r="HO30" s="205"/>
      <c r="HP30" s="386"/>
      <c r="HQ30" s="386"/>
      <c r="HR30" s="386"/>
      <c r="HS30" s="386"/>
      <c r="HT30" s="386"/>
      <c r="HU30" s="386"/>
      <c r="HV30" s="386"/>
      <c r="HW30" s="386"/>
      <c r="HX30" s="386"/>
      <c r="HY30" s="386"/>
      <c r="HZ30" s="386"/>
      <c r="IA30" s="205"/>
      <c r="IB30" s="205"/>
      <c r="IC30" s="386"/>
      <c r="ID30" s="386"/>
      <c r="IE30" s="386"/>
      <c r="IF30" s="386"/>
      <c r="IG30" s="386"/>
      <c r="IH30" s="386"/>
      <c r="II30" s="386"/>
      <c r="IJ30" s="386"/>
      <c r="IK30" s="386"/>
      <c r="IL30" s="386"/>
      <c r="IM30" s="386"/>
      <c r="IN30" s="205"/>
      <c r="IO30" s="205"/>
      <c r="IP30" s="386"/>
      <c r="IQ30" s="386"/>
      <c r="IR30" s="386"/>
      <c r="IS30" s="386"/>
      <c r="IT30" s="386"/>
      <c r="IU30" s="386"/>
      <c r="IV30" s="386"/>
    </row>
    <row r="31" spans="1:256" x14ac:dyDescent="0.2">
      <c r="A31" s="216"/>
      <c r="B31" s="217"/>
      <c r="C31" s="388"/>
      <c r="D31" s="388"/>
      <c r="E31" s="388"/>
      <c r="F31" s="388"/>
      <c r="G31" s="388"/>
      <c r="H31" s="388"/>
      <c r="I31" s="388"/>
      <c r="J31" s="388"/>
      <c r="K31" s="388"/>
      <c r="L31" s="388"/>
      <c r="M31" s="389"/>
      <c r="N31" s="209"/>
      <c r="O31" s="209"/>
      <c r="P31" s="387"/>
      <c r="Q31" s="387"/>
      <c r="R31" s="387"/>
      <c r="S31" s="387"/>
      <c r="T31" s="387"/>
      <c r="U31" s="387"/>
      <c r="V31" s="387"/>
      <c r="W31" s="387"/>
      <c r="X31" s="387"/>
      <c r="Y31" s="387"/>
      <c r="Z31" s="387"/>
      <c r="AA31" s="205"/>
      <c r="AB31" s="205"/>
      <c r="AC31" s="386"/>
      <c r="AD31" s="386"/>
      <c r="AE31" s="386"/>
      <c r="AF31" s="386"/>
      <c r="AG31" s="386"/>
      <c r="AH31" s="386"/>
      <c r="AI31" s="386"/>
      <c r="AJ31" s="386"/>
      <c r="AK31" s="386"/>
      <c r="AL31" s="386"/>
      <c r="AM31" s="386"/>
      <c r="AN31" s="205"/>
      <c r="AO31" s="205"/>
      <c r="AP31" s="386"/>
      <c r="AQ31" s="386"/>
      <c r="AR31" s="386"/>
      <c r="AS31" s="386"/>
      <c r="AT31" s="386"/>
      <c r="AU31" s="386"/>
      <c r="AV31" s="386"/>
      <c r="AW31" s="386"/>
      <c r="AX31" s="386"/>
      <c r="AY31" s="386"/>
      <c r="AZ31" s="386"/>
      <c r="BA31" s="205"/>
      <c r="BB31" s="205"/>
      <c r="BC31" s="386"/>
      <c r="BD31" s="386"/>
      <c r="BE31" s="386"/>
      <c r="BF31" s="386"/>
      <c r="BG31" s="386"/>
      <c r="BH31" s="386"/>
      <c r="BI31" s="386"/>
      <c r="BJ31" s="386"/>
      <c r="BK31" s="386"/>
      <c r="BL31" s="386"/>
      <c r="BM31" s="386"/>
      <c r="BN31" s="205"/>
      <c r="BO31" s="205"/>
      <c r="BP31" s="386"/>
      <c r="BQ31" s="386"/>
      <c r="BR31" s="386"/>
      <c r="BS31" s="386"/>
      <c r="BT31" s="386"/>
      <c r="BU31" s="386"/>
      <c r="BV31" s="386"/>
      <c r="BW31" s="386"/>
      <c r="BX31" s="386"/>
      <c r="BY31" s="386"/>
      <c r="BZ31" s="386"/>
      <c r="CA31" s="205"/>
      <c r="CB31" s="205"/>
      <c r="CC31" s="386"/>
      <c r="CD31" s="386"/>
      <c r="CE31" s="386"/>
      <c r="CF31" s="386"/>
      <c r="CG31" s="386"/>
      <c r="CH31" s="386"/>
      <c r="CI31" s="386"/>
      <c r="CJ31" s="386"/>
      <c r="CK31" s="386"/>
      <c r="CL31" s="386"/>
      <c r="CM31" s="386"/>
      <c r="CN31" s="205"/>
      <c r="CO31" s="205"/>
      <c r="CP31" s="386"/>
      <c r="CQ31" s="386"/>
      <c r="CR31" s="386"/>
      <c r="CS31" s="386"/>
      <c r="CT31" s="386"/>
      <c r="CU31" s="386"/>
      <c r="CV31" s="386"/>
      <c r="CW31" s="386"/>
      <c r="CX31" s="386"/>
      <c r="CY31" s="386"/>
      <c r="CZ31" s="386"/>
      <c r="DA31" s="205"/>
      <c r="DB31" s="205"/>
      <c r="DC31" s="386"/>
      <c r="DD31" s="386"/>
      <c r="DE31" s="386"/>
      <c r="DF31" s="386"/>
      <c r="DG31" s="386"/>
      <c r="DH31" s="386"/>
      <c r="DI31" s="386"/>
      <c r="DJ31" s="386"/>
      <c r="DK31" s="386"/>
      <c r="DL31" s="386"/>
      <c r="DM31" s="386"/>
      <c r="DN31" s="205"/>
      <c r="DO31" s="205"/>
      <c r="DP31" s="386"/>
      <c r="DQ31" s="386"/>
      <c r="DR31" s="386"/>
      <c r="DS31" s="386"/>
      <c r="DT31" s="386"/>
      <c r="DU31" s="386"/>
      <c r="DV31" s="386"/>
      <c r="DW31" s="386"/>
      <c r="DX31" s="386"/>
      <c r="DY31" s="386"/>
      <c r="DZ31" s="386"/>
      <c r="EA31" s="205"/>
      <c r="EB31" s="205"/>
      <c r="EC31" s="386"/>
      <c r="ED31" s="386"/>
      <c r="EE31" s="386"/>
      <c r="EF31" s="386"/>
      <c r="EG31" s="386"/>
      <c r="EH31" s="386"/>
      <c r="EI31" s="386"/>
      <c r="EJ31" s="386"/>
      <c r="EK31" s="386"/>
      <c r="EL31" s="386"/>
      <c r="EM31" s="386"/>
      <c r="EN31" s="205"/>
      <c r="EO31" s="205"/>
      <c r="EP31" s="386"/>
      <c r="EQ31" s="386"/>
      <c r="ER31" s="386"/>
      <c r="ES31" s="386"/>
      <c r="ET31" s="386"/>
      <c r="EU31" s="386"/>
      <c r="EV31" s="386"/>
      <c r="EW31" s="386"/>
      <c r="EX31" s="386"/>
      <c r="EY31" s="386"/>
      <c r="EZ31" s="386"/>
      <c r="FA31" s="205"/>
      <c r="FB31" s="205"/>
      <c r="FC31" s="386"/>
      <c r="FD31" s="386"/>
      <c r="FE31" s="386"/>
      <c r="FF31" s="386"/>
      <c r="FG31" s="386"/>
      <c r="FH31" s="386"/>
      <c r="FI31" s="386"/>
      <c r="FJ31" s="386"/>
      <c r="FK31" s="386"/>
      <c r="FL31" s="386"/>
      <c r="FM31" s="386"/>
      <c r="FN31" s="205"/>
      <c r="FO31" s="205"/>
      <c r="FP31" s="386"/>
      <c r="FQ31" s="386"/>
      <c r="FR31" s="386"/>
      <c r="FS31" s="386"/>
      <c r="FT31" s="386"/>
      <c r="FU31" s="386"/>
      <c r="FV31" s="386"/>
      <c r="FW31" s="386"/>
      <c r="FX31" s="386"/>
      <c r="FY31" s="386"/>
      <c r="FZ31" s="386"/>
      <c r="GA31" s="205"/>
      <c r="GB31" s="205"/>
      <c r="GC31" s="386"/>
      <c r="GD31" s="386"/>
      <c r="GE31" s="386"/>
      <c r="GF31" s="386"/>
      <c r="GG31" s="386"/>
      <c r="GH31" s="386"/>
      <c r="GI31" s="386"/>
      <c r="GJ31" s="386"/>
      <c r="GK31" s="386"/>
      <c r="GL31" s="386"/>
      <c r="GM31" s="386"/>
      <c r="GN31" s="205"/>
      <c r="GO31" s="205"/>
      <c r="GP31" s="386"/>
      <c r="GQ31" s="386"/>
      <c r="GR31" s="386"/>
      <c r="GS31" s="386"/>
      <c r="GT31" s="386"/>
      <c r="GU31" s="386"/>
      <c r="GV31" s="386"/>
      <c r="GW31" s="386"/>
      <c r="GX31" s="386"/>
      <c r="GY31" s="386"/>
      <c r="GZ31" s="386"/>
      <c r="HA31" s="205"/>
      <c r="HB31" s="205"/>
      <c r="HC31" s="386"/>
      <c r="HD31" s="386"/>
      <c r="HE31" s="386"/>
      <c r="HF31" s="386"/>
      <c r="HG31" s="386"/>
      <c r="HH31" s="386"/>
      <c r="HI31" s="386"/>
      <c r="HJ31" s="386"/>
      <c r="HK31" s="386"/>
      <c r="HL31" s="386"/>
      <c r="HM31" s="386"/>
      <c r="HN31" s="205"/>
      <c r="HO31" s="205"/>
      <c r="HP31" s="386"/>
      <c r="HQ31" s="386"/>
      <c r="HR31" s="386"/>
      <c r="HS31" s="386"/>
      <c r="HT31" s="386"/>
      <c r="HU31" s="386"/>
      <c r="HV31" s="386"/>
      <c r="HW31" s="386"/>
      <c r="HX31" s="386"/>
      <c r="HY31" s="386"/>
      <c r="HZ31" s="386"/>
      <c r="IA31" s="205"/>
      <c r="IB31" s="205"/>
      <c r="IC31" s="386"/>
      <c r="ID31" s="386"/>
      <c r="IE31" s="386"/>
      <c r="IF31" s="386"/>
      <c r="IG31" s="386"/>
      <c r="IH31" s="386"/>
      <c r="II31" s="386"/>
      <c r="IJ31" s="386"/>
      <c r="IK31" s="386"/>
      <c r="IL31" s="386"/>
      <c r="IM31" s="386"/>
      <c r="IN31" s="205"/>
      <c r="IO31" s="205"/>
      <c r="IP31" s="386"/>
      <c r="IQ31" s="386"/>
      <c r="IR31" s="386"/>
      <c r="IS31" s="386"/>
      <c r="IT31" s="386"/>
      <c r="IU31" s="386"/>
      <c r="IV31" s="386"/>
    </row>
    <row r="32" spans="1:256" x14ac:dyDescent="0.2">
      <c r="A32" s="216"/>
      <c r="B32" s="217"/>
      <c r="C32" s="388"/>
      <c r="D32" s="388"/>
      <c r="E32" s="388"/>
      <c r="F32" s="388"/>
      <c r="G32" s="388"/>
      <c r="H32" s="388"/>
      <c r="I32" s="388"/>
      <c r="J32" s="388"/>
      <c r="K32" s="388"/>
      <c r="L32" s="388"/>
      <c r="M32" s="389"/>
      <c r="N32" s="221"/>
      <c r="O32" s="221"/>
      <c r="P32" s="398"/>
      <c r="Q32" s="398"/>
      <c r="R32" s="398"/>
      <c r="S32" s="398"/>
      <c r="T32" s="398"/>
      <c r="U32" s="398"/>
      <c r="V32" s="398"/>
      <c r="W32" s="398"/>
      <c r="X32" s="398"/>
      <c r="Y32" s="398"/>
      <c r="Z32" s="399"/>
      <c r="AA32" s="216"/>
      <c r="AB32" s="217"/>
      <c r="AC32" s="388"/>
      <c r="AD32" s="388"/>
      <c r="AE32" s="388"/>
      <c r="AF32" s="388"/>
      <c r="AG32" s="388"/>
      <c r="AH32" s="388"/>
      <c r="AI32" s="388"/>
      <c r="AJ32" s="388"/>
      <c r="AK32" s="388"/>
      <c r="AL32" s="388"/>
      <c r="AM32" s="389"/>
      <c r="AN32" s="216"/>
      <c r="AO32" s="217"/>
      <c r="AP32" s="388"/>
      <c r="AQ32" s="388"/>
      <c r="AR32" s="388"/>
      <c r="AS32" s="388"/>
      <c r="AT32" s="388"/>
      <c r="AU32" s="388"/>
      <c r="AV32" s="388"/>
      <c r="AW32" s="388"/>
      <c r="AX32" s="388"/>
      <c r="AY32" s="388"/>
      <c r="AZ32" s="389"/>
      <c r="BA32" s="216"/>
      <c r="BB32" s="217"/>
      <c r="BC32" s="388"/>
      <c r="BD32" s="388"/>
      <c r="BE32" s="388"/>
      <c r="BF32" s="388"/>
      <c r="BG32" s="388"/>
      <c r="BH32" s="388"/>
      <c r="BI32" s="388"/>
      <c r="BJ32" s="388"/>
      <c r="BK32" s="388"/>
      <c r="BL32" s="388"/>
      <c r="BM32" s="389"/>
      <c r="BN32" s="216"/>
      <c r="BO32" s="217"/>
      <c r="BP32" s="388"/>
      <c r="BQ32" s="388"/>
      <c r="BR32" s="388"/>
      <c r="BS32" s="388"/>
      <c r="BT32" s="388"/>
      <c r="BU32" s="388"/>
      <c r="BV32" s="388"/>
      <c r="BW32" s="388"/>
      <c r="BX32" s="388"/>
      <c r="BY32" s="388"/>
      <c r="BZ32" s="389"/>
      <c r="CA32" s="216"/>
      <c r="CB32" s="217"/>
      <c r="CC32" s="388"/>
      <c r="CD32" s="388"/>
      <c r="CE32" s="388"/>
      <c r="CF32" s="388"/>
      <c r="CG32" s="388"/>
      <c r="CH32" s="388"/>
      <c r="CI32" s="388"/>
      <c r="CJ32" s="388"/>
      <c r="CK32" s="388"/>
      <c r="CL32" s="388"/>
      <c r="CM32" s="389"/>
      <c r="CN32" s="216"/>
      <c r="CO32" s="217"/>
      <c r="CP32" s="388"/>
      <c r="CQ32" s="388"/>
      <c r="CR32" s="388"/>
      <c r="CS32" s="388"/>
      <c r="CT32" s="388"/>
      <c r="CU32" s="388"/>
      <c r="CV32" s="388"/>
      <c r="CW32" s="388"/>
      <c r="CX32" s="388"/>
      <c r="CY32" s="388"/>
      <c r="CZ32" s="389"/>
      <c r="DA32" s="216"/>
      <c r="DB32" s="217"/>
      <c r="DC32" s="388"/>
      <c r="DD32" s="388"/>
      <c r="DE32" s="388"/>
      <c r="DF32" s="388"/>
      <c r="DG32" s="388"/>
      <c r="DH32" s="388"/>
      <c r="DI32" s="388"/>
      <c r="DJ32" s="388"/>
      <c r="DK32" s="388"/>
      <c r="DL32" s="388"/>
      <c r="DM32" s="389"/>
      <c r="DN32" s="216"/>
      <c r="DO32" s="217"/>
      <c r="DP32" s="388"/>
      <c r="DQ32" s="388"/>
      <c r="DR32" s="388"/>
      <c r="DS32" s="388"/>
      <c r="DT32" s="388"/>
      <c r="DU32" s="388"/>
      <c r="DV32" s="388"/>
      <c r="DW32" s="388"/>
      <c r="DX32" s="388"/>
      <c r="DY32" s="388"/>
      <c r="DZ32" s="389"/>
      <c r="EA32" s="216"/>
      <c r="EB32" s="217"/>
      <c r="EC32" s="388"/>
      <c r="ED32" s="388"/>
      <c r="EE32" s="388"/>
      <c r="EF32" s="388"/>
      <c r="EG32" s="388"/>
      <c r="EH32" s="388"/>
      <c r="EI32" s="388"/>
      <c r="EJ32" s="388"/>
      <c r="EK32" s="388"/>
      <c r="EL32" s="388"/>
      <c r="EM32" s="389"/>
      <c r="EN32" s="216"/>
      <c r="EO32" s="217"/>
      <c r="EP32" s="388"/>
      <c r="EQ32" s="388"/>
      <c r="ER32" s="388"/>
      <c r="ES32" s="388"/>
      <c r="ET32" s="388"/>
      <c r="EU32" s="388"/>
      <c r="EV32" s="388"/>
      <c r="EW32" s="388"/>
      <c r="EX32" s="388"/>
      <c r="EY32" s="388"/>
      <c r="EZ32" s="389"/>
      <c r="FA32" s="216"/>
      <c r="FB32" s="217"/>
      <c r="FC32" s="388"/>
      <c r="FD32" s="388"/>
      <c r="FE32" s="388"/>
      <c r="FF32" s="388"/>
      <c r="FG32" s="388"/>
      <c r="FH32" s="388"/>
      <c r="FI32" s="388"/>
      <c r="FJ32" s="388"/>
      <c r="FK32" s="388"/>
      <c r="FL32" s="388"/>
      <c r="FM32" s="389"/>
      <c r="FN32" s="216"/>
      <c r="FO32" s="217"/>
      <c r="FP32" s="388"/>
      <c r="FQ32" s="388"/>
      <c r="FR32" s="388"/>
      <c r="FS32" s="388"/>
      <c r="FT32" s="388"/>
      <c r="FU32" s="388"/>
      <c r="FV32" s="388"/>
      <c r="FW32" s="388"/>
      <c r="FX32" s="388"/>
      <c r="FY32" s="388"/>
      <c r="FZ32" s="389"/>
      <c r="GA32" s="216"/>
      <c r="GB32" s="217"/>
      <c r="GC32" s="388"/>
      <c r="GD32" s="388"/>
      <c r="GE32" s="388"/>
      <c r="GF32" s="388"/>
      <c r="GG32" s="388"/>
      <c r="GH32" s="388"/>
      <c r="GI32" s="388"/>
      <c r="GJ32" s="388"/>
      <c r="GK32" s="388"/>
      <c r="GL32" s="388"/>
      <c r="GM32" s="389"/>
      <c r="GN32" s="216"/>
      <c r="GO32" s="217"/>
      <c r="GP32" s="388"/>
      <c r="GQ32" s="388"/>
      <c r="GR32" s="388"/>
      <c r="GS32" s="388"/>
      <c r="GT32" s="388"/>
      <c r="GU32" s="388"/>
      <c r="GV32" s="388"/>
      <c r="GW32" s="388"/>
      <c r="GX32" s="388"/>
      <c r="GY32" s="388"/>
      <c r="GZ32" s="389"/>
      <c r="HA32" s="216"/>
      <c r="HB32" s="217"/>
      <c r="HC32" s="388"/>
      <c r="HD32" s="388"/>
      <c r="HE32" s="388"/>
      <c r="HF32" s="388"/>
      <c r="HG32" s="388"/>
      <c r="HH32" s="388"/>
      <c r="HI32" s="388"/>
      <c r="HJ32" s="388"/>
      <c r="HK32" s="388"/>
      <c r="HL32" s="388"/>
      <c r="HM32" s="389"/>
      <c r="HN32" s="216"/>
      <c r="HO32" s="217"/>
      <c r="HP32" s="388"/>
      <c r="HQ32" s="388"/>
      <c r="HR32" s="388"/>
      <c r="HS32" s="388"/>
      <c r="HT32" s="388"/>
      <c r="HU32" s="388"/>
      <c r="HV32" s="388"/>
      <c r="HW32" s="388"/>
      <c r="HX32" s="388"/>
      <c r="HY32" s="388"/>
      <c r="HZ32" s="389"/>
      <c r="IA32" s="216"/>
      <c r="IB32" s="217"/>
      <c r="IC32" s="388"/>
      <c r="ID32" s="388"/>
      <c r="IE32" s="388"/>
      <c r="IF32" s="388"/>
      <c r="IG32" s="388"/>
      <c r="IH32" s="388"/>
      <c r="II32" s="388"/>
      <c r="IJ32" s="388"/>
      <c r="IK32" s="388"/>
      <c r="IL32" s="388"/>
      <c r="IM32" s="389"/>
      <c r="IN32" s="216"/>
      <c r="IO32" s="217"/>
      <c r="IP32" s="388"/>
      <c r="IQ32" s="388"/>
      <c r="IR32" s="388"/>
      <c r="IS32" s="388"/>
      <c r="IT32" s="388"/>
      <c r="IU32" s="388"/>
      <c r="IV32" s="388"/>
    </row>
    <row r="33" spans="1:256" x14ac:dyDescent="0.2">
      <c r="A33" s="216"/>
      <c r="B33" s="217"/>
      <c r="C33" s="388"/>
      <c r="D33" s="388"/>
      <c r="E33" s="388"/>
      <c r="F33" s="388"/>
      <c r="G33" s="388"/>
      <c r="H33" s="388"/>
      <c r="I33" s="388"/>
      <c r="J33" s="388"/>
      <c r="K33" s="388"/>
      <c r="L33" s="388"/>
      <c r="M33" s="389"/>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88"/>
      <c r="D34" s="388"/>
      <c r="E34" s="388"/>
      <c r="F34" s="388"/>
      <c r="G34" s="388"/>
      <c r="H34" s="388"/>
      <c r="I34" s="388"/>
      <c r="J34" s="388"/>
      <c r="K34" s="388"/>
      <c r="L34" s="388"/>
      <c r="M34" s="389"/>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88"/>
      <c r="D35" s="388"/>
      <c r="E35" s="388"/>
      <c r="F35" s="388"/>
      <c r="G35" s="388"/>
      <c r="H35" s="388"/>
      <c r="I35" s="388"/>
      <c r="J35" s="388"/>
      <c r="K35" s="388"/>
      <c r="L35" s="388"/>
      <c r="M35" s="389"/>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88"/>
      <c r="D36" s="388"/>
      <c r="E36" s="388"/>
      <c r="F36" s="388"/>
      <c r="G36" s="388"/>
      <c r="H36" s="388"/>
      <c r="I36" s="388"/>
      <c r="J36" s="388"/>
      <c r="K36" s="388"/>
      <c r="L36" s="388"/>
      <c r="M36" s="389"/>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88"/>
      <c r="D37" s="388"/>
      <c r="E37" s="388"/>
      <c r="F37" s="388"/>
      <c r="G37" s="388"/>
      <c r="H37" s="388"/>
      <c r="I37" s="388"/>
      <c r="J37" s="388"/>
      <c r="K37" s="388"/>
      <c r="L37" s="388"/>
      <c r="M37" s="389"/>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88"/>
      <c r="D38" s="388"/>
      <c r="E38" s="388"/>
      <c r="F38" s="388"/>
      <c r="G38" s="388"/>
      <c r="H38" s="388"/>
      <c r="I38" s="388"/>
      <c r="J38" s="388"/>
      <c r="K38" s="388"/>
      <c r="L38" s="388"/>
      <c r="M38" s="389"/>
      <c r="N38" s="209"/>
      <c r="O38" s="209"/>
      <c r="P38" s="387"/>
      <c r="Q38" s="387"/>
      <c r="R38" s="387"/>
      <c r="S38" s="387"/>
      <c r="T38" s="387"/>
      <c r="U38" s="387"/>
      <c r="V38" s="387"/>
      <c r="W38" s="387"/>
      <c r="X38" s="387"/>
      <c r="Y38" s="387"/>
      <c r="Z38" s="387"/>
      <c r="AA38" s="205"/>
      <c r="AB38" s="205"/>
      <c r="AC38" s="386"/>
      <c r="AD38" s="386"/>
      <c r="AE38" s="386"/>
      <c r="AF38" s="386"/>
      <c r="AG38" s="386"/>
      <c r="AH38" s="386"/>
      <c r="AI38" s="386"/>
      <c r="AJ38" s="386"/>
      <c r="AK38" s="386"/>
      <c r="AL38" s="386"/>
      <c r="AM38" s="386"/>
      <c r="AN38" s="205"/>
      <c r="AO38" s="205"/>
      <c r="AP38" s="386"/>
      <c r="AQ38" s="386"/>
      <c r="AR38" s="386"/>
      <c r="AS38" s="386"/>
      <c r="AT38" s="386"/>
      <c r="AU38" s="386"/>
      <c r="AV38" s="386"/>
      <c r="AW38" s="386"/>
      <c r="AX38" s="386"/>
      <c r="AY38" s="386"/>
      <c r="AZ38" s="386"/>
      <c r="BA38" s="205"/>
      <c r="BB38" s="205"/>
      <c r="BC38" s="386"/>
      <c r="BD38" s="386"/>
      <c r="BE38" s="386"/>
      <c r="BF38" s="386"/>
      <c r="BG38" s="386"/>
      <c r="BH38" s="386"/>
      <c r="BI38" s="386"/>
      <c r="BJ38" s="386"/>
      <c r="BK38" s="386"/>
      <c r="BL38" s="386"/>
      <c r="BM38" s="386"/>
      <c r="BN38" s="205"/>
      <c r="BO38" s="205"/>
      <c r="BP38" s="386"/>
      <c r="BQ38" s="386"/>
      <c r="BR38" s="386"/>
      <c r="BS38" s="386"/>
      <c r="BT38" s="386"/>
      <c r="BU38" s="386"/>
      <c r="BV38" s="386"/>
      <c r="BW38" s="386"/>
      <c r="BX38" s="386"/>
      <c r="BY38" s="386"/>
      <c r="BZ38" s="386"/>
      <c r="CA38" s="205"/>
      <c r="CB38" s="205"/>
      <c r="CC38" s="386"/>
      <c r="CD38" s="386"/>
      <c r="CE38" s="386"/>
      <c r="CF38" s="386"/>
      <c r="CG38" s="386"/>
      <c r="CH38" s="386"/>
      <c r="CI38" s="386"/>
      <c r="CJ38" s="386"/>
      <c r="CK38" s="386"/>
      <c r="CL38" s="386"/>
      <c r="CM38" s="386"/>
      <c r="CN38" s="205"/>
      <c r="CO38" s="205"/>
      <c r="CP38" s="386"/>
      <c r="CQ38" s="386"/>
      <c r="CR38" s="386"/>
      <c r="CS38" s="386"/>
      <c r="CT38" s="386"/>
      <c r="CU38" s="386"/>
      <c r="CV38" s="386"/>
      <c r="CW38" s="386"/>
      <c r="CX38" s="386"/>
      <c r="CY38" s="386"/>
      <c r="CZ38" s="386"/>
      <c r="DA38" s="205"/>
      <c r="DB38" s="205"/>
      <c r="DC38" s="386"/>
      <c r="DD38" s="386"/>
      <c r="DE38" s="386"/>
      <c r="DF38" s="386"/>
      <c r="DG38" s="386"/>
      <c r="DH38" s="386"/>
      <c r="DI38" s="386"/>
      <c r="DJ38" s="386"/>
      <c r="DK38" s="386"/>
      <c r="DL38" s="386"/>
      <c r="DM38" s="386"/>
      <c r="DN38" s="205"/>
      <c r="DO38" s="205"/>
      <c r="DP38" s="386"/>
      <c r="DQ38" s="386"/>
      <c r="DR38" s="386"/>
      <c r="DS38" s="386"/>
      <c r="DT38" s="386"/>
      <c r="DU38" s="386"/>
      <c r="DV38" s="386"/>
      <c r="DW38" s="386"/>
      <c r="DX38" s="386"/>
      <c r="DY38" s="386"/>
      <c r="DZ38" s="386"/>
      <c r="EA38" s="205"/>
      <c r="EB38" s="205"/>
      <c r="EC38" s="386"/>
      <c r="ED38" s="386"/>
      <c r="EE38" s="386"/>
      <c r="EF38" s="386"/>
      <c r="EG38" s="386"/>
      <c r="EH38" s="386"/>
      <c r="EI38" s="386"/>
      <c r="EJ38" s="386"/>
      <c r="EK38" s="386"/>
      <c r="EL38" s="386"/>
      <c r="EM38" s="386"/>
      <c r="EN38" s="205"/>
      <c r="EO38" s="205"/>
      <c r="EP38" s="386"/>
      <c r="EQ38" s="386"/>
      <c r="ER38" s="386"/>
      <c r="ES38" s="386"/>
      <c r="ET38" s="386"/>
      <c r="EU38" s="386"/>
      <c r="EV38" s="386"/>
      <c r="EW38" s="386"/>
      <c r="EX38" s="386"/>
      <c r="EY38" s="386"/>
      <c r="EZ38" s="386"/>
      <c r="FA38" s="205"/>
      <c r="FB38" s="205"/>
      <c r="FC38" s="386"/>
      <c r="FD38" s="386"/>
      <c r="FE38" s="386"/>
      <c r="FF38" s="386"/>
      <c r="FG38" s="386"/>
      <c r="FH38" s="386"/>
      <c r="FI38" s="386"/>
      <c r="FJ38" s="386"/>
      <c r="FK38" s="386"/>
      <c r="FL38" s="386"/>
      <c r="FM38" s="386"/>
      <c r="FN38" s="205"/>
      <c r="FO38" s="205"/>
      <c r="FP38" s="386"/>
      <c r="FQ38" s="386"/>
      <c r="FR38" s="386"/>
      <c r="FS38" s="386"/>
      <c r="FT38" s="386"/>
      <c r="FU38" s="386"/>
      <c r="FV38" s="386"/>
      <c r="FW38" s="386"/>
      <c r="FX38" s="386"/>
      <c r="FY38" s="386"/>
      <c r="FZ38" s="386"/>
      <c r="GA38" s="205"/>
      <c r="GB38" s="205"/>
      <c r="GC38" s="386"/>
      <c r="GD38" s="386"/>
      <c r="GE38" s="386"/>
      <c r="GF38" s="386"/>
      <c r="GG38" s="386"/>
      <c r="GH38" s="386"/>
      <c r="GI38" s="386"/>
      <c r="GJ38" s="386"/>
      <c r="GK38" s="386"/>
      <c r="GL38" s="386"/>
      <c r="GM38" s="386"/>
      <c r="GN38" s="205"/>
      <c r="GO38" s="205"/>
      <c r="GP38" s="386"/>
      <c r="GQ38" s="386"/>
      <c r="GR38" s="386"/>
      <c r="GS38" s="386"/>
      <c r="GT38" s="386"/>
      <c r="GU38" s="386"/>
      <c r="GV38" s="386"/>
      <c r="GW38" s="386"/>
      <c r="GX38" s="386"/>
      <c r="GY38" s="386"/>
      <c r="GZ38" s="386"/>
      <c r="HA38" s="205"/>
      <c r="HB38" s="205"/>
      <c r="HC38" s="386"/>
      <c r="HD38" s="386"/>
      <c r="HE38" s="386"/>
      <c r="HF38" s="386"/>
      <c r="HG38" s="386"/>
      <c r="HH38" s="386"/>
      <c r="HI38" s="386"/>
      <c r="HJ38" s="386"/>
      <c r="HK38" s="386"/>
      <c r="HL38" s="386"/>
      <c r="HM38" s="386"/>
      <c r="HN38" s="205"/>
      <c r="HO38" s="205"/>
      <c r="HP38" s="386"/>
      <c r="HQ38" s="386"/>
      <c r="HR38" s="386"/>
      <c r="HS38" s="386"/>
      <c r="HT38" s="386"/>
      <c r="HU38" s="386"/>
      <c r="HV38" s="386"/>
      <c r="HW38" s="386"/>
      <c r="HX38" s="386"/>
      <c r="HY38" s="386"/>
      <c r="HZ38" s="386"/>
      <c r="IA38" s="205"/>
      <c r="IB38" s="205"/>
      <c r="IC38" s="386"/>
      <c r="ID38" s="386"/>
      <c r="IE38" s="386"/>
      <c r="IF38" s="386"/>
      <c r="IG38" s="386"/>
      <c r="IH38" s="386"/>
      <c r="II38" s="386"/>
      <c r="IJ38" s="386"/>
      <c r="IK38" s="386"/>
      <c r="IL38" s="386"/>
      <c r="IM38" s="386"/>
      <c r="IN38" s="205"/>
      <c r="IO38" s="205"/>
      <c r="IP38" s="386"/>
      <c r="IQ38" s="386"/>
      <c r="IR38" s="386"/>
      <c r="IS38" s="386"/>
      <c r="IT38" s="386"/>
      <c r="IU38" s="386"/>
      <c r="IV38" s="386"/>
    </row>
    <row r="39" spans="1:256" x14ac:dyDescent="0.2">
      <c r="A39" s="216"/>
      <c r="B39" s="217"/>
      <c r="C39" s="388"/>
      <c r="D39" s="388"/>
      <c r="E39" s="388"/>
      <c r="F39" s="388"/>
      <c r="G39" s="388"/>
      <c r="H39" s="388"/>
      <c r="I39" s="388"/>
      <c r="J39" s="388"/>
      <c r="K39" s="388"/>
      <c r="L39" s="388"/>
      <c r="M39" s="389"/>
      <c r="N39" s="209"/>
      <c r="O39" s="209"/>
      <c r="P39" s="387"/>
      <c r="Q39" s="387"/>
      <c r="R39" s="387"/>
      <c r="S39" s="387"/>
      <c r="T39" s="387"/>
      <c r="U39" s="387"/>
      <c r="V39" s="387"/>
      <c r="W39" s="387"/>
      <c r="X39" s="387"/>
      <c r="Y39" s="387"/>
      <c r="Z39" s="387"/>
      <c r="AA39" s="205"/>
      <c r="AB39" s="205"/>
      <c r="AC39" s="386"/>
      <c r="AD39" s="386"/>
      <c r="AE39" s="386"/>
      <c r="AF39" s="386"/>
      <c r="AG39" s="386"/>
      <c r="AH39" s="386"/>
      <c r="AI39" s="386"/>
      <c r="AJ39" s="386"/>
      <c r="AK39" s="386"/>
      <c r="AL39" s="386"/>
      <c r="AM39" s="386"/>
      <c r="AN39" s="205"/>
      <c r="AO39" s="205"/>
      <c r="AP39" s="386"/>
      <c r="AQ39" s="386"/>
      <c r="AR39" s="386"/>
      <c r="AS39" s="386"/>
      <c r="AT39" s="386"/>
      <c r="AU39" s="386"/>
      <c r="AV39" s="386"/>
      <c r="AW39" s="386"/>
      <c r="AX39" s="386"/>
      <c r="AY39" s="386"/>
      <c r="AZ39" s="386"/>
      <c r="BA39" s="205"/>
      <c r="BB39" s="205"/>
      <c r="BC39" s="386"/>
      <c r="BD39" s="386"/>
      <c r="BE39" s="386"/>
      <c r="BF39" s="386"/>
      <c r="BG39" s="386"/>
      <c r="BH39" s="386"/>
      <c r="BI39" s="386"/>
      <c r="BJ39" s="386"/>
      <c r="BK39" s="386"/>
      <c r="BL39" s="386"/>
      <c r="BM39" s="386"/>
      <c r="BN39" s="205"/>
      <c r="BO39" s="205"/>
      <c r="BP39" s="386"/>
      <c r="BQ39" s="386"/>
      <c r="BR39" s="386"/>
      <c r="BS39" s="386"/>
      <c r="BT39" s="386"/>
      <c r="BU39" s="386"/>
      <c r="BV39" s="386"/>
      <c r="BW39" s="386"/>
      <c r="BX39" s="386"/>
      <c r="BY39" s="386"/>
      <c r="BZ39" s="386"/>
      <c r="CA39" s="205"/>
      <c r="CB39" s="205"/>
      <c r="CC39" s="386"/>
      <c r="CD39" s="386"/>
      <c r="CE39" s="386"/>
      <c r="CF39" s="386"/>
      <c r="CG39" s="386"/>
      <c r="CH39" s="386"/>
      <c r="CI39" s="386"/>
      <c r="CJ39" s="386"/>
      <c r="CK39" s="386"/>
      <c r="CL39" s="386"/>
      <c r="CM39" s="386"/>
      <c r="CN39" s="205"/>
      <c r="CO39" s="205"/>
      <c r="CP39" s="386"/>
      <c r="CQ39" s="386"/>
      <c r="CR39" s="386"/>
      <c r="CS39" s="386"/>
      <c r="CT39" s="386"/>
      <c r="CU39" s="386"/>
      <c r="CV39" s="386"/>
      <c r="CW39" s="386"/>
      <c r="CX39" s="386"/>
      <c r="CY39" s="386"/>
      <c r="CZ39" s="386"/>
      <c r="DA39" s="205"/>
      <c r="DB39" s="205"/>
      <c r="DC39" s="386"/>
      <c r="DD39" s="386"/>
      <c r="DE39" s="386"/>
      <c r="DF39" s="386"/>
      <c r="DG39" s="386"/>
      <c r="DH39" s="386"/>
      <c r="DI39" s="386"/>
      <c r="DJ39" s="386"/>
      <c r="DK39" s="386"/>
      <c r="DL39" s="386"/>
      <c r="DM39" s="386"/>
      <c r="DN39" s="205"/>
      <c r="DO39" s="205"/>
      <c r="DP39" s="386"/>
      <c r="DQ39" s="386"/>
      <c r="DR39" s="386"/>
      <c r="DS39" s="386"/>
      <c r="DT39" s="386"/>
      <c r="DU39" s="386"/>
      <c r="DV39" s="386"/>
      <c r="DW39" s="386"/>
      <c r="DX39" s="386"/>
      <c r="DY39" s="386"/>
      <c r="DZ39" s="386"/>
      <c r="EA39" s="205"/>
      <c r="EB39" s="205"/>
      <c r="EC39" s="386"/>
      <c r="ED39" s="386"/>
      <c r="EE39" s="386"/>
      <c r="EF39" s="386"/>
      <c r="EG39" s="386"/>
      <c r="EH39" s="386"/>
      <c r="EI39" s="386"/>
      <c r="EJ39" s="386"/>
      <c r="EK39" s="386"/>
      <c r="EL39" s="386"/>
      <c r="EM39" s="386"/>
      <c r="EN39" s="205"/>
      <c r="EO39" s="205"/>
      <c r="EP39" s="386"/>
      <c r="EQ39" s="386"/>
      <c r="ER39" s="386"/>
      <c r="ES39" s="386"/>
      <c r="ET39" s="386"/>
      <c r="EU39" s="386"/>
      <c r="EV39" s="386"/>
      <c r="EW39" s="386"/>
      <c r="EX39" s="386"/>
      <c r="EY39" s="386"/>
      <c r="EZ39" s="386"/>
      <c r="FA39" s="205"/>
      <c r="FB39" s="205"/>
      <c r="FC39" s="386"/>
      <c r="FD39" s="386"/>
      <c r="FE39" s="386"/>
      <c r="FF39" s="386"/>
      <c r="FG39" s="386"/>
      <c r="FH39" s="386"/>
      <c r="FI39" s="386"/>
      <c r="FJ39" s="386"/>
      <c r="FK39" s="386"/>
      <c r="FL39" s="386"/>
      <c r="FM39" s="386"/>
      <c r="FN39" s="205"/>
      <c r="FO39" s="205"/>
      <c r="FP39" s="386"/>
      <c r="FQ39" s="386"/>
      <c r="FR39" s="386"/>
      <c r="FS39" s="386"/>
      <c r="FT39" s="386"/>
      <c r="FU39" s="386"/>
      <c r="FV39" s="386"/>
      <c r="FW39" s="386"/>
      <c r="FX39" s="386"/>
      <c r="FY39" s="386"/>
      <c r="FZ39" s="386"/>
      <c r="GA39" s="205"/>
      <c r="GB39" s="205"/>
      <c r="GC39" s="386"/>
      <c r="GD39" s="386"/>
      <c r="GE39" s="386"/>
      <c r="GF39" s="386"/>
      <c r="GG39" s="386"/>
      <c r="GH39" s="386"/>
      <c r="GI39" s="386"/>
      <c r="GJ39" s="386"/>
      <c r="GK39" s="386"/>
      <c r="GL39" s="386"/>
      <c r="GM39" s="386"/>
      <c r="GN39" s="205"/>
      <c r="GO39" s="205"/>
      <c r="GP39" s="386"/>
      <c r="GQ39" s="386"/>
      <c r="GR39" s="386"/>
      <c r="GS39" s="386"/>
      <c r="GT39" s="386"/>
      <c r="GU39" s="386"/>
      <c r="GV39" s="386"/>
      <c r="GW39" s="386"/>
      <c r="GX39" s="386"/>
      <c r="GY39" s="386"/>
      <c r="GZ39" s="386"/>
      <c r="HA39" s="205"/>
      <c r="HB39" s="205"/>
      <c r="HC39" s="386"/>
      <c r="HD39" s="386"/>
      <c r="HE39" s="386"/>
      <c r="HF39" s="386"/>
      <c r="HG39" s="386"/>
      <c r="HH39" s="386"/>
      <c r="HI39" s="386"/>
      <c r="HJ39" s="386"/>
      <c r="HK39" s="386"/>
      <c r="HL39" s="386"/>
      <c r="HM39" s="386"/>
      <c r="HN39" s="205"/>
      <c r="HO39" s="205"/>
      <c r="HP39" s="386"/>
      <c r="HQ39" s="386"/>
      <c r="HR39" s="386"/>
      <c r="HS39" s="386"/>
      <c r="HT39" s="386"/>
      <c r="HU39" s="386"/>
      <c r="HV39" s="386"/>
      <c r="HW39" s="386"/>
      <c r="HX39" s="386"/>
      <c r="HY39" s="386"/>
      <c r="HZ39" s="386"/>
      <c r="IA39" s="205"/>
      <c r="IB39" s="205"/>
      <c r="IC39" s="386"/>
      <c r="ID39" s="386"/>
      <c r="IE39" s="386"/>
      <c r="IF39" s="386"/>
      <c r="IG39" s="386"/>
      <c r="IH39" s="386"/>
      <c r="II39" s="386"/>
      <c r="IJ39" s="386"/>
      <c r="IK39" s="386"/>
      <c r="IL39" s="386"/>
      <c r="IM39" s="386"/>
      <c r="IN39" s="205"/>
      <c r="IO39" s="205"/>
      <c r="IP39" s="386"/>
      <c r="IQ39" s="386"/>
      <c r="IR39" s="386"/>
      <c r="IS39" s="386"/>
      <c r="IT39" s="386"/>
      <c r="IU39" s="386"/>
      <c r="IV39" s="386"/>
    </row>
    <row r="40" spans="1:256" x14ac:dyDescent="0.2">
      <c r="A40" s="216"/>
      <c r="B40" s="217"/>
      <c r="C40" s="388"/>
      <c r="D40" s="388"/>
      <c r="E40" s="388"/>
      <c r="F40" s="388"/>
      <c r="G40" s="388"/>
      <c r="H40" s="388"/>
      <c r="I40" s="388"/>
      <c r="J40" s="388"/>
      <c r="K40" s="388"/>
      <c r="L40" s="388"/>
      <c r="M40" s="389"/>
      <c r="N40" s="209"/>
      <c r="O40" s="209"/>
      <c r="P40" s="387"/>
      <c r="Q40" s="387"/>
      <c r="R40" s="387"/>
      <c r="S40" s="387"/>
      <c r="T40" s="387"/>
      <c r="U40" s="387"/>
      <c r="V40" s="387"/>
      <c r="W40" s="387"/>
      <c r="X40" s="387"/>
      <c r="Y40" s="387"/>
      <c r="Z40" s="387"/>
      <c r="AA40" s="205"/>
      <c r="AB40" s="205"/>
      <c r="AC40" s="386"/>
      <c r="AD40" s="386"/>
      <c r="AE40" s="386"/>
      <c r="AF40" s="386"/>
      <c r="AG40" s="386"/>
      <c r="AH40" s="386"/>
      <c r="AI40" s="386"/>
      <c r="AJ40" s="386"/>
      <c r="AK40" s="386"/>
      <c r="AL40" s="386"/>
      <c r="AM40" s="386"/>
      <c r="AN40" s="205"/>
      <c r="AO40" s="205"/>
      <c r="AP40" s="386"/>
      <c r="AQ40" s="386"/>
      <c r="AR40" s="386"/>
      <c r="AS40" s="386"/>
      <c r="AT40" s="386"/>
      <c r="AU40" s="386"/>
      <c r="AV40" s="386"/>
      <c r="AW40" s="386"/>
      <c r="AX40" s="386"/>
      <c r="AY40" s="386"/>
      <c r="AZ40" s="386"/>
      <c r="BA40" s="205"/>
      <c r="BB40" s="205"/>
      <c r="BC40" s="386"/>
      <c r="BD40" s="386"/>
      <c r="BE40" s="386"/>
      <c r="BF40" s="386"/>
      <c r="BG40" s="386"/>
      <c r="BH40" s="386"/>
      <c r="BI40" s="386"/>
      <c r="BJ40" s="386"/>
      <c r="BK40" s="386"/>
      <c r="BL40" s="386"/>
      <c r="BM40" s="386"/>
      <c r="BN40" s="205"/>
      <c r="BO40" s="205"/>
      <c r="BP40" s="386"/>
      <c r="BQ40" s="386"/>
      <c r="BR40" s="386"/>
      <c r="BS40" s="386"/>
      <c r="BT40" s="386"/>
      <c r="BU40" s="386"/>
      <c r="BV40" s="386"/>
      <c r="BW40" s="386"/>
      <c r="BX40" s="386"/>
      <c r="BY40" s="386"/>
      <c r="BZ40" s="386"/>
      <c r="CA40" s="205"/>
      <c r="CB40" s="205"/>
      <c r="CC40" s="386"/>
      <c r="CD40" s="386"/>
      <c r="CE40" s="386"/>
      <c r="CF40" s="386"/>
      <c r="CG40" s="386"/>
      <c r="CH40" s="386"/>
      <c r="CI40" s="386"/>
      <c r="CJ40" s="386"/>
      <c r="CK40" s="386"/>
      <c r="CL40" s="386"/>
      <c r="CM40" s="386"/>
      <c r="CN40" s="205"/>
      <c r="CO40" s="205"/>
      <c r="CP40" s="386"/>
      <c r="CQ40" s="386"/>
      <c r="CR40" s="386"/>
      <c r="CS40" s="386"/>
      <c r="CT40" s="386"/>
      <c r="CU40" s="386"/>
      <c r="CV40" s="386"/>
      <c r="CW40" s="386"/>
      <c r="CX40" s="386"/>
      <c r="CY40" s="386"/>
      <c r="CZ40" s="386"/>
      <c r="DA40" s="205"/>
      <c r="DB40" s="205"/>
      <c r="DC40" s="386"/>
      <c r="DD40" s="386"/>
      <c r="DE40" s="386"/>
      <c r="DF40" s="386"/>
      <c r="DG40" s="386"/>
      <c r="DH40" s="386"/>
      <c r="DI40" s="386"/>
      <c r="DJ40" s="386"/>
      <c r="DK40" s="386"/>
      <c r="DL40" s="386"/>
      <c r="DM40" s="386"/>
      <c r="DN40" s="205"/>
      <c r="DO40" s="205"/>
      <c r="DP40" s="386"/>
      <c r="DQ40" s="386"/>
      <c r="DR40" s="386"/>
      <c r="DS40" s="386"/>
      <c r="DT40" s="386"/>
      <c r="DU40" s="386"/>
      <c r="DV40" s="386"/>
      <c r="DW40" s="386"/>
      <c r="DX40" s="386"/>
      <c r="DY40" s="386"/>
      <c r="DZ40" s="386"/>
      <c r="EA40" s="205"/>
      <c r="EB40" s="205"/>
      <c r="EC40" s="386"/>
      <c r="ED40" s="386"/>
      <c r="EE40" s="386"/>
      <c r="EF40" s="386"/>
      <c r="EG40" s="386"/>
      <c r="EH40" s="386"/>
      <c r="EI40" s="386"/>
      <c r="EJ40" s="386"/>
      <c r="EK40" s="386"/>
      <c r="EL40" s="386"/>
      <c r="EM40" s="386"/>
      <c r="EN40" s="205"/>
      <c r="EO40" s="205"/>
      <c r="EP40" s="386"/>
      <c r="EQ40" s="386"/>
      <c r="ER40" s="386"/>
      <c r="ES40" s="386"/>
      <c r="ET40" s="386"/>
      <c r="EU40" s="386"/>
      <c r="EV40" s="386"/>
      <c r="EW40" s="386"/>
      <c r="EX40" s="386"/>
      <c r="EY40" s="386"/>
      <c r="EZ40" s="386"/>
      <c r="FA40" s="205"/>
      <c r="FB40" s="205"/>
      <c r="FC40" s="386"/>
      <c r="FD40" s="386"/>
      <c r="FE40" s="386"/>
      <c r="FF40" s="386"/>
      <c r="FG40" s="386"/>
      <c r="FH40" s="386"/>
      <c r="FI40" s="386"/>
      <c r="FJ40" s="386"/>
      <c r="FK40" s="386"/>
      <c r="FL40" s="386"/>
      <c r="FM40" s="386"/>
      <c r="FN40" s="205"/>
      <c r="FO40" s="205"/>
      <c r="FP40" s="386"/>
      <c r="FQ40" s="386"/>
      <c r="FR40" s="386"/>
      <c r="FS40" s="386"/>
      <c r="FT40" s="386"/>
      <c r="FU40" s="386"/>
      <c r="FV40" s="386"/>
      <c r="FW40" s="386"/>
      <c r="FX40" s="386"/>
      <c r="FY40" s="386"/>
      <c r="FZ40" s="386"/>
      <c r="GA40" s="205"/>
      <c r="GB40" s="205"/>
      <c r="GC40" s="386"/>
      <c r="GD40" s="386"/>
      <c r="GE40" s="386"/>
      <c r="GF40" s="386"/>
      <c r="GG40" s="386"/>
      <c r="GH40" s="386"/>
      <c r="GI40" s="386"/>
      <c r="GJ40" s="386"/>
      <c r="GK40" s="386"/>
      <c r="GL40" s="386"/>
      <c r="GM40" s="386"/>
      <c r="GN40" s="205"/>
      <c r="GO40" s="205"/>
      <c r="GP40" s="386"/>
      <c r="GQ40" s="386"/>
      <c r="GR40" s="386"/>
      <c r="GS40" s="386"/>
      <c r="GT40" s="386"/>
      <c r="GU40" s="386"/>
      <c r="GV40" s="386"/>
      <c r="GW40" s="386"/>
      <c r="GX40" s="386"/>
      <c r="GY40" s="386"/>
      <c r="GZ40" s="386"/>
      <c r="HA40" s="205"/>
      <c r="HB40" s="205"/>
      <c r="HC40" s="386"/>
      <c r="HD40" s="386"/>
      <c r="HE40" s="386"/>
      <c r="HF40" s="386"/>
      <c r="HG40" s="386"/>
      <c r="HH40" s="386"/>
      <c r="HI40" s="386"/>
      <c r="HJ40" s="386"/>
      <c r="HK40" s="386"/>
      <c r="HL40" s="386"/>
      <c r="HM40" s="386"/>
      <c r="HN40" s="205"/>
      <c r="HO40" s="205"/>
      <c r="HP40" s="386"/>
      <c r="HQ40" s="386"/>
      <c r="HR40" s="386"/>
      <c r="HS40" s="386"/>
      <c r="HT40" s="386"/>
      <c r="HU40" s="386"/>
      <c r="HV40" s="386"/>
      <c r="HW40" s="386"/>
      <c r="HX40" s="386"/>
      <c r="HY40" s="386"/>
      <c r="HZ40" s="386"/>
      <c r="IA40" s="205"/>
      <c r="IB40" s="205"/>
      <c r="IC40" s="386"/>
      <c r="ID40" s="386"/>
      <c r="IE40" s="386"/>
      <c r="IF40" s="386"/>
      <c r="IG40" s="386"/>
      <c r="IH40" s="386"/>
      <c r="II40" s="386"/>
      <c r="IJ40" s="386"/>
      <c r="IK40" s="386"/>
      <c r="IL40" s="386"/>
      <c r="IM40" s="386"/>
      <c r="IN40" s="205"/>
      <c r="IO40" s="205"/>
      <c r="IP40" s="386"/>
      <c r="IQ40" s="386"/>
      <c r="IR40" s="386"/>
      <c r="IS40" s="386"/>
      <c r="IT40" s="386"/>
      <c r="IU40" s="386"/>
      <c r="IV40" s="386"/>
    </row>
    <row r="41" spans="1:256" x14ac:dyDescent="0.2">
      <c r="A41" s="216"/>
      <c r="B41" s="217"/>
      <c r="C41" s="388"/>
      <c r="D41" s="388"/>
      <c r="E41" s="388"/>
      <c r="F41" s="388"/>
      <c r="G41" s="388"/>
      <c r="H41" s="388"/>
      <c r="I41" s="388"/>
      <c r="J41" s="388"/>
      <c r="K41" s="388"/>
      <c r="L41" s="388"/>
      <c r="M41" s="389"/>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88"/>
      <c r="D42" s="388"/>
      <c r="E42" s="388"/>
      <c r="F42" s="388"/>
      <c r="G42" s="388"/>
      <c r="H42" s="388"/>
      <c r="I42" s="388"/>
      <c r="J42" s="388"/>
      <c r="K42" s="388"/>
      <c r="L42" s="388"/>
      <c r="M42" s="389"/>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88"/>
      <c r="D43" s="388"/>
      <c r="E43" s="388"/>
      <c r="F43" s="388"/>
      <c r="G43" s="388"/>
      <c r="H43" s="388"/>
      <c r="I43" s="388"/>
      <c r="J43" s="388"/>
      <c r="K43" s="388"/>
      <c r="L43" s="388"/>
      <c r="M43" s="389"/>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88"/>
      <c r="D44" s="388"/>
      <c r="E44" s="388"/>
      <c r="F44" s="388"/>
      <c r="G44" s="388"/>
      <c r="H44" s="388"/>
      <c r="I44" s="388"/>
      <c r="J44" s="388"/>
      <c r="K44" s="388"/>
      <c r="L44" s="388"/>
      <c r="M44" s="389"/>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88"/>
      <c r="D45" s="388"/>
      <c r="E45" s="388"/>
      <c r="F45" s="388"/>
      <c r="G45" s="388"/>
      <c r="H45" s="388"/>
      <c r="I45" s="388"/>
      <c r="J45" s="388"/>
      <c r="K45" s="388"/>
      <c r="L45" s="388"/>
      <c r="M45" s="389"/>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88"/>
      <c r="D46" s="388"/>
      <c r="E46" s="388"/>
      <c r="F46" s="388"/>
      <c r="G46" s="388"/>
      <c r="H46" s="388"/>
      <c r="I46" s="388"/>
      <c r="J46" s="388"/>
      <c r="K46" s="388"/>
      <c r="L46" s="388"/>
      <c r="M46" s="389"/>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88"/>
      <c r="D47" s="388"/>
      <c r="E47" s="388"/>
      <c r="F47" s="388"/>
      <c r="G47" s="388"/>
      <c r="H47" s="388"/>
      <c r="I47" s="388"/>
      <c r="J47" s="388"/>
      <c r="K47" s="388"/>
      <c r="L47" s="388"/>
      <c r="M47" s="389"/>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88"/>
      <c r="D48" s="388"/>
      <c r="E48" s="388"/>
      <c r="F48" s="388"/>
      <c r="G48" s="388"/>
      <c r="H48" s="388"/>
      <c r="I48" s="388"/>
      <c r="J48" s="388"/>
      <c r="K48" s="388"/>
      <c r="L48" s="388"/>
      <c r="M48" s="389"/>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88"/>
      <c r="D49" s="388"/>
      <c r="E49" s="388"/>
      <c r="F49" s="388"/>
      <c r="G49" s="388"/>
      <c r="H49" s="388"/>
      <c r="I49" s="388"/>
      <c r="J49" s="388"/>
      <c r="K49" s="388"/>
      <c r="L49" s="388"/>
      <c r="M49" s="389"/>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6"/>
      <c r="B51" s="217"/>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6"/>
      <c r="B52" s="217"/>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6"/>
      <c r="B53" s="217"/>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6"/>
      <c r="B54" s="217"/>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6"/>
      <c r="B55" s="217"/>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6"/>
      <c r="B56" s="217"/>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6"/>
      <c r="B57" s="217"/>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6"/>
      <c r="B58" s="217"/>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6"/>
      <c r="B59" s="217"/>
      <c r="C59" s="388"/>
      <c r="D59" s="388"/>
      <c r="E59" s="388"/>
      <c r="F59" s="388"/>
      <c r="G59" s="388"/>
      <c r="H59" s="388"/>
      <c r="I59" s="388"/>
      <c r="J59" s="388"/>
      <c r="K59" s="388"/>
      <c r="L59" s="388"/>
      <c r="M59" s="389"/>
    </row>
    <row r="60" spans="1:256" x14ac:dyDescent="0.2">
      <c r="A60" s="216"/>
      <c r="B60" s="217"/>
      <c r="C60" s="388"/>
      <c r="D60" s="388"/>
      <c r="E60" s="388"/>
      <c r="F60" s="388"/>
      <c r="G60" s="388"/>
      <c r="H60" s="388"/>
      <c r="I60" s="388"/>
      <c r="J60" s="388"/>
      <c r="K60" s="388"/>
      <c r="L60" s="388"/>
      <c r="M60" s="389"/>
    </row>
    <row r="61" spans="1:256" x14ac:dyDescent="0.2">
      <c r="A61" s="216"/>
      <c r="B61" s="217"/>
      <c r="C61" s="388"/>
      <c r="D61" s="388"/>
      <c r="E61" s="388"/>
      <c r="F61" s="388"/>
      <c r="G61" s="388"/>
      <c r="H61" s="388"/>
      <c r="I61" s="388"/>
      <c r="J61" s="388"/>
      <c r="K61" s="388"/>
      <c r="L61" s="388"/>
      <c r="M61" s="389"/>
    </row>
    <row r="62" spans="1:256" x14ac:dyDescent="0.2">
      <c r="A62" s="216"/>
      <c r="B62" s="217"/>
      <c r="C62" s="388"/>
      <c r="D62" s="388"/>
      <c r="E62" s="388"/>
      <c r="F62" s="388"/>
      <c r="G62" s="388"/>
      <c r="H62" s="388"/>
      <c r="I62" s="388"/>
      <c r="J62" s="388"/>
      <c r="K62" s="388"/>
      <c r="L62" s="388"/>
      <c r="M62" s="389"/>
    </row>
    <row r="63" spans="1:256" x14ac:dyDescent="0.2">
      <c r="A63" s="216"/>
      <c r="B63" s="217"/>
      <c r="C63" s="388"/>
      <c r="D63" s="388"/>
      <c r="E63" s="388"/>
      <c r="F63" s="388"/>
      <c r="G63" s="388"/>
      <c r="H63" s="388"/>
      <c r="I63" s="388"/>
      <c r="J63" s="388"/>
      <c r="K63" s="388"/>
      <c r="L63" s="388"/>
      <c r="M63" s="389"/>
    </row>
    <row r="64" spans="1:256" x14ac:dyDescent="0.2">
      <c r="A64" s="216"/>
      <c r="B64" s="217"/>
      <c r="C64" s="388"/>
      <c r="D64" s="388"/>
      <c r="E64" s="388"/>
      <c r="F64" s="388"/>
      <c r="G64" s="388"/>
      <c r="H64" s="388"/>
      <c r="I64" s="388"/>
      <c r="J64" s="388"/>
      <c r="K64" s="388"/>
      <c r="L64" s="388"/>
      <c r="M64" s="389"/>
    </row>
    <row r="65" spans="1:13" x14ac:dyDescent="0.2">
      <c r="A65" s="216"/>
      <c r="B65" s="217"/>
      <c r="C65" s="388"/>
      <c r="D65" s="388"/>
      <c r="E65" s="388"/>
      <c r="F65" s="388"/>
      <c r="G65" s="388"/>
      <c r="H65" s="388"/>
      <c r="I65" s="388"/>
      <c r="J65" s="388"/>
      <c r="K65" s="388"/>
      <c r="L65" s="388"/>
      <c r="M65" s="389"/>
    </row>
    <row r="66" spans="1:13" x14ac:dyDescent="0.2">
      <c r="A66" s="216"/>
      <c r="B66" s="217"/>
      <c r="C66" s="388"/>
      <c r="D66" s="388"/>
      <c r="E66" s="388"/>
      <c r="F66" s="388"/>
      <c r="G66" s="388"/>
      <c r="H66" s="388"/>
      <c r="I66" s="388"/>
      <c r="J66" s="388"/>
      <c r="K66" s="388"/>
      <c r="L66" s="388"/>
      <c r="M66" s="389"/>
    </row>
    <row r="67" spans="1:13" x14ac:dyDescent="0.2">
      <c r="A67" s="216"/>
      <c r="B67" s="217"/>
      <c r="C67" s="388"/>
      <c r="D67" s="388"/>
      <c r="E67" s="388"/>
      <c r="F67" s="388"/>
      <c r="G67" s="388"/>
      <c r="H67" s="388"/>
      <c r="I67" s="388"/>
      <c r="J67" s="388"/>
      <c r="K67" s="388"/>
      <c r="L67" s="388"/>
      <c r="M67" s="389"/>
    </row>
    <row r="68" spans="1:13" x14ac:dyDescent="0.2">
      <c r="A68" s="216"/>
      <c r="B68" s="217"/>
      <c r="C68" s="388"/>
      <c r="D68" s="388"/>
      <c r="E68" s="388"/>
      <c r="F68" s="388"/>
      <c r="G68" s="388"/>
      <c r="H68" s="388"/>
      <c r="I68" s="388"/>
      <c r="J68" s="388"/>
      <c r="K68" s="388"/>
      <c r="L68" s="388"/>
      <c r="M68" s="389"/>
    </row>
    <row r="69" spans="1:13" x14ac:dyDescent="0.2">
      <c r="A69" s="216"/>
      <c r="B69" s="217"/>
      <c r="C69" s="388"/>
      <c r="D69" s="388"/>
      <c r="E69" s="388"/>
      <c r="F69" s="388"/>
      <c r="G69" s="388"/>
      <c r="H69" s="388"/>
      <c r="I69" s="388"/>
      <c r="J69" s="388"/>
      <c r="K69" s="388"/>
      <c r="L69" s="388"/>
      <c r="M69" s="389"/>
    </row>
    <row r="70" spans="1:13" ht="12" thickBot="1" x14ac:dyDescent="0.25">
      <c r="A70" s="218"/>
      <c r="B70" s="219"/>
      <c r="C70" s="401"/>
      <c r="D70" s="401"/>
      <c r="E70" s="401"/>
      <c r="F70" s="401"/>
      <c r="G70" s="401"/>
      <c r="H70" s="401"/>
      <c r="I70" s="401"/>
      <c r="J70" s="401"/>
      <c r="K70" s="401"/>
      <c r="L70" s="401"/>
      <c r="M70" s="402"/>
    </row>
    <row r="71" spans="1:13" ht="12" thickTop="1" x14ac:dyDescent="0.2">
      <c r="A71" s="206"/>
      <c r="B71" s="206"/>
      <c r="C71" s="207"/>
      <c r="D71" s="207"/>
      <c r="E71" s="207"/>
      <c r="F71" s="207"/>
      <c r="G71" s="207"/>
      <c r="H71" s="207"/>
      <c r="I71" s="207"/>
      <c r="J71" s="207"/>
      <c r="K71" s="207"/>
      <c r="L71" s="207"/>
    </row>
    <row r="72" spans="1:13" ht="12.75" x14ac:dyDescent="0.2">
      <c r="A72" s="403" t="s">
        <v>832</v>
      </c>
      <c r="B72" s="403"/>
      <c r="C72" s="403"/>
      <c r="D72" s="403"/>
      <c r="E72" s="403"/>
      <c r="F72" s="126"/>
      <c r="G72" s="126"/>
      <c r="H72" s="126"/>
      <c r="I72" s="126"/>
      <c r="J72" s="126"/>
      <c r="K72" s="126"/>
      <c r="L72" s="126"/>
      <c r="M72" s="126"/>
    </row>
    <row r="73" spans="1:13" x14ac:dyDescent="0.2">
      <c r="A73" s="208" t="s">
        <v>764</v>
      </c>
      <c r="B73" s="208" t="s">
        <v>765</v>
      </c>
      <c r="C73" s="400"/>
      <c r="D73" s="400"/>
      <c r="E73" s="400"/>
      <c r="F73" s="400"/>
      <c r="G73" s="400"/>
      <c r="H73" s="400"/>
      <c r="I73" s="400"/>
      <c r="J73" s="400"/>
      <c r="K73" s="400"/>
      <c r="L73" s="400"/>
      <c r="M73" s="400"/>
    </row>
    <row r="74" spans="1:13" x14ac:dyDescent="0.2">
      <c r="A74" s="209"/>
      <c r="B74" s="209"/>
      <c r="C74" s="400"/>
      <c r="D74" s="400"/>
      <c r="E74" s="400"/>
      <c r="F74" s="400"/>
      <c r="G74" s="400"/>
      <c r="H74" s="400"/>
      <c r="I74" s="400"/>
      <c r="J74" s="400"/>
      <c r="K74" s="400"/>
      <c r="L74" s="400"/>
      <c r="M74" s="400"/>
    </row>
    <row r="75" spans="1:13" x14ac:dyDescent="0.2">
      <c r="A75" s="209"/>
      <c r="B75" s="209"/>
      <c r="C75" s="400"/>
      <c r="D75" s="400"/>
      <c r="E75" s="400"/>
      <c r="F75" s="400"/>
      <c r="G75" s="400"/>
      <c r="H75" s="400"/>
      <c r="I75" s="400"/>
      <c r="J75" s="400"/>
      <c r="K75" s="400"/>
      <c r="L75" s="400"/>
      <c r="M75" s="400"/>
    </row>
    <row r="76" spans="1:13" x14ac:dyDescent="0.2">
      <c r="A76" s="209"/>
      <c r="B76" s="209"/>
      <c r="C76" s="400"/>
      <c r="D76" s="400"/>
      <c r="E76" s="400"/>
      <c r="F76" s="400"/>
      <c r="G76" s="400"/>
      <c r="H76" s="400"/>
      <c r="I76" s="400"/>
      <c r="J76" s="400"/>
      <c r="K76" s="400"/>
      <c r="L76" s="400"/>
      <c r="M76" s="400"/>
    </row>
    <row r="77" spans="1:13" x14ac:dyDescent="0.2">
      <c r="A77" s="209"/>
      <c r="B77" s="209"/>
      <c r="C77" s="400"/>
      <c r="D77" s="400"/>
      <c r="E77" s="400"/>
      <c r="F77" s="400"/>
      <c r="G77" s="400"/>
      <c r="H77" s="400"/>
      <c r="I77" s="400"/>
      <c r="J77" s="400"/>
      <c r="K77" s="400"/>
      <c r="L77" s="400"/>
      <c r="M77" s="400"/>
    </row>
    <row r="78" spans="1:13" x14ac:dyDescent="0.2">
      <c r="A78" s="209"/>
      <c r="B78" s="209"/>
      <c r="C78" s="400"/>
      <c r="D78" s="400"/>
      <c r="E78" s="400"/>
      <c r="F78" s="400"/>
      <c r="G78" s="400"/>
      <c r="H78" s="400"/>
      <c r="I78" s="400"/>
      <c r="J78" s="400"/>
      <c r="K78" s="400"/>
      <c r="L78" s="400"/>
      <c r="M78" s="400"/>
    </row>
    <row r="79" spans="1:13" x14ac:dyDescent="0.2">
      <c r="A79" s="209"/>
      <c r="B79" s="209"/>
      <c r="C79" s="400"/>
      <c r="D79" s="400"/>
      <c r="E79" s="400"/>
      <c r="F79" s="400"/>
      <c r="G79" s="400"/>
      <c r="H79" s="400"/>
      <c r="I79" s="400"/>
      <c r="J79" s="400"/>
      <c r="K79" s="400"/>
      <c r="L79" s="400"/>
      <c r="M79" s="400"/>
    </row>
    <row r="80" spans="1:13" x14ac:dyDescent="0.2">
      <c r="A80" s="209"/>
      <c r="B80" s="209"/>
      <c r="C80" s="400"/>
      <c r="D80" s="400"/>
      <c r="E80" s="400"/>
      <c r="F80" s="400"/>
      <c r="G80" s="400"/>
      <c r="H80" s="400"/>
      <c r="I80" s="400"/>
      <c r="J80" s="400"/>
      <c r="K80" s="400"/>
      <c r="L80" s="400"/>
      <c r="M80" s="400"/>
    </row>
    <row r="81" spans="1:13" x14ac:dyDescent="0.2">
      <c r="A81" s="209"/>
      <c r="B81" s="209"/>
      <c r="C81" s="400"/>
      <c r="D81" s="400"/>
      <c r="E81" s="400"/>
      <c r="F81" s="400"/>
      <c r="G81" s="400"/>
      <c r="H81" s="400"/>
      <c r="I81" s="400"/>
      <c r="J81" s="400"/>
      <c r="K81" s="400"/>
      <c r="L81" s="400"/>
      <c r="M81" s="400"/>
    </row>
    <row r="82" spans="1:13" x14ac:dyDescent="0.2">
      <c r="A82" s="209"/>
      <c r="B82" s="209"/>
      <c r="C82" s="400"/>
      <c r="D82" s="400"/>
      <c r="E82" s="400"/>
      <c r="F82" s="400"/>
      <c r="G82" s="400"/>
      <c r="H82" s="400"/>
      <c r="I82" s="400"/>
      <c r="J82" s="400"/>
      <c r="K82" s="400"/>
      <c r="L82" s="400"/>
      <c r="M82" s="400"/>
    </row>
    <row r="83" spans="1:13" x14ac:dyDescent="0.2">
      <c r="A83" s="209"/>
      <c r="B83" s="209"/>
      <c r="C83" s="400"/>
      <c r="D83" s="400"/>
      <c r="E83" s="400"/>
      <c r="F83" s="400"/>
      <c r="G83" s="400"/>
      <c r="H83" s="400"/>
      <c r="I83" s="400"/>
      <c r="J83" s="400"/>
      <c r="K83" s="400"/>
      <c r="L83" s="400"/>
      <c r="M83" s="400"/>
    </row>
    <row r="84" spans="1:13" x14ac:dyDescent="0.2">
      <c r="A84" s="209"/>
      <c r="B84" s="209"/>
      <c r="C84" s="400"/>
      <c r="D84" s="400"/>
      <c r="E84" s="400"/>
      <c r="F84" s="400"/>
      <c r="G84" s="400"/>
      <c r="H84" s="400"/>
      <c r="I84" s="400"/>
      <c r="J84" s="400"/>
      <c r="K84" s="400"/>
      <c r="L84" s="400"/>
      <c r="M84" s="400"/>
    </row>
    <row r="85" spans="1:13" x14ac:dyDescent="0.2">
      <c r="A85" s="209"/>
      <c r="B85" s="209"/>
      <c r="C85" s="400"/>
      <c r="D85" s="400"/>
      <c r="E85" s="400"/>
      <c r="F85" s="400"/>
      <c r="G85" s="400"/>
      <c r="H85" s="400"/>
      <c r="I85" s="400"/>
      <c r="J85" s="400"/>
      <c r="K85" s="400"/>
      <c r="L85" s="400"/>
      <c r="M85" s="400"/>
    </row>
    <row r="86" spans="1:13" x14ac:dyDescent="0.2">
      <c r="A86" s="209"/>
      <c r="B86" s="209"/>
      <c r="C86" s="400"/>
      <c r="D86" s="400"/>
      <c r="E86" s="400"/>
      <c r="F86" s="400"/>
      <c r="G86" s="400"/>
      <c r="H86" s="400"/>
      <c r="I86" s="400"/>
      <c r="J86" s="400"/>
      <c r="K86" s="400"/>
      <c r="L86" s="400"/>
      <c r="M86" s="400"/>
    </row>
    <row r="87" spans="1:13" x14ac:dyDescent="0.2">
      <c r="A87" s="209"/>
      <c r="B87" s="209"/>
      <c r="C87" s="400"/>
      <c r="D87" s="400"/>
      <c r="E87" s="400"/>
      <c r="F87" s="400"/>
      <c r="G87" s="400"/>
      <c r="H87" s="400"/>
      <c r="I87" s="400"/>
      <c r="J87" s="400"/>
      <c r="K87" s="400"/>
      <c r="L87" s="400"/>
      <c r="M87" s="400"/>
    </row>
    <row r="88" spans="1:13" x14ac:dyDescent="0.2">
      <c r="A88" s="209"/>
      <c r="B88" s="209"/>
      <c r="C88" s="400"/>
      <c r="D88" s="400"/>
      <c r="E88" s="400"/>
      <c r="F88" s="400"/>
      <c r="G88" s="400"/>
      <c r="H88" s="400"/>
      <c r="I88" s="400"/>
      <c r="J88" s="400"/>
      <c r="K88" s="400"/>
      <c r="L88" s="400"/>
      <c r="M88" s="400"/>
    </row>
    <row r="89" spans="1:13" x14ac:dyDescent="0.2">
      <c r="A89" s="209"/>
      <c r="B89" s="209"/>
      <c r="C89" s="400"/>
      <c r="D89" s="400"/>
      <c r="E89" s="400"/>
      <c r="F89" s="400"/>
      <c r="G89" s="400"/>
      <c r="H89" s="400"/>
      <c r="I89" s="400"/>
      <c r="J89" s="400"/>
      <c r="K89" s="400"/>
      <c r="L89" s="400"/>
      <c r="M89" s="400"/>
    </row>
    <row r="90" spans="1:13" x14ac:dyDescent="0.2">
      <c r="A90" s="209"/>
      <c r="B90" s="209"/>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6"/>
      <c r="L3" s="356">
        <v>999</v>
      </c>
      <c r="M3" s="356" t="s">
        <v>1548</v>
      </c>
      <c r="N3" s="356" t="s">
        <v>1548</v>
      </c>
      <c r="O3" s="356">
        <v>99999</v>
      </c>
      <c r="P3" s="356" t="s">
        <v>1533</v>
      </c>
      <c r="Q3" s="354"/>
      <c r="R3" s="355"/>
      <c r="S3" s="357"/>
      <c r="T3" s="357"/>
      <c r="U3" s="357"/>
      <c r="V3" s="307"/>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30</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49</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63</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f>IFERROR(SMALL($I$4:$I$325,ROWS($I$4:I5)),"")</f>
        <v>31</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f>IFERROR(SMALL($I$4:$I$325,ROWS($I$4:I6)),"")</f>
        <v>57</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f>IFERROR(SMALL($I$4:$I$325,ROWS($I$4:I7)),"")</f>
        <v>209</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f>IF('School Level Expenditures'!$B$2=A33,'School Tables'!H33,"")</f>
        <v>30</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f>IF('School Level Expenditures'!$B$2=A34,'School Tables'!H34,"")</f>
        <v>31</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f>IF('School Level Expenditures'!$B$2='School Tables'!L52,'School Tables'!S52,"")</f>
        <v>49</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f>IF('School Level Expenditures'!$B$2=A60,'School Tables'!H60,"")</f>
        <v>57</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f>IF('School Level Expenditures'!$B$2='School Tables'!W66,'School Tables'!AD66,"")</f>
        <v>63</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6"/>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6"/>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6"/>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6"/>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6"/>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6"/>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6"/>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6"/>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6"/>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6"/>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6"/>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6"/>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6"/>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6"/>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6"/>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6"/>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6"/>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6"/>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6"/>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6"/>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6"/>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6"/>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6"/>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6"/>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6"/>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6"/>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6"/>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6"/>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6"/>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6"/>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6"/>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f>IF('School Level Expenditures'!$B$2=A212,'School Tables'!H212,"")</f>
        <v>209</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6"/>
    </row>
    <row r="327" spans="1:11" x14ac:dyDescent="0.2">
      <c r="A327" s="331"/>
      <c r="B327" s="331"/>
      <c r="C327" s="331"/>
      <c r="D327" s="331"/>
      <c r="E327" s="331"/>
      <c r="F327" s="286"/>
    </row>
    <row r="328" spans="1:11" x14ac:dyDescent="0.2">
      <c r="A328" s="331"/>
      <c r="B328" s="331"/>
      <c r="C328" s="331"/>
      <c r="D328" s="331"/>
      <c r="E328" s="331"/>
      <c r="F328" s="286"/>
    </row>
    <row r="329" spans="1:11" x14ac:dyDescent="0.2">
      <c r="A329" s="331"/>
      <c r="B329" s="331"/>
      <c r="C329" s="331"/>
      <c r="D329" s="331"/>
      <c r="E329" s="331"/>
      <c r="F329" s="286"/>
    </row>
    <row r="330" spans="1:11" x14ac:dyDescent="0.2">
      <c r="A330" s="331"/>
      <c r="B330" s="331"/>
      <c r="C330" s="331"/>
      <c r="D330" s="331"/>
      <c r="E330" s="331"/>
      <c r="F330" s="286"/>
    </row>
    <row r="331" spans="1:11" x14ac:dyDescent="0.2">
      <c r="A331" s="331"/>
      <c r="B331" s="331"/>
      <c r="C331" s="331"/>
      <c r="D331" s="331"/>
      <c r="E331" s="331"/>
      <c r="F331" s="286"/>
    </row>
    <row r="332" spans="1:11" x14ac:dyDescent="0.2">
      <c r="A332" s="331"/>
      <c r="B332" s="331"/>
      <c r="C332" s="331"/>
      <c r="D332" s="331"/>
      <c r="E332" s="331"/>
      <c r="F332" s="286"/>
    </row>
    <row r="333" spans="1:11" x14ac:dyDescent="0.2">
      <c r="A333" s="331"/>
      <c r="B333" s="331"/>
      <c r="C333" s="331"/>
      <c r="D333" s="331"/>
      <c r="E333" s="331"/>
      <c r="F333" s="286"/>
    </row>
    <row r="334" spans="1:11" x14ac:dyDescent="0.2">
      <c r="A334" s="331"/>
      <c r="B334" s="331"/>
      <c r="C334" s="331"/>
      <c r="D334" s="331"/>
      <c r="E334" s="331"/>
      <c r="F334" s="286"/>
    </row>
    <row r="335" spans="1:11" x14ac:dyDescent="0.2">
      <c r="A335" s="331"/>
      <c r="B335" s="331"/>
      <c r="C335" s="331"/>
      <c r="D335" s="331"/>
      <c r="E335" s="331"/>
      <c r="F335" s="286"/>
    </row>
    <row r="336" spans="1:11" x14ac:dyDescent="0.2">
      <c r="A336" s="331"/>
      <c r="B336" s="331"/>
      <c r="C336" s="331"/>
      <c r="D336" s="331"/>
      <c r="E336" s="331"/>
      <c r="F336" s="286"/>
    </row>
    <row r="337" spans="1:6" x14ac:dyDescent="0.2">
      <c r="A337" s="331"/>
      <c r="B337" s="331"/>
      <c r="C337" s="331"/>
      <c r="D337" s="331"/>
      <c r="E337" s="331"/>
      <c r="F337" s="286"/>
    </row>
    <row r="338" spans="1:6" x14ac:dyDescent="0.2">
      <c r="A338" s="331"/>
      <c r="B338" s="331"/>
      <c r="C338" s="331"/>
      <c r="D338" s="331"/>
      <c r="E338" s="331"/>
      <c r="F338" s="286"/>
    </row>
    <row r="339" spans="1:6" x14ac:dyDescent="0.2">
      <c r="A339" s="331"/>
      <c r="B339" s="331"/>
      <c r="C339" s="331"/>
      <c r="D339" s="331"/>
      <c r="E339" s="331"/>
      <c r="F339" s="286"/>
    </row>
    <row r="340" spans="1:6" x14ac:dyDescent="0.2">
      <c r="A340" s="331"/>
      <c r="B340" s="331"/>
      <c r="C340" s="331"/>
      <c r="D340" s="331"/>
      <c r="E340" s="331"/>
      <c r="F340" s="286"/>
    </row>
    <row r="341" spans="1:6" x14ac:dyDescent="0.2">
      <c r="A341" s="331"/>
      <c r="B341" s="331"/>
      <c r="C341" s="331"/>
      <c r="D341" s="331"/>
      <c r="E341" s="331"/>
      <c r="F341" s="286"/>
    </row>
    <row r="342" spans="1:6" x14ac:dyDescent="0.2">
      <c r="A342" s="331"/>
      <c r="B342" s="331"/>
      <c r="C342" s="331"/>
      <c r="D342" s="331"/>
      <c r="E342" s="331"/>
      <c r="F342" s="286"/>
    </row>
    <row r="343" spans="1:6" x14ac:dyDescent="0.2">
      <c r="A343" s="331"/>
      <c r="B343" s="331"/>
      <c r="C343" s="331"/>
      <c r="D343" s="331"/>
      <c r="E343" s="331"/>
      <c r="F343" s="286"/>
    </row>
    <row r="344" spans="1:6" x14ac:dyDescent="0.2">
      <c r="A344" s="331"/>
      <c r="B344" s="331"/>
      <c r="C344" s="331"/>
      <c r="D344" s="331"/>
      <c r="E344" s="331"/>
      <c r="F344" s="286"/>
    </row>
    <row r="345" spans="1:6" x14ac:dyDescent="0.2">
      <c r="A345" s="331"/>
      <c r="B345" s="331"/>
      <c r="C345" s="331"/>
      <c r="D345" s="331"/>
      <c r="E345" s="331"/>
      <c r="F345" s="286"/>
    </row>
    <row r="346" spans="1:6" x14ac:dyDescent="0.2">
      <c r="A346" s="331"/>
      <c r="B346" s="331"/>
      <c r="C346" s="331"/>
      <c r="D346" s="331"/>
      <c r="E346" s="331"/>
      <c r="F346" s="286"/>
    </row>
    <row r="347" spans="1:6" x14ac:dyDescent="0.2">
      <c r="A347" s="331"/>
      <c r="B347" s="331"/>
      <c r="C347" s="331"/>
      <c r="D347" s="331"/>
      <c r="E347" s="331"/>
      <c r="F347" s="286"/>
    </row>
    <row r="348" spans="1:6" x14ac:dyDescent="0.2">
      <c r="A348" s="331"/>
      <c r="B348" s="331"/>
      <c r="C348" s="331"/>
      <c r="D348" s="331"/>
      <c r="E348" s="331"/>
      <c r="F348" s="286"/>
    </row>
    <row r="349" spans="1:6" x14ac:dyDescent="0.2">
      <c r="A349" s="331"/>
      <c r="B349" s="331"/>
      <c r="C349" s="331"/>
      <c r="D349" s="331"/>
      <c r="E349" s="331"/>
      <c r="F349" s="286"/>
    </row>
    <row r="350" spans="1:6" x14ac:dyDescent="0.2">
      <c r="A350" s="331"/>
      <c r="B350" s="331"/>
      <c r="C350" s="331"/>
      <c r="D350" s="331"/>
      <c r="E350" s="331"/>
      <c r="F350" s="286"/>
    </row>
    <row r="351" spans="1:6" x14ac:dyDescent="0.2">
      <c r="A351" s="331"/>
      <c r="B351" s="331"/>
      <c r="C351" s="331"/>
      <c r="D351" s="331"/>
      <c r="E351" s="331"/>
      <c r="F351" s="286"/>
    </row>
    <row r="352" spans="1:6" x14ac:dyDescent="0.2">
      <c r="A352" s="331"/>
      <c r="B352" s="331"/>
      <c r="C352" s="331"/>
      <c r="D352" s="331"/>
      <c r="E352" s="331"/>
      <c r="F352" s="286"/>
    </row>
    <row r="353" spans="1:6" x14ac:dyDescent="0.2">
      <c r="A353" s="331"/>
      <c r="B353" s="331"/>
      <c r="C353" s="331"/>
      <c r="D353" s="331"/>
      <c r="E353" s="331"/>
      <c r="F353" s="286"/>
    </row>
    <row r="354" spans="1:6" x14ac:dyDescent="0.2">
      <c r="A354" s="331"/>
      <c r="B354" s="331"/>
      <c r="C354" s="331"/>
      <c r="D354" s="331"/>
      <c r="E354" s="331"/>
      <c r="F354" s="286"/>
    </row>
    <row r="355" spans="1:6" x14ac:dyDescent="0.2">
      <c r="A355" s="331"/>
      <c r="B355" s="331"/>
      <c r="C355" s="331"/>
      <c r="D355" s="331"/>
      <c r="E355" s="331"/>
      <c r="F355" s="286"/>
    </row>
    <row r="356" spans="1:6" x14ac:dyDescent="0.2">
      <c r="A356" s="331"/>
      <c r="B356" s="331"/>
      <c r="C356" s="331"/>
      <c r="D356" s="331"/>
      <c r="E356" s="331"/>
      <c r="F356" s="286"/>
    </row>
    <row r="357" spans="1:6" x14ac:dyDescent="0.2">
      <c r="A357" s="331"/>
      <c r="B357" s="331"/>
      <c r="C357" s="331"/>
      <c r="D357" s="331"/>
      <c r="E357" s="331"/>
      <c r="F357" s="286"/>
    </row>
    <row r="358" spans="1:6" x14ac:dyDescent="0.2">
      <c r="A358" s="331"/>
      <c r="B358" s="331"/>
      <c r="C358" s="331"/>
      <c r="D358" s="331"/>
      <c r="E358" s="331"/>
      <c r="F358" s="286"/>
    </row>
    <row r="359" spans="1:6" x14ac:dyDescent="0.2">
      <c r="A359" s="331"/>
      <c r="B359" s="331"/>
      <c r="C359" s="331"/>
      <c r="D359" s="331"/>
      <c r="E359" s="331"/>
      <c r="F359" s="286"/>
    </row>
    <row r="360" spans="1:6" x14ac:dyDescent="0.2">
      <c r="A360" s="331"/>
      <c r="B360" s="331"/>
      <c r="C360" s="331"/>
      <c r="D360" s="331"/>
      <c r="E360" s="331"/>
      <c r="F360" s="286"/>
    </row>
    <row r="361" spans="1:6" x14ac:dyDescent="0.2">
      <c r="A361" s="331"/>
      <c r="B361" s="331"/>
      <c r="C361" s="331"/>
      <c r="D361" s="331"/>
      <c r="E361" s="331"/>
      <c r="F361" s="286"/>
    </row>
    <row r="362" spans="1:6" x14ac:dyDescent="0.2">
      <c r="A362" s="331"/>
      <c r="B362" s="331"/>
      <c r="C362" s="331"/>
      <c r="D362" s="331"/>
      <c r="E362" s="331"/>
      <c r="F362" s="286"/>
    </row>
    <row r="363" spans="1:6" x14ac:dyDescent="0.2">
      <c r="A363" s="331"/>
      <c r="B363" s="331"/>
      <c r="C363" s="331"/>
      <c r="D363" s="331"/>
      <c r="E363" s="331"/>
      <c r="F363" s="286"/>
    </row>
    <row r="364" spans="1:6" x14ac:dyDescent="0.2">
      <c r="A364" s="331"/>
      <c r="B364" s="331"/>
      <c r="C364" s="331"/>
      <c r="D364" s="331"/>
      <c r="E364" s="331"/>
      <c r="F364" s="286"/>
    </row>
    <row r="365" spans="1:6" x14ac:dyDescent="0.2">
      <c r="A365" s="331"/>
      <c r="B365" s="331"/>
      <c r="C365" s="331"/>
      <c r="D365" s="331"/>
      <c r="E365" s="331"/>
      <c r="F365" s="286"/>
    </row>
    <row r="366" spans="1:6" x14ac:dyDescent="0.2">
      <c r="A366" s="331"/>
      <c r="B366" s="331"/>
      <c r="C366" s="331"/>
      <c r="D366" s="331"/>
      <c r="E366" s="331"/>
      <c r="F366" s="286"/>
    </row>
    <row r="367" spans="1:6" x14ac:dyDescent="0.2">
      <c r="A367" s="331"/>
      <c r="B367" s="331"/>
      <c r="C367" s="331"/>
      <c r="D367" s="331"/>
      <c r="E367" s="331"/>
      <c r="F367" s="286"/>
    </row>
    <row r="368" spans="1:6" x14ac:dyDescent="0.2">
      <c r="A368" s="331"/>
      <c r="B368" s="331"/>
      <c r="C368" s="331"/>
      <c r="D368" s="331"/>
      <c r="E368" s="331"/>
      <c r="F368" s="286"/>
    </row>
    <row r="369" spans="1:6" x14ac:dyDescent="0.2">
      <c r="A369" s="331"/>
      <c r="B369" s="331"/>
      <c r="C369" s="331"/>
      <c r="D369" s="331"/>
      <c r="E369" s="331"/>
      <c r="F369" s="286"/>
    </row>
    <row r="370" spans="1:6" x14ac:dyDescent="0.2">
      <c r="A370" s="331"/>
      <c r="B370" s="331"/>
      <c r="C370" s="331"/>
      <c r="D370" s="331"/>
      <c r="E370" s="331"/>
      <c r="F370" s="286"/>
    </row>
    <row r="371" spans="1:6" x14ac:dyDescent="0.2">
      <c r="A371" s="331"/>
      <c r="B371" s="331"/>
      <c r="C371" s="331"/>
      <c r="D371" s="331"/>
      <c r="E371" s="331"/>
      <c r="F371" s="286"/>
    </row>
    <row r="372" spans="1:6" x14ac:dyDescent="0.2">
      <c r="A372" s="331"/>
      <c r="B372" s="331"/>
      <c r="C372" s="331"/>
      <c r="D372" s="331"/>
      <c r="E372" s="331"/>
      <c r="F372" s="286"/>
    </row>
    <row r="373" spans="1:6" x14ac:dyDescent="0.2">
      <c r="A373" s="331"/>
      <c r="B373" s="331"/>
      <c r="C373" s="331"/>
      <c r="D373" s="331"/>
      <c r="E373" s="331"/>
      <c r="F373" s="286"/>
    </row>
    <row r="374" spans="1:6" x14ac:dyDescent="0.2">
      <c r="A374" s="331"/>
      <c r="B374" s="331"/>
      <c r="C374" s="331"/>
      <c r="D374" s="331"/>
      <c r="E374" s="331"/>
      <c r="F374" s="286"/>
    </row>
    <row r="375" spans="1:6" x14ac:dyDescent="0.2">
      <c r="A375" s="331"/>
      <c r="B375" s="331"/>
      <c r="C375" s="331"/>
      <c r="D375" s="331"/>
      <c r="E375" s="331"/>
      <c r="F375" s="286"/>
    </row>
    <row r="376" spans="1:6" x14ac:dyDescent="0.2">
      <c r="A376" s="331"/>
      <c r="B376" s="331"/>
      <c r="C376" s="331"/>
      <c r="D376" s="331"/>
      <c r="E376" s="331"/>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2022-09-28T11:31:56Z</cp:lastPrinted>
  <dcterms:created xsi:type="dcterms:W3CDTF">1997-12-04T19:04:30Z</dcterms:created>
  <dcterms:modified xsi:type="dcterms:W3CDTF">2022-12-19T18:59:23Z</dcterms:modified>
</cp:coreProperties>
</file>