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1406653D-3AE6-4BF1-9129-1AA3EF338367}"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39" i="12" l="1"/>
  <c r="C37" i="12" s="1"/>
  <c r="B37" i="12"/>
  <c r="C21" i="12"/>
  <c r="B20" i="12"/>
  <c r="C20" i="12" s="1"/>
  <c r="C19" i="12"/>
  <c r="B19" i="12"/>
  <c r="C12" i="12"/>
  <c r="B11" i="12"/>
  <c r="C11" i="12" s="1"/>
  <c r="C10" i="12"/>
  <c r="B10" i="12"/>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H88" i="2" s="1"/>
  <c r="I163" i="1"/>
  <c r="H163" i="1"/>
  <c r="G163" i="1"/>
  <c r="F163" i="1"/>
  <c r="B31" i="16" l="1"/>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H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H15" i="2" s="1"/>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H76" i="2" s="1"/>
  <c r="E76" i="2"/>
  <c r="F76" i="2"/>
  <c r="C77" i="2"/>
  <c r="D77" i="2"/>
  <c r="D78" i="2" s="1"/>
  <c r="E77" i="2"/>
  <c r="F77" i="2"/>
  <c r="G77" i="2"/>
  <c r="G78" i="2" s="1"/>
  <c r="C79" i="2"/>
  <c r="H79" i="2" s="1"/>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H98" i="2" s="1"/>
  <c r="D98" i="2"/>
  <c r="E98" i="2"/>
  <c r="G98" i="2"/>
  <c r="C99" i="2"/>
  <c r="H99" i="2" s="1"/>
  <c r="D99" i="2"/>
  <c r="E99" i="2"/>
  <c r="F99" i="2"/>
  <c r="C100" i="2"/>
  <c r="H100" i="2" s="1"/>
  <c r="D100" i="2"/>
  <c r="E100" i="2"/>
  <c r="F100" i="2"/>
  <c r="C101" i="2"/>
  <c r="H101" i="2" s="1"/>
  <c r="D101" i="2"/>
  <c r="E101" i="2"/>
  <c r="F101" i="2"/>
  <c r="C102" i="2"/>
  <c r="H102" i="2" s="1"/>
  <c r="D102" i="2"/>
  <c r="E102" i="2"/>
  <c r="F102" i="2"/>
  <c r="C110" i="2"/>
  <c r="E111" i="2"/>
  <c r="C112" i="2"/>
  <c r="H112" i="2" s="1"/>
  <c r="E112" i="2"/>
  <c r="D115" i="2"/>
  <c r="F115" i="2"/>
  <c r="G115" i="2"/>
  <c r="C119" i="2"/>
  <c r="E120" i="2"/>
  <c r="E124" i="2"/>
  <c r="C125" i="2"/>
  <c r="H125" i="2" s="1"/>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J652" i="1" s="1"/>
  <c r="H653" i="1"/>
  <c r="G654" i="1"/>
  <c r="H654" i="1"/>
  <c r="H655" i="1"/>
  <c r="H656" i="1"/>
  <c r="I170" i="1"/>
  <c r="G477" i="1" l="1"/>
  <c r="D144" i="2"/>
  <c r="H119" i="2"/>
  <c r="H97" i="2"/>
  <c r="H96" i="2"/>
  <c r="H93" i="2"/>
  <c r="H87" i="2"/>
  <c r="H80" i="2"/>
  <c r="H77" i="2"/>
  <c r="H61" i="2"/>
  <c r="H26" i="2"/>
  <c r="H22" i="2"/>
  <c r="H113" i="2"/>
  <c r="H132" i="2"/>
  <c r="H36" i="2"/>
  <c r="H38" i="2"/>
  <c r="H43" i="2"/>
  <c r="H44" i="2"/>
  <c r="H47" i="2"/>
  <c r="H48" i="2"/>
  <c r="I409" i="1"/>
  <c r="H23" i="2"/>
  <c r="H89" i="2"/>
  <c r="H59" i="2"/>
  <c r="H35" i="2"/>
  <c r="H34" i="2"/>
  <c r="H13" i="2"/>
  <c r="H9" i="2"/>
  <c r="H131" i="2"/>
  <c r="E121" i="2"/>
  <c r="H16" i="2"/>
  <c r="H11" i="2"/>
  <c r="H121" i="2"/>
  <c r="H120" i="2"/>
  <c r="H477" i="1"/>
  <c r="H625" i="1" s="1"/>
  <c r="J625" i="1" s="1"/>
  <c r="H94" i="2"/>
  <c r="H69" i="2"/>
  <c r="H30" i="2"/>
  <c r="H29" i="2"/>
  <c r="H28" i="2"/>
  <c r="H27" i="2"/>
  <c r="H25" i="2"/>
  <c r="H24" i="2"/>
  <c r="H17" i="2"/>
  <c r="H12" i="2"/>
  <c r="H8" i="2"/>
  <c r="E119" i="2"/>
  <c r="H409" i="1"/>
  <c r="H645" i="1" s="1"/>
  <c r="G339" i="1"/>
  <c r="G353" i="1" s="1"/>
  <c r="J258" i="1"/>
  <c r="J272" i="1" s="1"/>
  <c r="E123" i="2"/>
  <c r="E110" i="2"/>
  <c r="H110" i="2" s="1"/>
  <c r="K339" i="1"/>
  <c r="K353" i="1" s="1"/>
  <c r="J656" i="1"/>
  <c r="J572" i="1"/>
  <c r="D50" i="2"/>
  <c r="E131" i="2"/>
  <c r="G553" i="1"/>
  <c r="H663" i="1"/>
  <c r="F258" i="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H114" i="2" s="1"/>
  <c r="G112" i="1"/>
  <c r="B10" i="16" s="1"/>
  <c r="E118" i="2"/>
  <c r="E128" i="2" s="1"/>
  <c r="L248" i="1"/>
  <c r="L212" i="1"/>
  <c r="F661" i="1" s="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F272" i="1"/>
  <c r="C123" i="2"/>
  <c r="H123" i="2" s="1"/>
  <c r="E109" i="2"/>
  <c r="E115" i="2" s="1"/>
  <c r="C56" i="2"/>
  <c r="H56" i="2" s="1"/>
  <c r="F663" i="1"/>
  <c r="I663" i="1" s="1"/>
  <c r="C25" i="10"/>
  <c r="C21" i="10"/>
  <c r="C17" i="10"/>
  <c r="D19" i="13"/>
  <c r="C19" i="13" s="1"/>
  <c r="D14" i="13"/>
  <c r="C14" i="13" s="1"/>
  <c r="C62" i="2"/>
  <c r="H62" i="2" s="1"/>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H50" i="2" s="1"/>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H103" i="2" l="1"/>
  <c r="H109" i="2"/>
  <c r="C81" i="2"/>
  <c r="H81" i="2" s="1"/>
  <c r="H78" i="2"/>
  <c r="H134" i="2"/>
  <c r="H18" i="2"/>
  <c r="H85" i="2"/>
  <c r="H42" i="2"/>
  <c r="H31" i="2"/>
  <c r="D128" i="2"/>
  <c r="D145" i="2" s="1"/>
  <c r="H127" i="2"/>
  <c r="H91" i="2"/>
  <c r="H57" i="2"/>
  <c r="H21" i="2"/>
  <c r="F144" i="2"/>
  <c r="H130" i="2"/>
  <c r="H661" i="1"/>
  <c r="H665" i="1" s="1"/>
  <c r="H668" i="1" s="1"/>
  <c r="H194" i="1"/>
  <c r="G630" i="1" s="1"/>
  <c r="J630" i="1" s="1"/>
  <c r="H649" i="1"/>
  <c r="C141" i="2"/>
  <c r="F51" i="2"/>
  <c r="G36" i="14"/>
  <c r="H36" i="14" s="1"/>
  <c r="I36" i="14" s="1"/>
  <c r="E145"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H673" i="1"/>
  <c r="C6" i="10" s="1"/>
  <c r="G4" i="14"/>
  <c r="H4" i="14" s="1"/>
  <c r="I4" i="14" s="1"/>
  <c r="L546" i="1"/>
  <c r="J626" i="1"/>
  <c r="F104" i="2"/>
  <c r="B14" i="16"/>
  <c r="B22" i="16" s="1"/>
  <c r="G628" i="1"/>
  <c r="J628" i="1" s="1"/>
  <c r="E33" i="13"/>
  <c r="D35" i="13" s="1"/>
  <c r="J648" i="1"/>
  <c r="L258" i="1"/>
  <c r="L272" i="1" s="1"/>
  <c r="G633" i="1" s="1"/>
  <c r="J633" i="1" s="1"/>
  <c r="C115" i="2"/>
  <c r="H115" i="2" s="1"/>
  <c r="C63" i="2"/>
  <c r="C39" i="10"/>
  <c r="G33" i="13"/>
  <c r="C128" i="2"/>
  <c r="H128" i="2" s="1"/>
  <c r="D31" i="13"/>
  <c r="C31" i="13" s="1"/>
  <c r="I462" i="1"/>
  <c r="H643" i="1" s="1"/>
  <c r="J643" i="1" s="1"/>
  <c r="G661" i="1"/>
  <c r="G665" i="1" s="1"/>
  <c r="G673" i="1" s="1"/>
  <c r="C5" i="10" s="1"/>
  <c r="C25" i="13"/>
  <c r="I33" i="13"/>
  <c r="K553" i="1"/>
  <c r="C28" i="10"/>
  <c r="D23" i="10" s="1"/>
  <c r="C51" i="2"/>
  <c r="H51" i="2" s="1"/>
  <c r="G632" i="1"/>
  <c r="J632" i="1" s="1"/>
  <c r="G194" i="1"/>
  <c r="G629" i="1" s="1"/>
  <c r="J629" i="1" s="1"/>
  <c r="G627" i="1"/>
  <c r="J627" i="1" s="1"/>
  <c r="J52" i="1"/>
  <c r="H622" i="1" s="1"/>
  <c r="J622" i="1" s="1"/>
  <c r="C38" i="10"/>
  <c r="C144" i="2" l="1"/>
  <c r="H141" i="2"/>
  <c r="C104" i="2"/>
  <c r="H104" i="2" s="1"/>
  <c r="H63" i="2"/>
  <c r="F145" i="2"/>
  <c r="H14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<sst xmlns="http://schemas.openxmlformats.org/spreadsheetml/2006/main" count="6530" uniqueCount="1802">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</sst>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5">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0" fontId="7" fillId="0" borderId="0" xfId="0" applyNumberFormat="1" applyFont="1" applyAlignment="1" applyProtection="1">
      <alignment horizontal="center"/>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externalLinkPath" Target="file:///C:\Users\matthew.r.welch\AppData\Local\Microsoft\Windows\INetCache\Content.Outlook\F77L4AIP\Newmarket%20DOE-25%20FY2022%20version%201.xls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1317</v>
      </c>
      <c r="B2" s="126">
        <f>INDEX('School Tables'!$AH$3:$AH$208,MATCH('DOE25'!A2,'School Tables'!$AJ$3:$AJ$208,0))</f>
        <v>399</v>
      </c>
      <c r="C2" s="126">
        <f>INDEX('School Tables'!$AI$3:$AI$208,MATCH('DOE25'!A2,'School Tables'!$AJ$3:$AJ$208,0))</f>
        <v>399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1608936</v>
      </c>
      <c r="G9" s="18">
        <v>40741</v>
      </c>
      <c r="H9" s="18">
        <v>26185.29</v>
      </c>
      <c r="I9" s="18">
        <v>384992</v>
      </c>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210143</v>
      </c>
      <c r="G12" s="18"/>
      <c r="H12" s="18"/>
      <c r="I12" s="18"/>
      <c r="J12" s="67">
        <f>SUM(I442)</f>
        <v>1642163.8399999999</v>
      </c>
      <c r="K12" s="24" t="s">
        <v>288</v>
      </c>
      <c r="L12" s="24" t="s">
        <v>288</v>
      </c>
      <c r="M12" s="8"/>
      <c r="N12" s="265"/>
    </row>
    <row r="13" spans="1:14" s="3" customFormat="1" ht="12.2" customHeight="1" x14ac:dyDescent="0.15">
      <c r="A13" s="1" t="s">
        <v>604</v>
      </c>
      <c r="B13" s="2" t="s">
        <v>289</v>
      </c>
      <c r="C13" s="6">
        <v>5</v>
      </c>
      <c r="D13" s="2" t="s">
        <v>428</v>
      </c>
      <c r="E13" s="6">
        <v>140</v>
      </c>
      <c r="F13" s="18">
        <v>61001</v>
      </c>
      <c r="G13" s="18">
        <v>168372</v>
      </c>
      <c r="H13" s="18"/>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c r="G14" s="18">
        <v>343</v>
      </c>
      <c r="H14" s="18">
        <v>249291</v>
      </c>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15291</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1880080</v>
      </c>
      <c r="G19" s="41">
        <f>SUM(G9:G18)</f>
        <v>224747</v>
      </c>
      <c r="H19" s="41">
        <f>SUM(H9:H18)</f>
        <v>275476.28999999998</v>
      </c>
      <c r="I19" s="41">
        <f>SUM(I9:I18)</f>
        <v>384992</v>
      </c>
      <c r="J19" s="41">
        <f>SUM(J9:J18)</f>
        <v>1642163.8399999999</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v>68124</v>
      </c>
      <c r="H23" s="18">
        <v>249291</v>
      </c>
      <c r="I23" s="18"/>
      <c r="J23" s="67">
        <f>SUM(I450)</f>
        <v>27780</v>
      </c>
      <c r="K23" s="24" t="s">
        <v>288</v>
      </c>
      <c r="L23" s="24" t="s">
        <v>288</v>
      </c>
      <c r="M23" s="8"/>
      <c r="N23" s="265"/>
    </row>
    <row r="24" spans="1:14" s="3" customFormat="1" ht="12.2" customHeight="1" x14ac:dyDescent="0.15">
      <c r="A24" s="1" t="s">
        <v>570</v>
      </c>
      <c r="B24" s="2" t="s">
        <v>289</v>
      </c>
      <c r="C24" s="6">
        <v>14</v>
      </c>
      <c r="D24" s="2" t="s">
        <v>429</v>
      </c>
      <c r="E24" s="6">
        <v>420</v>
      </c>
      <c r="F24" s="18">
        <v>33059</v>
      </c>
      <c r="G24" s="18">
        <v>12057</v>
      </c>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28061</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v>13380</v>
      </c>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61120</v>
      </c>
      <c r="G32" s="41">
        <f>SUM(G22:G31)</f>
        <v>93561</v>
      </c>
      <c r="H32" s="41">
        <f>SUM(H22:H31)</f>
        <v>249291</v>
      </c>
      <c r="I32" s="41">
        <f>SUM(I22:I31)</f>
        <v>0</v>
      </c>
      <c r="J32" s="41">
        <f>SUM(J22:J31)</f>
        <v>27780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131186</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483858</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v>26185.29</v>
      </c>
      <c r="I48" s="18">
        <v>384992</v>
      </c>
      <c r="J48" s="13">
        <f>SUM(I460)</f>
        <v>1614383.8399999999</v>
      </c>
      <c r="K48" s="24" t="s">
        <v>288</v>
      </c>
      <c r="L48" s="24" t="s">
        <v>288</v>
      </c>
      <c r="M48" s="8"/>
      <c r="N48" s="265"/>
    </row>
    <row r="49" spans="1:14" s="3" customFormat="1" ht="12.2" customHeight="1" x14ac:dyDescent="0.15">
      <c r="A49" s="1" t="s">
        <v>859</v>
      </c>
      <c r="B49" s="2" t="s">
        <v>289</v>
      </c>
      <c r="C49" s="6">
        <v>34</v>
      </c>
      <c r="D49" s="2"/>
      <c r="E49" s="6">
        <v>753</v>
      </c>
      <c r="F49" s="18">
        <v>188402</v>
      </c>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1096700</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1818960</v>
      </c>
      <c r="G51" s="41">
        <f>SUM(G35:G50)</f>
        <v>131186</v>
      </c>
      <c r="H51" s="41">
        <f>SUM(H35:H50)</f>
        <v>26185.29</v>
      </c>
      <c r="I51" s="41">
        <f>SUM(I35:I50)</f>
        <v>384992</v>
      </c>
      <c r="J51" s="41">
        <f>SUM(J35:J50)</f>
        <v>1614383.8399999999</v>
      </c>
      <c r="K51" s="45" t="s">
        <v>288</v>
      </c>
      <c r="L51" s="45" t="s">
        <v>288</v>
      </c>
      <c r="N51" s="263"/>
    </row>
    <row r="52" spans="1:14" s="3" customFormat="1" ht="12.2" customHeight="1" thickTop="1" x14ac:dyDescent="0.15">
      <c r="A52" s="38" t="s">
        <v>455</v>
      </c>
      <c r="B52" s="39" t="s">
        <v>289</v>
      </c>
      <c r="C52" s="6">
        <v>37</v>
      </c>
      <c r="D52" s="39" t="s">
        <v>653</v>
      </c>
      <c r="E52" s="39"/>
      <c r="F52" s="41">
        <f>F51+F32</f>
        <v>1880080</v>
      </c>
      <c r="G52" s="41">
        <f>G51+G32</f>
        <v>224747</v>
      </c>
      <c r="H52" s="41">
        <f>H51+H32</f>
        <v>275476.28999999998</v>
      </c>
      <c r="I52" s="41">
        <f>I51+I32</f>
        <v>384992</v>
      </c>
      <c r="J52" s="41">
        <f>J51+J32</f>
        <v>1642163.8399999999</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17410242</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17410242</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27298</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27298</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4372</v>
      </c>
      <c r="G96" s="18"/>
      <c r="H96" s="18"/>
      <c r="I96" s="18">
        <v>387</v>
      </c>
      <c r="J96" s="18">
        <v>1440.09</v>
      </c>
      <c r="K96" s="24" t="s">
        <v>288</v>
      </c>
      <c r="L96" s="24" t="s">
        <v>288</v>
      </c>
      <c r="M96" s="8"/>
      <c r="N96" s="265"/>
    </row>
    <row r="97" spans="1:14" s="3" customFormat="1" ht="12.2" customHeight="1" x14ac:dyDescent="0.15">
      <c r="A97" s="1" t="s">
        <v>503</v>
      </c>
      <c r="B97" s="2" t="s">
        <v>315</v>
      </c>
      <c r="C97" s="6">
        <v>12</v>
      </c>
      <c r="D97" s="2" t="s">
        <v>430</v>
      </c>
      <c r="E97" s="6">
        <v>1600</v>
      </c>
      <c r="F97" s="24" t="s">
        <v>288</v>
      </c>
      <c r="G97" s="18">
        <v>30837</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78987</v>
      </c>
      <c r="G110" s="18">
        <v>3035</v>
      </c>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83359</v>
      </c>
      <c r="G111" s="41">
        <f>SUM(G96:G110)</f>
        <v>33872</v>
      </c>
      <c r="H111" s="41">
        <f>SUM(H96:H110)</f>
        <v>0</v>
      </c>
      <c r="I111" s="41">
        <f>SUM(I96:I110)</f>
        <v>387</v>
      </c>
      <c r="J111" s="41">
        <f>SUM(J96:J110)</f>
        <v>1440.09</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17520899</v>
      </c>
      <c r="G112" s="41">
        <f>G60+G111</f>
        <v>33872</v>
      </c>
      <c r="H112" s="41">
        <f>H60+H79+H94+H111</f>
        <v>0</v>
      </c>
      <c r="I112" s="41">
        <f>I60+I111</f>
        <v>387</v>
      </c>
      <c r="J112" s="41">
        <f>J60+J111</f>
        <v>1440.09</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2933449</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1944085</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9653</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4887187</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252110</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9203</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6825</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261313</v>
      </c>
      <c r="G136" s="41">
        <f>SUM(G123:G135)</f>
        <v>6825</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5148500</v>
      </c>
      <c r="G140" s="41">
        <f>G121+SUM(G136:G137)</f>
        <v>6825</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v>386203</v>
      </c>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386203</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222387</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90417</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557798</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308286</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176980</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v>45715</v>
      </c>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371385</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176980</v>
      </c>
      <c r="G163" s="41">
        <f>SUM(G150:G162)</f>
        <v>603513</v>
      </c>
      <c r="H163" s="41">
        <f>SUM(H150:H162)</f>
        <v>992475</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v>9732</v>
      </c>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563183</v>
      </c>
      <c r="G170" s="41">
        <f>G147+G163+SUM(G164:G169)</f>
        <v>603513</v>
      </c>
      <c r="H170" s="41">
        <f>H147+H163+SUM(H164:H169)</f>
        <v>1002207</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608255</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608255</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27780</v>
      </c>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27780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27780</v>
      </c>
      <c r="G193" s="41">
        <f>G184+SUM(G189:G192)</f>
        <v>0</v>
      </c>
      <c r="H193" s="41">
        <f>+H184+SUM(H189:H192)</f>
        <v>0</v>
      </c>
      <c r="I193" s="41">
        <f>I178+I184+SUM(I189:I192)</f>
        <v>0</v>
      </c>
      <c r="J193" s="41">
        <f>J184</f>
        <v>608255</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23260362</v>
      </c>
      <c r="G194" s="47">
        <f>G112+G140+G170+G193</f>
        <v>644210</v>
      </c>
      <c r="H194" s="47">
        <f>H112+H140+H170+H193</f>
        <v>1002207</v>
      </c>
      <c r="I194" s="47">
        <f>I112+I140+I170+I193</f>
        <v>387</v>
      </c>
      <c r="J194" s="47">
        <f>J112+J140+J193</f>
        <v>609695.09</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3988403.52</v>
      </c>
      <c r="G198" s="18">
        <v>1890209.5899999999</v>
      </c>
      <c r="H198" s="18">
        <v>3705.13</v>
      </c>
      <c r="I198" s="18">
        <v>102585.95</v>
      </c>
      <c r="J198" s="18">
        <v>56216.22</v>
      </c>
      <c r="K198" s="18">
        <v>1794.9</v>
      </c>
      <c r="L198" s="19">
        <f>SUM(F198:K198)</f>
        <v>6042915.3099999996</v>
      </c>
      <c r="M198" s="8"/>
      <c r="N198" s="265"/>
    </row>
    <row r="199" spans="1:14" s="3" customFormat="1" ht="12.2" customHeight="1" x14ac:dyDescent="0.15">
      <c r="A199" s="1" t="s">
        <v>439</v>
      </c>
      <c r="B199" s="2" t="s">
        <v>341</v>
      </c>
      <c r="C199" s="2" t="s">
        <v>291</v>
      </c>
      <c r="D199" s="2" t="s">
        <v>431</v>
      </c>
      <c r="E199" s="6">
        <v>1200</v>
      </c>
      <c r="F199" s="18">
        <v>1488187.79</v>
      </c>
      <c r="G199" s="18">
        <v>557375.78</v>
      </c>
      <c r="H199" s="18">
        <v>763141.17999999993</v>
      </c>
      <c r="I199" s="18">
        <v>11401.77</v>
      </c>
      <c r="J199" s="18">
        <v>36847.449999999997</v>
      </c>
      <c r="K199" s="18"/>
      <c r="L199" s="19">
        <f>SUM(F199:K199)</f>
        <v>2856953.97</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53235.09</v>
      </c>
      <c r="G201" s="18">
        <v>16788.080000000002</v>
      </c>
      <c r="H201" s="18">
        <v>4825.29</v>
      </c>
      <c r="I201" s="18">
        <v>1723.24</v>
      </c>
      <c r="J201" s="18"/>
      <c r="K201" s="18">
        <v>535</v>
      </c>
      <c r="L201" s="19">
        <f>SUM(F201:K201)</f>
        <v>77106.7</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670953.52</v>
      </c>
      <c r="G203" s="18">
        <v>328838.08</v>
      </c>
      <c r="H203" s="18">
        <v>81558.94</v>
      </c>
      <c r="I203" s="18">
        <v>7532.87</v>
      </c>
      <c r="J203" s="18">
        <v>638.48</v>
      </c>
      <c r="K203" s="18">
        <v>1205.04</v>
      </c>
      <c r="L203" s="19">
        <f t="shared" ref="L203:L209" si="0">SUM(F203:K203)</f>
        <v>1090726.9300000002</v>
      </c>
      <c r="M203" s="8"/>
      <c r="N203" s="265"/>
    </row>
    <row r="204" spans="1:14" s="3" customFormat="1" ht="12.2" customHeight="1" x14ac:dyDescent="0.15">
      <c r="A204" s="1" t="s">
        <v>443</v>
      </c>
      <c r="B204" s="2" t="s">
        <v>341</v>
      </c>
      <c r="C204" s="2" t="s">
        <v>295</v>
      </c>
      <c r="D204" s="2" t="s">
        <v>431</v>
      </c>
      <c r="E204" s="6">
        <v>2200</v>
      </c>
      <c r="F204" s="18">
        <v>327538.32</v>
      </c>
      <c r="G204" s="18">
        <v>126512.56300000001</v>
      </c>
      <c r="H204" s="18">
        <v>70973.75</v>
      </c>
      <c r="I204" s="18">
        <v>133543.14000000001</v>
      </c>
      <c r="J204" s="18">
        <v>183565.41</v>
      </c>
      <c r="K204" s="18">
        <v>341.69</v>
      </c>
      <c r="L204" s="19">
        <f t="shared" si="0"/>
        <v>842474.87300000002</v>
      </c>
      <c r="M204" s="8"/>
      <c r="N204" s="265"/>
    </row>
    <row r="205" spans="1:14" s="3" customFormat="1" ht="12.2" customHeight="1" x14ac:dyDescent="0.15">
      <c r="A205" s="1" t="s">
        <v>444</v>
      </c>
      <c r="B205" s="2" t="s">
        <v>341</v>
      </c>
      <c r="C205" s="2" t="s">
        <v>296</v>
      </c>
      <c r="D205" s="2" t="s">
        <v>431</v>
      </c>
      <c r="E205" s="6">
        <v>2300</v>
      </c>
      <c r="F205" s="18">
        <v>452666.84</v>
      </c>
      <c r="G205" s="18">
        <v>166647.97</v>
      </c>
      <c r="H205" s="18">
        <v>148673.21</v>
      </c>
      <c r="I205" s="18">
        <v>27390.45</v>
      </c>
      <c r="J205" s="18">
        <v>1327.36</v>
      </c>
      <c r="K205" s="18">
        <v>12333.73</v>
      </c>
      <c r="L205" s="19">
        <f t="shared" si="0"/>
        <v>809039.55999999994</v>
      </c>
      <c r="M205" s="8"/>
      <c r="N205" s="265"/>
    </row>
    <row r="206" spans="1:14" s="3" customFormat="1" ht="12.2" customHeight="1" x14ac:dyDescent="0.15">
      <c r="A206" s="1" t="s">
        <v>445</v>
      </c>
      <c r="B206" s="2" t="s">
        <v>341</v>
      </c>
      <c r="C206" s="2" t="s">
        <v>297</v>
      </c>
      <c r="D206" s="2" t="s">
        <v>431</v>
      </c>
      <c r="E206" s="6">
        <v>2400</v>
      </c>
      <c r="F206" s="18">
        <v>511058.23</v>
      </c>
      <c r="G206" s="18">
        <v>218758.39</v>
      </c>
      <c r="H206" s="18">
        <v>22139.71</v>
      </c>
      <c r="I206" s="18">
        <v>2050.13</v>
      </c>
      <c r="J206" s="18">
        <v>49.41</v>
      </c>
      <c r="K206" s="18">
        <v>2782</v>
      </c>
      <c r="L206" s="19">
        <f t="shared" si="0"/>
        <v>756837.87</v>
      </c>
      <c r="M206" s="8"/>
      <c r="N206" s="265"/>
    </row>
    <row r="207" spans="1:14" s="3" customFormat="1" ht="12.2" customHeight="1" x14ac:dyDescent="0.15">
      <c r="A207" s="1" t="s">
        <v>446</v>
      </c>
      <c r="B207" s="2" t="s">
        <v>341</v>
      </c>
      <c r="C207" s="2" t="s">
        <v>298</v>
      </c>
      <c r="D207" s="2" t="s">
        <v>431</v>
      </c>
      <c r="E207" s="6">
        <v>2500</v>
      </c>
      <c r="F207" s="18">
        <v>194024</v>
      </c>
      <c r="G207" s="18">
        <v>84289.34</v>
      </c>
      <c r="H207" s="18">
        <v>5805.91</v>
      </c>
      <c r="I207" s="18">
        <v>3013.91</v>
      </c>
      <c r="J207" s="18"/>
      <c r="K207" s="18">
        <v>482.73</v>
      </c>
      <c r="L207" s="19">
        <f t="shared" si="0"/>
        <v>287615.8899999999</v>
      </c>
      <c r="M207" s="8"/>
      <c r="N207" s="265"/>
    </row>
    <row r="208" spans="1:14" s="3" customFormat="1" ht="12.2" customHeight="1" x14ac:dyDescent="0.15">
      <c r="A208" s="1" t="s">
        <v>447</v>
      </c>
      <c r="B208" s="2" t="s">
        <v>341</v>
      </c>
      <c r="C208" s="2" t="s">
        <v>299</v>
      </c>
      <c r="D208" s="2" t="s">
        <v>431</v>
      </c>
      <c r="E208" s="6">
        <v>2600</v>
      </c>
      <c r="F208" s="18">
        <v>219809.79</v>
      </c>
      <c r="G208" s="18">
        <v>68716.31</v>
      </c>
      <c r="H208" s="18">
        <v>711599</v>
      </c>
      <c r="I208" s="18">
        <v>268704.39</v>
      </c>
      <c r="J208" s="18">
        <v>9871.3799999999992</v>
      </c>
      <c r="K208" s="18"/>
      <c r="L208" s="19">
        <f t="shared" si="0"/>
        <v>1278700.8699999999</v>
      </c>
      <c r="M208" s="8"/>
      <c r="N208" s="265"/>
    </row>
    <row r="209" spans="1:14" s="3" customFormat="1" ht="12.2" customHeight="1" x14ac:dyDescent="0.15">
      <c r="A209" s="1" t="s">
        <v>448</v>
      </c>
      <c r="B209" s="2" t="s">
        <v>341</v>
      </c>
      <c r="C209" s="2" t="s">
        <v>300</v>
      </c>
      <c r="D209" s="2" t="s">
        <v>431</v>
      </c>
      <c r="E209" s="6">
        <v>2700</v>
      </c>
      <c r="F209" s="18">
        <v>4806.1499999999996</v>
      </c>
      <c r="G209" s="18">
        <v>614.42999999999995</v>
      </c>
      <c r="H209" s="18">
        <v>529581.52</v>
      </c>
      <c r="I209" s="18"/>
      <c r="J209" s="18"/>
      <c r="K209" s="18"/>
      <c r="L209" s="19">
        <f t="shared" si="0"/>
        <v>535002.1</v>
      </c>
      <c r="M209" s="8"/>
      <c r="N209" s="265"/>
    </row>
    <row r="210" spans="1:14" s="3" customFormat="1" ht="12.2" customHeight="1" x14ac:dyDescent="0.15">
      <c r="A210" s="1" t="s">
        <v>449</v>
      </c>
      <c r="B210" s="2" t="s">
        <v>341</v>
      </c>
      <c r="C210" s="2" t="s">
        <v>343</v>
      </c>
      <c r="D210" s="2" t="s">
        <v>431</v>
      </c>
      <c r="E210" s="6">
        <v>2800</v>
      </c>
      <c r="F210" s="18">
        <v>5533.39</v>
      </c>
      <c r="G210" s="18">
        <v>423.28</v>
      </c>
      <c r="H210" s="18"/>
      <c r="I210" s="18"/>
      <c r="J210" s="18"/>
      <c r="K210" s="18"/>
      <c r="L210" s="19">
        <f>SUM(F210:K210)</f>
        <v>5956.67</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7916216.6400000006</v>
      </c>
      <c r="G212" s="41">
        <f t="shared" si="1"/>
        <v>3459173.8130000005</v>
      </c>
      <c r="H212" s="41">
        <f t="shared" si="1"/>
        <v>2342003.6399999997</v>
      </c>
      <c r="I212" s="41">
        <f t="shared" si="1"/>
        <v>557945.85000000009</v>
      </c>
      <c r="J212" s="41">
        <f t="shared" si="1"/>
        <v>288515.70999999996</v>
      </c>
      <c r="K212" s="41">
        <f t="shared" si="1"/>
        <v>19475.09</v>
      </c>
      <c r="L212" s="41">
        <f t="shared" si="1"/>
        <v>14583330.742999997</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1615365.3</v>
      </c>
      <c r="G234" s="18">
        <v>809559.23</v>
      </c>
      <c r="H234" s="18">
        <v>5753.22</v>
      </c>
      <c r="I234" s="18">
        <v>73742.159999999989</v>
      </c>
      <c r="J234" s="18">
        <v>26001.05</v>
      </c>
      <c r="K234" s="18">
        <v>11194.9</v>
      </c>
      <c r="L234" s="19">
        <f>SUM(F234:K234)</f>
        <v>2541615.8600000003</v>
      </c>
      <c r="M234" s="8"/>
      <c r="N234" s="265"/>
    </row>
    <row r="235" spans="1:14" s="3" customFormat="1" ht="12.2" customHeight="1" x14ac:dyDescent="0.15">
      <c r="A235" s="1" t="s">
        <v>439</v>
      </c>
      <c r="B235" s="2" t="s">
        <v>350</v>
      </c>
      <c r="C235" s="2" t="s">
        <v>291</v>
      </c>
      <c r="D235" s="2" t="s">
        <v>431</v>
      </c>
      <c r="E235" s="6">
        <v>1200</v>
      </c>
      <c r="F235" s="18">
        <v>445241.93</v>
      </c>
      <c r="G235" s="18">
        <v>186264.39</v>
      </c>
      <c r="H235" s="18">
        <v>499317.18999999994</v>
      </c>
      <c r="I235" s="18">
        <v>3747.08</v>
      </c>
      <c r="J235" s="18">
        <v>11212.29</v>
      </c>
      <c r="K235" s="18"/>
      <c r="L235" s="19">
        <f>SUM(F235:K235)</f>
        <v>1145782.8800000001</v>
      </c>
      <c r="M235" s="8"/>
      <c r="N235" s="265"/>
    </row>
    <row r="236" spans="1:14" s="3" customFormat="1" ht="12.2" customHeight="1" x14ac:dyDescent="0.15">
      <c r="A236" s="1" t="s">
        <v>440</v>
      </c>
      <c r="B236" s="2" t="s">
        <v>350</v>
      </c>
      <c r="C236" s="2" t="s">
        <v>292</v>
      </c>
      <c r="D236" s="2" t="s">
        <v>431</v>
      </c>
      <c r="E236" s="6">
        <v>1300</v>
      </c>
      <c r="F236" s="18"/>
      <c r="G236" s="18"/>
      <c r="H236" s="18">
        <v>179877.51</v>
      </c>
      <c r="I236" s="18"/>
      <c r="J236" s="18"/>
      <c r="K236" s="18"/>
      <c r="L236" s="19">
        <f>SUM(F236:K236)</f>
        <v>179877.51</v>
      </c>
      <c r="M236" s="8"/>
      <c r="N236" s="265"/>
    </row>
    <row r="237" spans="1:14" s="3" customFormat="1" ht="12.2" customHeight="1" x14ac:dyDescent="0.15">
      <c r="A237" s="1" t="s">
        <v>441</v>
      </c>
      <c r="B237" s="2" t="s">
        <v>350</v>
      </c>
      <c r="C237" s="2" t="s">
        <v>293</v>
      </c>
      <c r="D237" s="2" t="s">
        <v>431</v>
      </c>
      <c r="E237" s="6">
        <v>1400</v>
      </c>
      <c r="F237" s="18">
        <v>92659.64</v>
      </c>
      <c r="G237" s="18">
        <v>25102.34</v>
      </c>
      <c r="H237" s="18">
        <v>41312.85</v>
      </c>
      <c r="I237" s="18">
        <v>9986.61</v>
      </c>
      <c r="J237" s="18"/>
      <c r="K237" s="18">
        <v>9724</v>
      </c>
      <c r="L237" s="19">
        <f>SUM(F237:K237)</f>
        <v>178785.44</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283699.61</v>
      </c>
      <c r="G239" s="18">
        <v>138398.89000000001</v>
      </c>
      <c r="H239" s="18">
        <v>5520.51</v>
      </c>
      <c r="I239" s="18">
        <v>6329.4000000000005</v>
      </c>
      <c r="J239" s="18">
        <v>476.98</v>
      </c>
      <c r="K239" s="18">
        <v>2487.66</v>
      </c>
      <c r="L239" s="19">
        <f t="shared" ref="L239:L245" si="4">SUM(F239:K239)</f>
        <v>436913.05</v>
      </c>
      <c r="M239" s="8"/>
      <c r="N239" s="265"/>
    </row>
    <row r="240" spans="1:14" s="3" customFormat="1" ht="12.2" customHeight="1" x14ac:dyDescent="0.15">
      <c r="A240" s="1" t="s">
        <v>443</v>
      </c>
      <c r="B240" s="2" t="s">
        <v>350</v>
      </c>
      <c r="C240" s="2" t="s">
        <v>295</v>
      </c>
      <c r="D240" s="2" t="s">
        <v>431</v>
      </c>
      <c r="E240" s="6">
        <v>2200</v>
      </c>
      <c r="F240" s="18">
        <v>141716.88999999998</v>
      </c>
      <c r="G240" s="18">
        <v>74144.990000000005</v>
      </c>
      <c r="H240" s="18">
        <v>28991.85</v>
      </c>
      <c r="I240" s="18">
        <v>43711.48</v>
      </c>
      <c r="J240" s="18">
        <v>56731.020000000004</v>
      </c>
      <c r="K240" s="18">
        <v>128.31</v>
      </c>
      <c r="L240" s="19">
        <f t="shared" si="4"/>
        <v>345424.54000000004</v>
      </c>
      <c r="M240" s="8"/>
      <c r="N240" s="265"/>
    </row>
    <row r="241" spans="1:14" s="3" customFormat="1" ht="12.2" customHeight="1" x14ac:dyDescent="0.15">
      <c r="A241" s="1" t="s">
        <v>444</v>
      </c>
      <c r="B241" s="2" t="s">
        <v>350</v>
      </c>
      <c r="C241" s="2" t="s">
        <v>296</v>
      </c>
      <c r="D241" s="2" t="s">
        <v>431</v>
      </c>
      <c r="E241" s="6">
        <v>2300</v>
      </c>
      <c r="F241" s="18">
        <v>169986.16</v>
      </c>
      <c r="G241" s="18">
        <v>62579.91</v>
      </c>
      <c r="H241" s="18">
        <v>55830</v>
      </c>
      <c r="I241" s="18">
        <v>10285.700000000001</v>
      </c>
      <c r="J241" s="18">
        <v>498.45</v>
      </c>
      <c r="K241" s="18">
        <v>4631.58</v>
      </c>
      <c r="L241" s="19">
        <f t="shared" si="4"/>
        <v>303811.80000000005</v>
      </c>
      <c r="M241" s="8"/>
      <c r="N241" s="265"/>
    </row>
    <row r="242" spans="1:14" s="3" customFormat="1" ht="12.2" customHeight="1" x14ac:dyDescent="0.15">
      <c r="A242" s="1" t="s">
        <v>445</v>
      </c>
      <c r="B242" s="2" t="s">
        <v>350</v>
      </c>
      <c r="C242" s="2" t="s">
        <v>297</v>
      </c>
      <c r="D242" s="2" t="s">
        <v>431</v>
      </c>
      <c r="E242" s="6">
        <v>2400</v>
      </c>
      <c r="F242" s="18">
        <v>251703.44</v>
      </c>
      <c r="G242" s="18">
        <v>130536.76</v>
      </c>
      <c r="H242" s="18">
        <v>14517.89</v>
      </c>
      <c r="I242" s="18">
        <v>1910.76</v>
      </c>
      <c r="J242" s="18">
        <v>49.4</v>
      </c>
      <c r="K242" s="18">
        <v>13468.76</v>
      </c>
      <c r="L242" s="19">
        <f t="shared" si="4"/>
        <v>412187.01000000007</v>
      </c>
      <c r="M242" s="8"/>
      <c r="N242" s="265"/>
    </row>
    <row r="243" spans="1:14" s="3" customFormat="1" ht="12.2" customHeight="1" x14ac:dyDescent="0.15">
      <c r="A243" s="1" t="s">
        <v>446</v>
      </c>
      <c r="B243" s="2" t="s">
        <v>350</v>
      </c>
      <c r="C243" s="2" t="s">
        <v>298</v>
      </c>
      <c r="D243" s="2" t="s">
        <v>431</v>
      </c>
      <c r="E243" s="6">
        <v>2500</v>
      </c>
      <c r="F243" s="18">
        <v>72860.2</v>
      </c>
      <c r="G243" s="18">
        <v>31652.47</v>
      </c>
      <c r="H243" s="18">
        <v>2180.2399999999998</v>
      </c>
      <c r="I243" s="18">
        <v>1131.79</v>
      </c>
      <c r="J243" s="18"/>
      <c r="K243" s="18">
        <v>181.27</v>
      </c>
      <c r="L243" s="19">
        <f t="shared" si="4"/>
        <v>108005.97</v>
      </c>
      <c r="M243" s="8"/>
      <c r="N243" s="265"/>
    </row>
    <row r="244" spans="1:14" s="3" customFormat="1" ht="12.2" customHeight="1" x14ac:dyDescent="0.15">
      <c r="A244" s="1" t="s">
        <v>447</v>
      </c>
      <c r="B244" s="2" t="s">
        <v>350</v>
      </c>
      <c r="C244" s="2" t="s">
        <v>299</v>
      </c>
      <c r="D244" s="2" t="s">
        <v>431</v>
      </c>
      <c r="E244" s="6">
        <v>2600</v>
      </c>
      <c r="F244" s="18">
        <v>24564.38</v>
      </c>
      <c r="G244" s="18">
        <v>6454.5800000000008</v>
      </c>
      <c r="H244" s="18">
        <v>305195.89</v>
      </c>
      <c r="I244" s="18">
        <v>152704.57999999999</v>
      </c>
      <c r="J244" s="18">
        <v>3264.02</v>
      </c>
      <c r="K244" s="18"/>
      <c r="L244" s="19">
        <f t="shared" si="4"/>
        <v>492183.45000000007</v>
      </c>
      <c r="M244" s="8"/>
      <c r="N244" s="265"/>
    </row>
    <row r="245" spans="1:14" s="3" customFormat="1" ht="12.2" customHeight="1" x14ac:dyDescent="0.15">
      <c r="A245" s="1" t="s">
        <v>448</v>
      </c>
      <c r="B245" s="2" t="s">
        <v>350</v>
      </c>
      <c r="C245" s="2" t="s">
        <v>300</v>
      </c>
      <c r="D245" s="2" t="s">
        <v>431</v>
      </c>
      <c r="E245" s="6">
        <v>2700</v>
      </c>
      <c r="F245" s="18"/>
      <c r="G245" s="18"/>
      <c r="H245" s="18">
        <v>281573.21000000002</v>
      </c>
      <c r="I245" s="18"/>
      <c r="J245" s="18"/>
      <c r="K245" s="18"/>
      <c r="L245" s="19">
        <f t="shared" si="4"/>
        <v>281573.21000000002</v>
      </c>
      <c r="M245" s="8"/>
      <c r="N245" s="265"/>
    </row>
    <row r="246" spans="1:14" s="3" customFormat="1" ht="12.2" customHeight="1" x14ac:dyDescent="0.15">
      <c r="A246" s="1" t="s">
        <v>449</v>
      </c>
      <c r="B246" s="2" t="s">
        <v>350</v>
      </c>
      <c r="C246" s="2" t="s">
        <v>343</v>
      </c>
      <c r="D246" s="2" t="s">
        <v>431</v>
      </c>
      <c r="E246" s="6">
        <v>2800</v>
      </c>
      <c r="F246" s="18">
        <v>1867.9</v>
      </c>
      <c r="G246" s="18">
        <v>142.88</v>
      </c>
      <c r="H246" s="18"/>
      <c r="I246" s="18"/>
      <c r="J246" s="18"/>
      <c r="K246" s="18"/>
      <c r="L246" s="19">
        <f>SUM(F246:K246)</f>
        <v>2010.7800000000002</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3099665.45</v>
      </c>
      <c r="G248" s="41">
        <f t="shared" si="5"/>
        <v>1464836.44</v>
      </c>
      <c r="H248" s="41">
        <f t="shared" si="5"/>
        <v>1420070.3599999999</v>
      </c>
      <c r="I248" s="41">
        <f t="shared" si="5"/>
        <v>303549.56</v>
      </c>
      <c r="J248" s="41">
        <f t="shared" si="5"/>
        <v>98233.209999999992</v>
      </c>
      <c r="K248" s="41">
        <f t="shared" si="5"/>
        <v>41816.480000000003</v>
      </c>
      <c r="L248" s="41">
        <f t="shared" si="5"/>
        <v>6428171.5</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v>220513.25</v>
      </c>
      <c r="I256" s="18"/>
      <c r="J256" s="18"/>
      <c r="K256" s="18">
        <v>15990.01</v>
      </c>
      <c r="L256" s="19">
        <f t="shared" si="6"/>
        <v>236503.26</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220513.25</v>
      </c>
      <c r="I257" s="41">
        <f t="shared" si="7"/>
        <v>0</v>
      </c>
      <c r="J257" s="41">
        <f t="shared" si="7"/>
        <v>0</v>
      </c>
      <c r="K257" s="41">
        <f t="shared" si="7"/>
        <v>15990.01</v>
      </c>
      <c r="L257" s="41">
        <f>SUM(F257:K257)</f>
        <v>236503.26</v>
      </c>
      <c r="M257" s="8"/>
      <c r="N257" s="265"/>
    </row>
    <row r="258" spans="1:14" s="3" customFormat="1" ht="12.2" customHeight="1" thickTop="1" x14ac:dyDescent="0.15">
      <c r="A258" s="38" t="s">
        <v>462</v>
      </c>
      <c r="B258" s="40">
        <v>10</v>
      </c>
      <c r="C258" s="40">
        <v>8</v>
      </c>
      <c r="D258" s="39" t="s">
        <v>431</v>
      </c>
      <c r="E258" s="40"/>
      <c r="F258" s="41">
        <f t="shared" ref="F258:L258" si="8">F212+F230+F248+F257</f>
        <v>11015882.09</v>
      </c>
      <c r="G258" s="41">
        <f t="shared" si="8"/>
        <v>4924010.2530000005</v>
      </c>
      <c r="H258" s="41">
        <f t="shared" si="8"/>
        <v>3982587.2499999995</v>
      </c>
      <c r="I258" s="41">
        <f t="shared" si="8"/>
        <v>861495.41000000015</v>
      </c>
      <c r="J258" s="41">
        <f t="shared" si="8"/>
        <v>386748.91999999993</v>
      </c>
      <c r="K258" s="41">
        <f t="shared" si="8"/>
        <v>77281.58</v>
      </c>
      <c r="L258" s="41">
        <f t="shared" si="8"/>
        <v>21248005.502999999</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725000</v>
      </c>
      <c r="L261" s="19">
        <f>SUM(F261:K261)</f>
        <v>725000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1372007.5</v>
      </c>
      <c r="L262" s="19">
        <f>SUM(F262:K262)</f>
        <v>1372007.5</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608255</v>
      </c>
      <c r="L267" s="19">
        <f t="shared" si="9"/>
        <v>608255</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2705262.5</v>
      </c>
      <c r="L271" s="41">
        <f t="shared" si="9"/>
        <v>2705262.5</v>
      </c>
      <c r="M271" s="8"/>
      <c r="N271" s="265"/>
    </row>
    <row r="272" spans="1:14" s="34" customFormat="1" ht="12.2" customHeight="1" thickTop="1" x14ac:dyDescent="0.2">
      <c r="A272" s="43" t="s">
        <v>464</v>
      </c>
      <c r="B272" s="40">
        <v>10</v>
      </c>
      <c r="C272" s="40">
        <v>18</v>
      </c>
      <c r="D272" s="39" t="s">
        <v>431</v>
      </c>
      <c r="E272" s="40"/>
      <c r="F272" s="42">
        <f t="shared" ref="F272:L272" si="11">F258+F271</f>
        <v>11015882.09</v>
      </c>
      <c r="G272" s="42">
        <f t="shared" si="11"/>
        <v>4924010.2530000005</v>
      </c>
      <c r="H272" s="42">
        <f t="shared" si="11"/>
        <v>3982587.2499999995</v>
      </c>
      <c r="I272" s="42">
        <f t="shared" si="11"/>
        <v>861495.41000000015</v>
      </c>
      <c r="J272" s="42">
        <f t="shared" si="11"/>
        <v>386748.91999999993</v>
      </c>
      <c r="K272" s="42">
        <f t="shared" si="11"/>
        <v>2782544.08</v>
      </c>
      <c r="L272" s="42">
        <f t="shared" si="11"/>
        <v>23953268.002999999</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214260.22999999998</v>
      </c>
      <c r="G277" s="18">
        <v>76707.290000000008</v>
      </c>
      <c r="H277" s="18">
        <v>3089.74</v>
      </c>
      <c r="I277" s="18">
        <v>11482.96</v>
      </c>
      <c r="J277" s="18">
        <v>22973.05</v>
      </c>
      <c r="K277" s="18"/>
      <c r="L277" s="19">
        <f>SUM(F277:K277)</f>
        <v>328513.27</v>
      </c>
      <c r="M277" s="8"/>
      <c r="N277" s="265"/>
    </row>
    <row r="278" spans="1:14" s="3" customFormat="1" ht="12.2" customHeight="1" x14ac:dyDescent="0.15">
      <c r="A278" s="1" t="s">
        <v>439</v>
      </c>
      <c r="B278" s="2" t="s">
        <v>357</v>
      </c>
      <c r="C278" s="2" t="s">
        <v>291</v>
      </c>
      <c r="D278" s="2" t="s">
        <v>431</v>
      </c>
      <c r="E278" s="6">
        <v>1200</v>
      </c>
      <c r="F278" s="18">
        <v>168691.71</v>
      </c>
      <c r="G278" s="18">
        <v>95939.15</v>
      </c>
      <c r="H278" s="18">
        <v>27877.58</v>
      </c>
      <c r="I278" s="18">
        <v>4199.9799999999996</v>
      </c>
      <c r="J278" s="18">
        <v>525.23</v>
      </c>
      <c r="K278" s="18"/>
      <c r="L278" s="19">
        <f>SUM(F278:K278)</f>
        <v>297233.64999999997</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9765</v>
      </c>
      <c r="G282" s="18">
        <v>2799.64</v>
      </c>
      <c r="H282" s="18"/>
      <c r="I282" s="18"/>
      <c r="J282" s="18"/>
      <c r="K282" s="18"/>
      <c r="L282" s="19">
        <f t="shared" ref="L282:L288" si="12">SUM(F282:K282)</f>
        <v>12564.64</v>
      </c>
      <c r="M282" s="8"/>
      <c r="N282" s="265"/>
    </row>
    <row r="283" spans="1:14" s="3" customFormat="1" ht="12.2" customHeight="1" x14ac:dyDescent="0.15">
      <c r="A283" s="1" t="s">
        <v>443</v>
      </c>
      <c r="B283" s="2" t="s">
        <v>357</v>
      </c>
      <c r="C283" s="2" t="s">
        <v>295</v>
      </c>
      <c r="D283" s="2" t="s">
        <v>431</v>
      </c>
      <c r="E283" s="6">
        <v>2200</v>
      </c>
      <c r="F283" s="18">
        <v>77253.84</v>
      </c>
      <c r="G283" s="18">
        <v>15421.57</v>
      </c>
      <c r="H283" s="18">
        <v>58696.44</v>
      </c>
      <c r="I283" s="18">
        <v>22134.84</v>
      </c>
      <c r="J283" s="18"/>
      <c r="K283" s="18"/>
      <c r="L283" s="19">
        <f t="shared" si="12"/>
        <v>173506.69</v>
      </c>
      <c r="M283" s="8"/>
      <c r="N283" s="265"/>
    </row>
    <row r="284" spans="1:14" s="3" customFormat="1" ht="12.2" customHeight="1" x14ac:dyDescent="0.15">
      <c r="A284" s="1" t="s">
        <v>444</v>
      </c>
      <c r="B284" s="2" t="s">
        <v>357</v>
      </c>
      <c r="C284" s="2" t="s">
        <v>296</v>
      </c>
      <c r="D284" s="2" t="s">
        <v>431</v>
      </c>
      <c r="E284" s="6">
        <v>2300</v>
      </c>
      <c r="F284" s="18">
        <v>2180.9899999999998</v>
      </c>
      <c r="G284" s="18">
        <v>625.29</v>
      </c>
      <c r="H284" s="18"/>
      <c r="I284" s="18">
        <v>3453.24</v>
      </c>
      <c r="J284" s="18"/>
      <c r="K284" s="18"/>
      <c r="L284" s="19">
        <f t="shared" si="12"/>
        <v>6259.5199999999995</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v>27312.29</v>
      </c>
      <c r="I288" s="18"/>
      <c r="J288" s="18"/>
      <c r="K288" s="18"/>
      <c r="L288" s="19">
        <f t="shared" si="12"/>
        <v>27312.29</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472151.7699999999</v>
      </c>
      <c r="G291" s="42">
        <f t="shared" si="13"/>
        <v>191492.94000000003</v>
      </c>
      <c r="H291" s="42">
        <f t="shared" si="13"/>
        <v>116976.05000000002</v>
      </c>
      <c r="I291" s="42">
        <f t="shared" si="13"/>
        <v>41271.019999999997</v>
      </c>
      <c r="J291" s="42">
        <f t="shared" si="13"/>
        <v>23498.28</v>
      </c>
      <c r="K291" s="42">
        <f t="shared" si="13"/>
        <v>0</v>
      </c>
      <c r="L291" s="41">
        <f t="shared" si="13"/>
        <v>845390.06</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48652.2</v>
      </c>
      <c r="G315" s="18">
        <v>13471.71</v>
      </c>
      <c r="H315" s="18">
        <v>1160.26</v>
      </c>
      <c r="I315" s="18"/>
      <c r="J315" s="18"/>
      <c r="K315" s="18"/>
      <c r="L315" s="19">
        <f>SUM(F315:K315)</f>
        <v>63284.17</v>
      </c>
      <c r="M315" s="8"/>
      <c r="N315" s="265"/>
    </row>
    <row r="316" spans="1:14" s="3" customFormat="1" ht="12.2" customHeight="1" x14ac:dyDescent="0.15">
      <c r="A316" s="1" t="s">
        <v>439</v>
      </c>
      <c r="B316" s="2" t="s">
        <v>359</v>
      </c>
      <c r="C316" s="2" t="s">
        <v>291</v>
      </c>
      <c r="D316" s="2" t="s">
        <v>431</v>
      </c>
      <c r="E316" s="6">
        <v>1200</v>
      </c>
      <c r="F316" s="18"/>
      <c r="G316" s="18"/>
      <c r="H316" s="18">
        <v>10457.219999999999</v>
      </c>
      <c r="I316" s="18">
        <v>596.17999999999995</v>
      </c>
      <c r="J316" s="18"/>
      <c r="K316" s="18"/>
      <c r="L316" s="19">
        <f>SUM(F316:K316)</f>
        <v>11053.4</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v>29010.48</v>
      </c>
      <c r="G321" s="18">
        <v>5791.13</v>
      </c>
      <c r="H321" s="18">
        <v>17028.560000000001</v>
      </c>
      <c r="I321" s="18">
        <v>8312.11</v>
      </c>
      <c r="J321" s="18"/>
      <c r="K321" s="18"/>
      <c r="L321" s="19">
        <f t="shared" si="16"/>
        <v>60142.28</v>
      </c>
      <c r="M321" s="8"/>
      <c r="N321" s="265"/>
    </row>
    <row r="322" spans="1:14" s="3" customFormat="1" ht="12.2" customHeight="1" x14ac:dyDescent="0.15">
      <c r="A322" s="1" t="s">
        <v>444</v>
      </c>
      <c r="B322" s="2" t="s">
        <v>359</v>
      </c>
      <c r="C322" s="2" t="s">
        <v>296</v>
      </c>
      <c r="D322" s="2" t="s">
        <v>431</v>
      </c>
      <c r="E322" s="6">
        <v>2300</v>
      </c>
      <c r="F322" s="18">
        <v>819.01</v>
      </c>
      <c r="G322" s="18">
        <v>234.81</v>
      </c>
      <c r="H322" s="18"/>
      <c r="I322" s="18">
        <v>1296.76</v>
      </c>
      <c r="J322" s="18"/>
      <c r="K322" s="18"/>
      <c r="L322" s="19">
        <f t="shared" si="16"/>
        <v>2350.58</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v>10256.35</v>
      </c>
      <c r="I326" s="18"/>
      <c r="J326" s="18"/>
      <c r="K326" s="18"/>
      <c r="L326" s="19">
        <f t="shared" si="16"/>
        <v>10256.35</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78481.689999999988</v>
      </c>
      <c r="G329" s="42">
        <f t="shared" si="17"/>
        <v>19497.650000000001</v>
      </c>
      <c r="H329" s="42">
        <f t="shared" si="17"/>
        <v>38902.39</v>
      </c>
      <c r="I329" s="42">
        <f t="shared" si="17"/>
        <v>10205.050000000001</v>
      </c>
      <c r="J329" s="42">
        <f t="shared" si="17"/>
        <v>0</v>
      </c>
      <c r="K329" s="42">
        <f t="shared" si="17"/>
        <v>0</v>
      </c>
      <c r="L329" s="41">
        <f t="shared" si="17"/>
        <v>147086.77999999997</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v>1866</v>
      </c>
      <c r="G333" s="18">
        <v>534</v>
      </c>
      <c r="H333" s="18">
        <v>575</v>
      </c>
      <c r="I333" s="18">
        <v>8853.4599999999991</v>
      </c>
      <c r="J333" s="18">
        <v>10850.41</v>
      </c>
      <c r="K333" s="18"/>
      <c r="L333" s="19">
        <f t="shared" ref="L333:L338" si="18">SUM(F333:K333)</f>
        <v>22678.87</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1866</v>
      </c>
      <c r="G338" s="41">
        <f t="shared" si="19"/>
        <v>534</v>
      </c>
      <c r="H338" s="41">
        <f t="shared" si="19"/>
        <v>575</v>
      </c>
      <c r="I338" s="41">
        <f t="shared" si="19"/>
        <v>8853.4599999999991</v>
      </c>
      <c r="J338" s="41">
        <f t="shared" si="19"/>
        <v>10850.41</v>
      </c>
      <c r="K338" s="41">
        <f t="shared" si="19"/>
        <v>0</v>
      </c>
      <c r="L338" s="41">
        <f t="shared" si="18"/>
        <v>22678.87</v>
      </c>
      <c r="M338" s="8"/>
      <c r="N338" s="265"/>
    </row>
    <row r="339" spans="1:43" s="3" customFormat="1" ht="12.2" customHeight="1" thickTop="1" x14ac:dyDescent="0.15">
      <c r="A339" s="38" t="s">
        <v>468</v>
      </c>
      <c r="B339" s="40">
        <v>14</v>
      </c>
      <c r="C339" s="40">
        <v>7</v>
      </c>
      <c r="D339" s="39" t="s">
        <v>431</v>
      </c>
      <c r="E339" s="40"/>
      <c r="F339" s="41">
        <f t="shared" ref="F339:L339" si="20">F291+F310+F329+F338</f>
        <v>552499.45999999985</v>
      </c>
      <c r="G339" s="41">
        <f t="shared" si="20"/>
        <v>211524.59000000003</v>
      </c>
      <c r="H339" s="41">
        <f t="shared" si="20"/>
        <v>156453.44</v>
      </c>
      <c r="I339" s="41">
        <f t="shared" si="20"/>
        <v>60329.53</v>
      </c>
      <c r="J339" s="41">
        <f t="shared" si="20"/>
        <v>34348.69</v>
      </c>
      <c r="K339" s="41">
        <f t="shared" si="20"/>
        <v>0</v>
      </c>
      <c r="L339" s="41">
        <f t="shared" si="20"/>
        <v>1015155.7100000001</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552499.45999999985</v>
      </c>
      <c r="G353" s="41">
        <f>G339</f>
        <v>211524.59000000003</v>
      </c>
      <c r="H353" s="41">
        <f>H339</f>
        <v>156453.44</v>
      </c>
      <c r="I353" s="41">
        <f>I339</f>
        <v>60329.53</v>
      </c>
      <c r="J353" s="41">
        <f>J339</f>
        <v>34348.69</v>
      </c>
      <c r="K353" s="47">
        <f>K339+K352</f>
        <v>0</v>
      </c>
      <c r="L353" s="41">
        <f>L339+L352</f>
        <v>1015155.7100000001</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110261.27</v>
      </c>
      <c r="G359" s="18">
        <v>36595.54</v>
      </c>
      <c r="H359" s="18">
        <v>117020.89000000001</v>
      </c>
      <c r="I359" s="18">
        <v>109294.14</v>
      </c>
      <c r="J359" s="18">
        <v>4432.25</v>
      </c>
      <c r="K359" s="18">
        <v>610.67999999999995</v>
      </c>
      <c r="L359" s="13">
        <f>SUM(F359:K359)</f>
        <v>378214.77</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v>128942.43000000001</v>
      </c>
      <c r="I361" s="18">
        <v>1440.36</v>
      </c>
      <c r="J361" s="18">
        <v>4197.12</v>
      </c>
      <c r="K361" s="18">
        <v>229.32</v>
      </c>
      <c r="L361" s="19">
        <f>SUM(F361:K361)</f>
        <v>134809.23000000001</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110261.27</v>
      </c>
      <c r="G363" s="47">
        <f t="shared" si="22"/>
        <v>36595.54</v>
      </c>
      <c r="H363" s="47">
        <f t="shared" si="22"/>
        <v>245963.32</v>
      </c>
      <c r="I363" s="47">
        <f t="shared" si="22"/>
        <v>110734.5</v>
      </c>
      <c r="J363" s="47">
        <f t="shared" si="22"/>
        <v>8629.369999999999</v>
      </c>
      <c r="K363" s="47">
        <f t="shared" si="22"/>
        <v>840</v>
      </c>
      <c r="L363" s="47">
        <f t="shared" si="22"/>
        <v>513024</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98059.46</v>
      </c>
      <c r="G368" s="18"/>
      <c r="H368" s="18">
        <v>9184.0400000000009</v>
      </c>
      <c r="I368" s="56">
        <f>SUM(F368:H368)</f>
        <v>107243.5</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3491</v>
      </c>
      <c r="G369" s="63"/>
      <c r="H369" s="63"/>
      <c r="I369" s="56">
        <f>SUM(F369:H369)</f>
        <v>3491</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101550.46</v>
      </c>
      <c r="G370" s="47">
        <f>SUM(G368:G369)</f>
        <v>0</v>
      </c>
      <c r="H370" s="47">
        <f>SUM(H368:H369)</f>
        <v>9184.0400000000009</v>
      </c>
      <c r="I370" s="47">
        <f>SUM(I368:I369)</f>
        <v>110734.5</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v>12130</v>
      </c>
      <c r="I377" s="18"/>
      <c r="J377" s="18"/>
      <c r="K377" s="18"/>
      <c r="L377" s="13">
        <f t="shared" si="23"/>
        <v>12130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12130</v>
      </c>
      <c r="I383" s="41">
        <f t="shared" si="24"/>
        <v>0</v>
      </c>
      <c r="J383" s="47">
        <f t="shared" si="24"/>
        <v>0</v>
      </c>
      <c r="K383" s="47">
        <f t="shared" si="24"/>
        <v>0</v>
      </c>
      <c r="L383" s="47">
        <f t="shared" si="24"/>
        <v>12130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v>0.12</v>
      </c>
      <c r="I389" s="18"/>
      <c r="J389" s="24" t="s">
        <v>288</v>
      </c>
      <c r="K389" s="24" t="s">
        <v>288</v>
      </c>
      <c r="L389" s="56">
        <f t="shared" si="25"/>
        <v>0.12</v>
      </c>
      <c r="M389" s="8"/>
      <c r="N389" s="265"/>
    </row>
    <row r="390" spans="1:14" s="3" customFormat="1" ht="12.2" customHeight="1" x14ac:dyDescent="0.15">
      <c r="A390" s="79" t="s">
        <v>552</v>
      </c>
      <c r="B390" s="2" t="s">
        <v>381</v>
      </c>
      <c r="C390" s="6">
        <v>3</v>
      </c>
      <c r="D390" s="2" t="s">
        <v>432</v>
      </c>
      <c r="E390" s="6"/>
      <c r="F390" s="18"/>
      <c r="G390" s="18"/>
      <c r="H390" s="18">
        <v>935.76</v>
      </c>
      <c r="I390" s="18"/>
      <c r="J390" s="24" t="s">
        <v>288</v>
      </c>
      <c r="K390" s="24" t="s">
        <v>288</v>
      </c>
      <c r="L390" s="56">
        <f t="shared" si="25"/>
        <v>935.76</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v>25.6</v>
      </c>
      <c r="I393" s="18"/>
      <c r="J393" s="24" t="s">
        <v>288</v>
      </c>
      <c r="K393" s="24" t="s">
        <v>288</v>
      </c>
      <c r="L393" s="56">
        <f t="shared" si="25"/>
        <v>25.6</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961.48</v>
      </c>
      <c r="I394" s="65">
        <f>SUM(I388:I393)</f>
        <v>0</v>
      </c>
      <c r="J394" s="45" t="s">
        <v>288</v>
      </c>
      <c r="K394" s="45" t="s">
        <v>288</v>
      </c>
      <c r="L394" s="47">
        <f>SUM(L388:L393)</f>
        <v>961.48</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608255</v>
      </c>
      <c r="H397" s="18"/>
      <c r="I397" s="18"/>
      <c r="J397" s="24" t="s">
        <v>288</v>
      </c>
      <c r="K397" s="24" t="s">
        <v>288</v>
      </c>
      <c r="L397" s="56">
        <f t="shared" si="26"/>
        <v>608255</v>
      </c>
      <c r="M397" s="8"/>
      <c r="N397" s="265"/>
    </row>
    <row r="398" spans="1:14" s="3" customFormat="1" ht="12.2" customHeight="1" x14ac:dyDescent="0.15">
      <c r="A398" s="79" t="s">
        <v>515</v>
      </c>
      <c r="B398" s="2" t="s">
        <v>381</v>
      </c>
      <c r="C398" s="6">
        <v>10</v>
      </c>
      <c r="D398" s="2" t="s">
        <v>432</v>
      </c>
      <c r="E398" s="6"/>
      <c r="F398" s="18"/>
      <c r="G398" s="18"/>
      <c r="H398" s="18">
        <v>302.08999999999997</v>
      </c>
      <c r="I398" s="18"/>
      <c r="J398" s="24" t="s">
        <v>288</v>
      </c>
      <c r="K398" s="24" t="s">
        <v>288</v>
      </c>
      <c r="L398" s="56">
        <f t="shared" si="26"/>
        <v>302.08999999999997</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v>176.52</v>
      </c>
      <c r="I400" s="18"/>
      <c r="J400" s="24" t="s">
        <v>288</v>
      </c>
      <c r="K400" s="24" t="s">
        <v>288</v>
      </c>
      <c r="L400" s="56">
        <f t="shared" si="26"/>
        <v>176.52</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608255</v>
      </c>
      <c r="H402" s="47">
        <f>SUM(H396:H401)</f>
        <v>478.61</v>
      </c>
      <c r="I402" s="47">
        <f>SUM(I396:I401)</f>
        <v>0</v>
      </c>
      <c r="J402" s="45" t="s">
        <v>288</v>
      </c>
      <c r="K402" s="45" t="s">
        <v>288</v>
      </c>
      <c r="L402" s="47">
        <f>SUM(L396:L401)</f>
        <v>608733.61</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608255</v>
      </c>
      <c r="H409" s="47">
        <f>H394+H402+H408</f>
        <v>1440.0900000000001</v>
      </c>
      <c r="I409" s="47">
        <f>I394+I402+I408</f>
        <v>0</v>
      </c>
      <c r="J409" s="24" t="s">
        <v>288</v>
      </c>
      <c r="K409" s="24" t="s">
        <v>288</v>
      </c>
      <c r="L409" s="47">
        <f>L394+L402+L408</f>
        <v>609695.09</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v>27780</v>
      </c>
      <c r="L415" s="56">
        <f t="shared" si="27"/>
        <v>27780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27780</v>
      </c>
      <c r="L420" s="47">
        <f t="shared" si="28"/>
        <v>27780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27780</v>
      </c>
      <c r="L435" s="47">
        <f t="shared" si="32"/>
        <v>27780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v>558595.89</v>
      </c>
      <c r="G442" s="18">
        <v>1083567.95</v>
      </c>
      <c r="H442" s="18"/>
      <c r="I442" s="56">
        <f t="shared" si="33"/>
        <v>1642163.8399999999</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558595.89</v>
      </c>
      <c r="G447" s="13">
        <f>SUM(G440:G446)</f>
        <v>1083567.95</v>
      </c>
      <c r="H447" s="13">
        <f>SUM(H440:H446)</f>
        <v>0</v>
      </c>
      <c r="I447" s="13">
        <f>SUM(I440:I446)</f>
        <v>1642163.8399999999</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v>27780</v>
      </c>
      <c r="G450" s="18"/>
      <c r="H450" s="18"/>
      <c r="I450" s="56">
        <f>SUM(F450:H450)</f>
        <v>27780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27780</v>
      </c>
      <c r="G453" s="72">
        <f>SUM(G449:G452)</f>
        <v>0</v>
      </c>
      <c r="H453" s="72">
        <f>SUM(H449:H452)</f>
        <v>0</v>
      </c>
      <c r="I453" s="72">
        <f>SUM(I449:I452)</f>
        <v>27780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530815.89</v>
      </c>
      <c r="G460" s="18">
        <v>1083567.95</v>
      </c>
      <c r="H460" s="18"/>
      <c r="I460" s="56">
        <f t="shared" si="34"/>
        <v>1614383.8399999999</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530815.89</v>
      </c>
      <c r="G461" s="83">
        <f>SUM(G455:G460)</f>
        <v>1083567.95</v>
      </c>
      <c r="H461" s="83">
        <f>SUM(H455:H460)</f>
        <v>0</v>
      </c>
      <c r="I461" s="83">
        <f>SUM(I455:I460)</f>
        <v>1614383.8399999999</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558595.89</v>
      </c>
      <c r="G462" s="42">
        <f>G453+G461</f>
        <v>1083567.95</v>
      </c>
      <c r="H462" s="42">
        <f>H453+H461</f>
        <v>0</v>
      </c>
      <c r="I462" s="42">
        <f>I453+I461</f>
        <v>1642163.8399999999</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2511866</v>
      </c>
      <c r="G466" s="18">
        <v>0</v>
      </c>
      <c r="H466" s="18">
        <v>39134</v>
      </c>
      <c r="I466" s="18">
        <v>396735</v>
      </c>
      <c r="J466" s="18">
        <v>1032468.75</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23260362</v>
      </c>
      <c r="G469" s="18">
        <v>644210</v>
      </c>
      <c r="H469" s="18">
        <v>1002207</v>
      </c>
      <c r="I469" s="18">
        <v>387</v>
      </c>
      <c r="J469" s="18">
        <v>609695.09</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23260362</v>
      </c>
      <c r="G471" s="53">
        <f>SUM(G469:G470)</f>
        <v>644210</v>
      </c>
      <c r="H471" s="53">
        <f>SUM(H469:H470)</f>
        <v>1002207</v>
      </c>
      <c r="I471" s="53">
        <f>SUM(I469:I470)</f>
        <v>387</v>
      </c>
      <c r="J471" s="53">
        <f>SUM(J469:J470)</f>
        <v>609695.09</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23953268</v>
      </c>
      <c r="G473" s="18">
        <v>513024</v>
      </c>
      <c r="H473" s="18">
        <v>1015155.71</v>
      </c>
      <c r="I473" s="18">
        <v>12130</v>
      </c>
      <c r="J473" s="18">
        <v>27780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23953268</v>
      </c>
      <c r="G475" s="53">
        <f>SUM(G473:G474)</f>
        <v>513024</v>
      </c>
      <c r="H475" s="53">
        <f>SUM(H473:H474)</f>
        <v>1015155.71</v>
      </c>
      <c r="I475" s="53">
        <f>SUM(I473:I474)</f>
        <v>12130</v>
      </c>
      <c r="J475" s="53">
        <f>SUM(J473:J474)</f>
        <v>27780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1818960</v>
      </c>
      <c r="G477" s="53">
        <f>(G466+G471)- G475</f>
        <v>131186</v>
      </c>
      <c r="H477" s="53">
        <f>(H466+H471)- H475</f>
        <v>26185.290000000037</v>
      </c>
      <c r="I477" s="53">
        <f>(I466+I471)- I475</f>
        <v>384992</v>
      </c>
      <c r="J477" s="53">
        <f>(J466+J471)- J475</f>
        <v>1614383.8399999999</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372">
        <v>35816700</v>
      </c>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3.33</v>
      </c>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725000</v>
      </c>
      <c r="G498" s="18"/>
      <c r="H498" s="18"/>
      <c r="I498" s="18"/>
      <c r="J498" s="18"/>
      <c r="K498" s="53">
        <f t="shared" si="35"/>
        <v>725000</v>
      </c>
      <c r="L498" s="24" t="s">
        <v>288</v>
      </c>
      <c r="N498" s="264"/>
    </row>
    <row r="499" spans="1:14" s="52" customFormat="1" ht="12.2" customHeight="1" x14ac:dyDescent="0.2">
      <c r="A499" s="199" t="s">
        <v>622</v>
      </c>
      <c r="B499" s="200">
        <v>20</v>
      </c>
      <c r="C499" s="201">
        <v>9</v>
      </c>
      <c r="D499" s="202" t="s">
        <v>432</v>
      </c>
      <c r="E499" s="201"/>
      <c r="F499" s="203">
        <v>33120000</v>
      </c>
      <c r="G499" s="203"/>
      <c r="H499" s="203"/>
      <c r="I499" s="203"/>
      <c r="J499" s="203"/>
      <c r="K499" s="204">
        <f t="shared" si="35"/>
        <v>33120000</v>
      </c>
      <c r="L499" s="205" t="s">
        <v>288</v>
      </c>
      <c r="N499" s="264"/>
    </row>
    <row r="500" spans="1:14" s="52" customFormat="1" ht="12.2" customHeight="1" thickBot="1" x14ac:dyDescent="0.25">
      <c r="A500" s="22" t="s">
        <v>623</v>
      </c>
      <c r="B500" s="75">
        <v>20</v>
      </c>
      <c r="C500" s="115">
        <v>10</v>
      </c>
      <c r="D500" s="2" t="s">
        <v>432</v>
      </c>
      <c r="E500" s="115"/>
      <c r="F500" s="18">
        <v>18705750</v>
      </c>
      <c r="G500" s="18"/>
      <c r="H500" s="18"/>
      <c r="I500" s="18"/>
      <c r="J500" s="18"/>
      <c r="K500" s="53">
        <f t="shared" si="35"/>
        <v>18705750</v>
      </c>
      <c r="L500" s="24" t="s">
        <v>288</v>
      </c>
      <c r="N500" s="264"/>
    </row>
    <row r="501" spans="1:14" s="52" customFormat="1" ht="12.2" customHeight="1" thickTop="1" x14ac:dyDescent="0.2">
      <c r="A501" s="139" t="s">
        <v>624</v>
      </c>
      <c r="B501" s="44">
        <v>20</v>
      </c>
      <c r="C501" s="194">
        <v>11</v>
      </c>
      <c r="D501" s="39" t="s">
        <v>432</v>
      </c>
      <c r="E501" s="194"/>
      <c r="F501" s="42">
        <f>SUM(F499:F500)</f>
        <v>51825750</v>
      </c>
      <c r="G501" s="42">
        <f>SUM(G499:G500)</f>
        <v>0</v>
      </c>
      <c r="H501" s="42">
        <f>SUM(H499:H500)</f>
        <v>0</v>
      </c>
      <c r="I501" s="42">
        <f>SUM(I499:I500)</f>
        <v>0</v>
      </c>
      <c r="J501" s="42">
        <f>SUM(J499:J500)</f>
        <v>0</v>
      </c>
      <c r="K501" s="42">
        <f t="shared" si="35"/>
        <v>51825750</v>
      </c>
      <c r="L501" s="45" t="s">
        <v>288</v>
      </c>
      <c r="N501" s="264"/>
    </row>
    <row r="502" spans="1:14" s="52" customFormat="1" ht="12.2" customHeight="1" x14ac:dyDescent="0.2">
      <c r="A502" s="199" t="s">
        <v>651</v>
      </c>
      <c r="B502" s="200">
        <v>20</v>
      </c>
      <c r="C502" s="201">
        <v>12</v>
      </c>
      <c r="D502" s="202" t="s">
        <v>432</v>
      </c>
      <c r="E502" s="201"/>
      <c r="F502" s="203">
        <v>765000</v>
      </c>
      <c r="G502" s="203"/>
      <c r="H502" s="203"/>
      <c r="I502" s="203"/>
      <c r="J502" s="203"/>
      <c r="K502" s="204">
        <f t="shared" si="35"/>
        <v>765000</v>
      </c>
      <c r="L502" s="205" t="s">
        <v>288</v>
      </c>
      <c r="N502" s="264"/>
    </row>
    <row r="503" spans="1:14" s="52" customFormat="1" ht="12.2" customHeight="1" thickBot="1" x14ac:dyDescent="0.25">
      <c r="A503" s="22" t="s">
        <v>625</v>
      </c>
      <c r="B503" s="75">
        <v>20</v>
      </c>
      <c r="C503" s="115">
        <v>13</v>
      </c>
      <c r="D503" s="2" t="s">
        <v>432</v>
      </c>
      <c r="E503" s="115"/>
      <c r="F503" s="18">
        <v>1334012.5</v>
      </c>
      <c r="G503" s="18"/>
      <c r="H503" s="18"/>
      <c r="I503" s="18"/>
      <c r="J503" s="18"/>
      <c r="K503" s="53">
        <f t="shared" si="35"/>
        <v>1334012.5</v>
      </c>
      <c r="L503" s="24" t="s">
        <v>288</v>
      </c>
      <c r="N503" s="264"/>
    </row>
    <row r="504" spans="1:14" s="52" customFormat="1" ht="12.2" customHeight="1" thickTop="1" x14ac:dyDescent="0.2">
      <c r="A504" s="139" t="s">
        <v>626</v>
      </c>
      <c r="B504" s="44">
        <v>20</v>
      </c>
      <c r="C504" s="194">
        <v>14</v>
      </c>
      <c r="D504" s="39" t="s">
        <v>432</v>
      </c>
      <c r="E504" s="194"/>
      <c r="F504" s="42">
        <f>SUM(F502:F503)</f>
        <v>2099012.5</v>
      </c>
      <c r="G504" s="42">
        <f>SUM(G502:G503)</f>
        <v>0</v>
      </c>
      <c r="H504" s="42">
        <f>SUM(H502:H503)</f>
        <v>0</v>
      </c>
      <c r="I504" s="42">
        <f>SUM(I502:I503)</f>
        <v>0</v>
      </c>
      <c r="J504" s="42">
        <f>SUM(J502:J503)</f>
        <v>0</v>
      </c>
      <c r="K504" s="42">
        <f t="shared" si="35"/>
        <v>2099012.5</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1624297.3</v>
      </c>
      <c r="G522" s="18">
        <v>645160.17000000004</v>
      </c>
      <c r="H522" s="18">
        <v>266840.03999999998</v>
      </c>
      <c r="I522" s="18">
        <v>9303.75</v>
      </c>
      <c r="J522" s="18">
        <v>37453.620000000003</v>
      </c>
      <c r="K522" s="18"/>
      <c r="L522" s="88">
        <f>SUM(F522:K522)</f>
        <v>2583054.8800000004</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v>433006.61</v>
      </c>
      <c r="G524" s="18">
        <v>183202.1</v>
      </c>
      <c r="H524" s="18">
        <v>312783.78999999998</v>
      </c>
      <c r="I524" s="18">
        <v>1978.23</v>
      </c>
      <c r="J524" s="18">
        <v>11212.29</v>
      </c>
      <c r="K524" s="18"/>
      <c r="L524" s="88">
        <f>SUM(F524:K524)</f>
        <v>942183.02</v>
      </c>
      <c r="N524" s="264"/>
    </row>
    <row r="525" spans="1:14" s="52" customFormat="1" ht="12.2" customHeight="1" thickTop="1" x14ac:dyDescent="0.2">
      <c r="A525" s="139" t="s">
        <v>63</v>
      </c>
      <c r="B525" s="107">
        <v>21</v>
      </c>
      <c r="C525" s="194">
        <v>4</v>
      </c>
      <c r="D525" s="195" t="s">
        <v>432</v>
      </c>
      <c r="E525" s="194"/>
      <c r="F525" s="108">
        <f>SUM(F522:F524)</f>
        <v>2057303.9100000001</v>
      </c>
      <c r="G525" s="108">
        <f t="shared" ref="G525:L525" si="36">SUM(G522:G524)</f>
        <v>828362.27</v>
      </c>
      <c r="H525" s="108">
        <f t="shared" si="36"/>
        <v>579623.82999999996</v>
      </c>
      <c r="I525" s="108">
        <f t="shared" si="36"/>
        <v>11281.98</v>
      </c>
      <c r="J525" s="108">
        <f t="shared" si="36"/>
        <v>48665.91</v>
      </c>
      <c r="K525" s="108">
        <f t="shared" si="36"/>
        <v>0</v>
      </c>
      <c r="L525" s="89">
        <f t="shared" si="36"/>
        <v>3525237.9000000004</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337511.77</v>
      </c>
      <c r="G527" s="18">
        <v>138205.26</v>
      </c>
      <c r="H527" s="18">
        <v>1351.12</v>
      </c>
      <c r="I527" s="18">
        <v>2401.23</v>
      </c>
      <c r="J527" s="18">
        <v>131.57</v>
      </c>
      <c r="K527" s="18">
        <v>662.7</v>
      </c>
      <c r="L527" s="88">
        <f>SUM(F527:K527)</f>
        <v>480263.65</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v>36095.35</v>
      </c>
      <c r="G529" s="18">
        <v>16290.43</v>
      </c>
      <c r="H529" s="18">
        <v>427.84</v>
      </c>
      <c r="I529" s="18">
        <v>11.99</v>
      </c>
      <c r="J529" s="18"/>
      <c r="K529" s="18"/>
      <c r="L529" s="88">
        <f>SUM(F529:K529)</f>
        <v>52825.609999999993</v>
      </c>
      <c r="M529" s="8"/>
      <c r="N529" s="265"/>
    </row>
    <row r="530" spans="1:14" s="3" customFormat="1" ht="12.2" customHeight="1" thickTop="1" x14ac:dyDescent="0.15">
      <c r="A530" s="139" t="s">
        <v>65</v>
      </c>
      <c r="B530" s="107">
        <v>21</v>
      </c>
      <c r="C530" s="107">
        <v>8</v>
      </c>
      <c r="D530" s="158" t="s">
        <v>432</v>
      </c>
      <c r="E530" s="107"/>
      <c r="F530" s="89">
        <f>SUM(F527:F529)</f>
        <v>373607.12</v>
      </c>
      <c r="G530" s="89">
        <f t="shared" ref="G530:L530" si="37">SUM(G527:G529)</f>
        <v>154495.69</v>
      </c>
      <c r="H530" s="89">
        <f t="shared" si="37"/>
        <v>1778.9599999999998</v>
      </c>
      <c r="I530" s="89">
        <f t="shared" si="37"/>
        <v>2413.2199999999998</v>
      </c>
      <c r="J530" s="89">
        <f t="shared" si="37"/>
        <v>131.57</v>
      </c>
      <c r="K530" s="89">
        <f t="shared" si="37"/>
        <v>662.7</v>
      </c>
      <c r="L530" s="89">
        <f t="shared" si="37"/>
        <v>533089.26</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186998.3</v>
      </c>
      <c r="G532" s="18">
        <v>81932.36</v>
      </c>
      <c r="H532" s="18">
        <v>6270.45</v>
      </c>
      <c r="I532" s="18">
        <v>938.15</v>
      </c>
      <c r="J532" s="18"/>
      <c r="K532" s="18">
        <v>1770.24</v>
      </c>
      <c r="L532" s="88">
        <f>SUM(F532:K532)</f>
        <v>277909.5</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v>70221.89</v>
      </c>
      <c r="G534" s="18">
        <v>30767.37</v>
      </c>
      <c r="H534" s="18">
        <v>2354.69</v>
      </c>
      <c r="I534" s="18">
        <v>352.3</v>
      </c>
      <c r="J534" s="18"/>
      <c r="K534" s="18">
        <v>664.76</v>
      </c>
      <c r="L534" s="88">
        <f>SUM(F534:K534)</f>
        <v>104361.01</v>
      </c>
      <c r="M534" s="8"/>
      <c r="N534" s="265"/>
    </row>
    <row r="535" spans="1:14" s="3" customFormat="1" ht="12.2" customHeight="1" thickTop="1" x14ac:dyDescent="0.15">
      <c r="A535" s="139" t="s">
        <v>67</v>
      </c>
      <c r="B535" s="107">
        <v>21</v>
      </c>
      <c r="C535" s="107">
        <v>12</v>
      </c>
      <c r="D535" s="158" t="s">
        <v>432</v>
      </c>
      <c r="E535" s="107"/>
      <c r="F535" s="89">
        <f>SUM(F532:F534)</f>
        <v>257220.19</v>
      </c>
      <c r="G535" s="89">
        <f t="shared" ref="G535:L535" si="38">SUM(G532:G534)</f>
        <v>112699.73</v>
      </c>
      <c r="H535" s="89">
        <f t="shared" si="38"/>
        <v>8625.14</v>
      </c>
      <c r="I535" s="89">
        <f t="shared" si="38"/>
        <v>1290.45</v>
      </c>
      <c r="J535" s="89">
        <f t="shared" si="38"/>
        <v>0</v>
      </c>
      <c r="K535" s="89">
        <f t="shared" si="38"/>
        <v>2435</v>
      </c>
      <c r="L535" s="89">
        <f t="shared" si="38"/>
        <v>382270.51</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257269.34</v>
      </c>
      <c r="I542" s="18"/>
      <c r="J542" s="18"/>
      <c r="K542" s="18"/>
      <c r="L542" s="88">
        <f>SUM(F542:K542)</f>
        <v>257269.34</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v>96610.19</v>
      </c>
      <c r="I544" s="18"/>
      <c r="J544" s="18"/>
      <c r="K544" s="18"/>
      <c r="L544" s="88">
        <f>SUM(F544:K544)</f>
        <v>96610.19</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353879.53</v>
      </c>
      <c r="I545" s="192">
        <f t="shared" si="40"/>
        <v>0</v>
      </c>
      <c r="J545" s="192">
        <f t="shared" si="40"/>
        <v>0</v>
      </c>
      <c r="K545" s="192">
        <f t="shared" si="40"/>
        <v>0</v>
      </c>
      <c r="L545" s="192">
        <f t="shared" si="40"/>
        <v>353879.53</v>
      </c>
      <c r="M545" s="8"/>
      <c r="N545" s="265"/>
    </row>
    <row r="546" spans="1:14" s="3" customFormat="1" ht="12.2" customHeight="1" thickTop="1" x14ac:dyDescent="0.15">
      <c r="A546" s="98" t="s">
        <v>72</v>
      </c>
      <c r="B546" s="107">
        <v>21</v>
      </c>
      <c r="C546" s="107">
        <v>21</v>
      </c>
      <c r="D546" s="158" t="s">
        <v>432</v>
      </c>
      <c r="E546" s="107"/>
      <c r="F546" s="89">
        <f>F525+F530+F535+F540+F545</f>
        <v>2688131.22</v>
      </c>
      <c r="G546" s="89">
        <f t="shared" ref="G546:L546" si="41">G525+G530+G535+G540+G545</f>
        <v>1095557.69</v>
      </c>
      <c r="H546" s="89">
        <f t="shared" si="41"/>
        <v>943907.46</v>
      </c>
      <c r="I546" s="89">
        <f t="shared" si="41"/>
        <v>14985.65</v>
      </c>
      <c r="J546" s="89">
        <f t="shared" si="41"/>
        <v>48797.48</v>
      </c>
      <c r="K546" s="89">
        <f t="shared" si="41"/>
        <v>3097.7</v>
      </c>
      <c r="L546" s="89">
        <f t="shared" si="41"/>
        <v>4794477.2</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2583054.8800000004</v>
      </c>
      <c r="G550" s="87">
        <f>L527</f>
        <v>480263.65</v>
      </c>
      <c r="H550" s="87">
        <f>L532</f>
        <v>277909.5</v>
      </c>
      <c r="I550" s="87">
        <f>L537</f>
        <v>0</v>
      </c>
      <c r="J550" s="87">
        <f>L542</f>
        <v>257269.34</v>
      </c>
      <c r="K550" s="87">
        <f>SUM(F550:J550)</f>
        <v>3598497.37</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942183.02</v>
      </c>
      <c r="G552" s="87">
        <f>L529</f>
        <v>52825.609999999993</v>
      </c>
      <c r="H552" s="87">
        <f>L534</f>
        <v>104361.01</v>
      </c>
      <c r="I552" s="87">
        <f>L539</f>
        <v>0</v>
      </c>
      <c r="J552" s="87">
        <f>L544</f>
        <v>96610.19</v>
      </c>
      <c r="K552" s="87">
        <f>SUM(F552:J552)</f>
        <v>1195979.8299999998</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3525237.9000000004</v>
      </c>
      <c r="G553" s="89">
        <f t="shared" si="42"/>
        <v>533089.26</v>
      </c>
      <c r="H553" s="89">
        <f t="shared" si="42"/>
        <v>382270.51</v>
      </c>
      <c r="I553" s="89">
        <f t="shared" si="42"/>
        <v>0</v>
      </c>
      <c r="J553" s="89">
        <f t="shared" si="42"/>
        <v>353879.53</v>
      </c>
      <c r="K553" s="89">
        <f t="shared" si="42"/>
        <v>4794477.2</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264074.03000000003</v>
      </c>
      <c r="G583" s="18"/>
      <c r="H583" s="18">
        <v>311089.34000000003</v>
      </c>
      <c r="I583" s="87">
        <f t="shared" si="47"/>
        <v>575163.37000000011</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v>179877.51</v>
      </c>
      <c r="I585" s="87">
        <f t="shared" si="47"/>
        <v>179877.51</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264669.18</v>
      </c>
      <c r="I592" s="18"/>
      <c r="J592" s="18">
        <v>98302.26</v>
      </c>
      <c r="K592" s="104">
        <f t="shared" ref="K592:K598" si="48">SUM(H592:J592)</f>
        <v>362971.44</v>
      </c>
      <c r="L592" s="24" t="s">
        <v>288</v>
      </c>
      <c r="M592" s="8"/>
      <c r="N592" s="265"/>
    </row>
    <row r="593" spans="1:14" s="3" customFormat="1" ht="12.2" customHeight="1" x14ac:dyDescent="0.15">
      <c r="A593" s="3" t="s">
        <v>638</v>
      </c>
      <c r="B593" s="75">
        <v>23</v>
      </c>
      <c r="C593" s="75">
        <v>2</v>
      </c>
      <c r="D593" s="2" t="s">
        <v>432</v>
      </c>
      <c r="E593" s="75"/>
      <c r="F593" s="102">
        <v>2722</v>
      </c>
      <c r="G593" s="103" t="s">
        <v>97</v>
      </c>
      <c r="H593" s="18">
        <v>257269.34</v>
      </c>
      <c r="I593" s="18"/>
      <c r="J593" s="18">
        <v>96610.19</v>
      </c>
      <c r="K593" s="104">
        <f t="shared" si="48"/>
        <v>353879.53</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v>59569.52</v>
      </c>
      <c r="K594" s="104">
        <f t="shared" si="48"/>
        <v>59569.52</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5041.22</v>
      </c>
      <c r="I595" s="18"/>
      <c r="J595" s="18">
        <v>25317.86</v>
      </c>
      <c r="K595" s="104">
        <f t="shared" si="48"/>
        <v>30359.08</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8022.36</v>
      </c>
      <c r="I596" s="18"/>
      <c r="J596" s="18">
        <v>1773.38</v>
      </c>
      <c r="K596" s="104">
        <f t="shared" si="48"/>
        <v>9795.74</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535002.1</v>
      </c>
      <c r="I599" s="108">
        <f>SUM(I592:I598)</f>
        <v>0</v>
      </c>
      <c r="J599" s="108">
        <f>SUM(J592:J598)</f>
        <v>281573.21000000002</v>
      </c>
      <c r="K599" s="108">
        <f>SUM(K592:K598)</f>
        <v>816575.30999999994</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313737.90999999997</v>
      </c>
      <c r="I605" s="18"/>
      <c r="J605" s="18">
        <v>107359.7</v>
      </c>
      <c r="K605" s="104">
        <f>SUM(H605:J605)</f>
        <v>421097.61</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313737.90999999997</v>
      </c>
      <c r="I606" s="108">
        <f>SUM(I603:I605)</f>
        <v>0</v>
      </c>
      <c r="J606" s="108">
        <f>SUM(J603:J605)</f>
        <v>107359.7</v>
      </c>
      <c r="K606" s="108">
        <f>SUM(K603:K605)</f>
        <v>421097.61</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1880080</v>
      </c>
      <c r="H618" s="109">
        <f>SUM(F52)</f>
        <v>1880080</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224747</v>
      </c>
      <c r="H619" s="109">
        <f>SUM(G52)</f>
        <v>224747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275476.28999999998</v>
      </c>
      <c r="H620" s="109">
        <f>SUM(H52)</f>
        <v>275476.28999999998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384992</v>
      </c>
      <c r="H621" s="109">
        <f>SUM(I52)</f>
        <v>384992</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1642163.8399999999</v>
      </c>
      <c r="H622" s="109">
        <f>SUM(J52)</f>
        <v>1642163.8399999999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1818960</v>
      </c>
      <c r="H623" s="109">
        <f>F477</f>
        <v>1818960</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131186</v>
      </c>
      <c r="H624" s="109">
        <f>G477</f>
        <v>131186</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26185.29</v>
      </c>
      <c r="H625" s="109">
        <f>H477</f>
        <v>26185.290000000037</v>
      </c>
      <c r="I625" s="121" t="s">
        <v>103</v>
      </c>
      <c r="J625" s="109">
        <f t="shared" si="50"/>
        <v>-3.637978807091713E-11</v>
      </c>
      <c r="K625" s="109"/>
      <c r="L625" s="109"/>
      <c r="M625" s="8"/>
    </row>
    <row r="626" spans="1:13" s="3" customFormat="1" ht="12.2" customHeight="1" x14ac:dyDescent="0.15">
      <c r="A626" s="97"/>
      <c r="B626" s="105"/>
      <c r="C626" s="105"/>
      <c r="D626" s="105"/>
      <c r="E626" s="105"/>
      <c r="F626" s="120" t="s">
        <v>868</v>
      </c>
      <c r="G626" s="109">
        <f>I51</f>
        <v>384992</v>
      </c>
      <c r="H626" s="109">
        <f>I477</f>
        <v>384992</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1614383.8399999999</v>
      </c>
      <c r="H627" s="109">
        <f>J477</f>
        <v>1614383.8399999999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23260362</v>
      </c>
      <c r="H628" s="104">
        <f>SUM(F469)</f>
        <v>23260362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644210</v>
      </c>
      <c r="H629" s="104">
        <f>SUM(G469)</f>
        <v>644210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1002207</v>
      </c>
      <c r="H630" s="104">
        <f>SUM(H469)</f>
        <v>1002207</v>
      </c>
      <c r="I630" s="140" t="s">
        <v>108</v>
      </c>
      <c r="J630" s="109">
        <f>G630-H630</f>
        <v>0</v>
      </c>
      <c r="K630" s="85"/>
      <c r="L630" s="88"/>
      <c r="M630" s="8"/>
    </row>
    <row r="631" spans="1:13" s="3" customFormat="1" ht="12.2" customHeight="1" x14ac:dyDescent="0.15">
      <c r="A631" s="22"/>
      <c r="B631" s="105"/>
      <c r="C631" s="105"/>
      <c r="D631" s="105"/>
      <c r="E631" s="105"/>
      <c r="F631" s="120" t="s">
        <v>661</v>
      </c>
      <c r="G631" s="109">
        <f>I194</f>
        <v>387</v>
      </c>
      <c r="H631" s="104">
        <f>SUM(I469)</f>
        <v>387</v>
      </c>
      <c r="I631" s="140" t="s">
        <v>109</v>
      </c>
      <c r="J631" s="109">
        <f>G631-H631</f>
        <v>0</v>
      </c>
      <c r="K631" s="85"/>
      <c r="L631" s="88"/>
      <c r="M631" s="8"/>
    </row>
    <row r="632" spans="1:13" s="3" customFormat="1" ht="12.2" customHeight="1" x14ac:dyDescent="0.15">
      <c r="A632" s="22"/>
      <c r="B632" s="105"/>
      <c r="C632" s="105"/>
      <c r="D632" s="105"/>
      <c r="E632" s="105"/>
      <c r="F632" s="120" t="s">
        <v>662</v>
      </c>
      <c r="G632" s="109">
        <f>J194</f>
        <v>609695.09</v>
      </c>
      <c r="H632" s="104">
        <f>SUM(J469)</f>
        <v>609695.09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23953268.002999999</v>
      </c>
      <c r="H633" s="104">
        <f>SUM(F473)</f>
        <v>23953268</v>
      </c>
      <c r="I633" s="140" t="s">
        <v>111</v>
      </c>
      <c r="J633" s="109">
        <f t="shared" si="50"/>
        <v>2.9999986290931702E-3</v>
      </c>
      <c r="K633" s="85"/>
      <c r="L633" s="88"/>
      <c r="M633" s="8"/>
    </row>
    <row r="634" spans="1:13" s="3" customFormat="1" ht="12.2" customHeight="1" x14ac:dyDescent="0.15">
      <c r="A634" s="22"/>
      <c r="B634" s="105"/>
      <c r="C634" s="105"/>
      <c r="D634" s="105"/>
      <c r="E634" s="105"/>
      <c r="F634" s="120" t="s">
        <v>395</v>
      </c>
      <c r="G634" s="109">
        <f>SUM(L353)</f>
        <v>1015155.7100000001</v>
      </c>
      <c r="H634" s="104">
        <f>SUM(H473)</f>
        <v>1015155.71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110734.5</v>
      </c>
      <c r="H635" s="104">
        <f>I370</f>
        <v>110734.5</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513024</v>
      </c>
      <c r="H636" s="104">
        <f>SUM(G473)</f>
        <v>513024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12130</v>
      </c>
      <c r="H637" s="104">
        <f>SUM(I473)</f>
        <v>12130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609695.09</v>
      </c>
      <c r="H638" s="164">
        <f>SUM(J469)</f>
        <v>609695.09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27780</v>
      </c>
      <c r="H639" s="164">
        <f>SUM(J473)</f>
        <v>27780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558595.89</v>
      </c>
      <c r="H640" s="104">
        <f>SUM(F462)</f>
        <v>558595.89</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1083567.95</v>
      </c>
      <c r="H641" s="104">
        <f>SUM(G462)</f>
        <v>1083567.95</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1642163.8399999999</v>
      </c>
      <c r="H643" s="104">
        <f>SUM(I462)</f>
        <v>1642163.8399999999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1440.09</v>
      </c>
      <c r="H645" s="104">
        <f>H409</f>
        <v>1440.0900000000001</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608255</v>
      </c>
      <c r="H646" s="104">
        <f>G409</f>
        <v>608255</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609695.09</v>
      </c>
      <c r="H647" s="104">
        <f>L409</f>
        <v>609695.09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816575.30999999994</v>
      </c>
      <c r="H648" s="104">
        <f>L209+L227+L245</f>
        <v>816575.31</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421097.61</v>
      </c>
      <c r="H649" s="104">
        <f>(J258+J339)-(J256+J337)</f>
        <v>421097.60999999993</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535002.1</v>
      </c>
      <c r="H650" s="104">
        <f>H599</f>
        <v>535002.1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281573.21000000002</v>
      </c>
      <c r="H652" s="104">
        <f>J599</f>
        <v>281573.21000000002</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608255</v>
      </c>
      <c r="H656" s="104">
        <f>K267+K348</f>
        <v>608255</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2.9999911785125732E-3</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15806935.572999997</v>
      </c>
      <c r="G661" s="19">
        <f>(L230+L310+L360)</f>
        <v>0</v>
      </c>
      <c r="H661" s="19">
        <f>(L248+L329+L361)</f>
        <v>6710067.5100000007</v>
      </c>
      <c r="I661" s="19">
        <f>SUM(F661:H661)</f>
        <v>22517003.082999997</v>
      </c>
      <c r="J661" s="13"/>
      <c r="K661" s="13"/>
      <c r="L661" s="13"/>
      <c r="M661" s="9"/>
    </row>
    <row r="662" spans="1:13" s="3" customFormat="1" ht="12.2" customHeight="1" x14ac:dyDescent="0.2">
      <c r="A662" s="1" t="s">
        <v>127</v>
      </c>
      <c r="F662" s="19">
        <f>(L359/IF(SUM(L359:L361)=0,1,SUM(L359:L361))*(SUM(G97:G110)))</f>
        <v>24971.328221369764</v>
      </c>
      <c r="G662" s="19">
        <f>(L360/IF(SUM(L359:L361)=0,1,SUM(L359:L361))*(SUM(G97:G110)))</f>
        <v>0</v>
      </c>
      <c r="H662" s="19">
        <f>(L361/IF(SUM(L359:L361)=0,1,SUM(L359:L361))*(SUM(G97:G110)))</f>
        <v>8900.6717786302397</v>
      </c>
      <c r="I662" s="19">
        <f>SUM(F662:H662)</f>
        <v>33872</v>
      </c>
      <c r="J662"/>
      <c r="K662" s="13"/>
      <c r="L662" s="13"/>
      <c r="M662" s="8"/>
    </row>
    <row r="663" spans="1:13" s="3" customFormat="1" ht="12.2" customHeight="1" x14ac:dyDescent="0.2">
      <c r="A663" s="1" t="s">
        <v>128</v>
      </c>
      <c r="F663" s="19">
        <f>(L209+L288)-(J209+J288)</f>
        <v>562314.39</v>
      </c>
      <c r="G663" s="19">
        <f>(L227+L307)-(J227+J307)</f>
        <v>0</v>
      </c>
      <c r="H663" s="19">
        <f>(L245+L326)-(J245+J326)</f>
        <v>291829.56</v>
      </c>
      <c r="I663" s="19">
        <f>SUM(F663:H663)</f>
        <v>854143.95</v>
      </c>
      <c r="J663"/>
      <c r="K663" s="13"/>
      <c r="L663" s="13"/>
      <c r="M663" s="9"/>
    </row>
    <row r="664" spans="1:13" s="3" customFormat="1" ht="12.2" customHeight="1" x14ac:dyDescent="0.15">
      <c r="A664" s="197" t="s">
        <v>129</v>
      </c>
      <c r="B664" s="169"/>
      <c r="C664" s="169"/>
      <c r="D664" s="169"/>
      <c r="E664" s="169"/>
      <c r="F664" s="198">
        <f>SUM(F576:F588)+SUM(H603:H605)+SUM(L612)</f>
        <v>577811.93999999994</v>
      </c>
      <c r="G664" s="198">
        <f>SUM(G576:G588)+SUM(I603:I605)+L613</f>
        <v>0</v>
      </c>
      <c r="H664" s="198">
        <f>SUM(H576:H588)+SUM(J603:J605)+L614</f>
        <v>598326.55000000005</v>
      </c>
      <c r="I664" s="19">
        <f>SUM(F664:H664)</f>
        <v>1176138.49</v>
      </c>
      <c r="J664" s="13"/>
      <c r="K664" s="13"/>
      <c r="L664" s="13"/>
      <c r="M664" s="9"/>
    </row>
    <row r="665" spans="1:13" s="3" customFormat="1" ht="12.2" customHeight="1" x14ac:dyDescent="0.15">
      <c r="A665" s="1" t="s">
        <v>130</v>
      </c>
      <c r="F665" s="19">
        <f>F661-SUM(F662:F664)</f>
        <v>14641837.914778627</v>
      </c>
      <c r="G665" s="19">
        <f>G661-SUM(G662:G664)</f>
        <v>0</v>
      </c>
      <c r="H665" s="19">
        <f>H661-SUM(H662:H664)</f>
        <v>5811010.7282213699</v>
      </c>
      <c r="I665" s="19">
        <f>I661-SUM(I662:I664)</f>
        <v>20452848.642999995</v>
      </c>
      <c r="J665" s="13"/>
      <c r="K665" s="13"/>
      <c r="L665" s="13"/>
      <c r="M665" s="8"/>
    </row>
    <row r="666" spans="1:13" s="3" customFormat="1" ht="12.2" customHeight="1" x14ac:dyDescent="0.2">
      <c r="A666" s="1" t="s">
        <v>131</v>
      </c>
      <c r="F666" s="245">
        <v>690.78</v>
      </c>
      <c r="G666" s="246"/>
      <c r="H666" s="246">
        <v>260.89999999999998</v>
      </c>
      <c r="I666" s="19">
        <f>SUM(F666:H666)</f>
        <v>951.68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21196.09</v>
      </c>
      <c r="G668" s="19" t="e">
        <f>ROUND(G665/G666,2)</f>
        <v>#DIV/0!</v>
      </c>
      <c r="H668" s="19">
        <f>ROUND(H665/H666,2)</f>
        <v>22272.94</v>
      </c>
      <c r="I668" s="19">
        <f>ROUND(I665/I666,2)</f>
        <v>21491.31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-17.829999999999998</v>
      </c>
      <c r="I671" s="19">
        <f>SUM(F671:H671)</f>
        <v>-17.829999999999998</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21196.09</v>
      </c>
      <c r="G673" s="19" t="e">
        <f>ROUND((G665+G670)/(G666+G671),2)</f>
        <v>#DIV/0!</v>
      </c>
      <c r="H673" s="19">
        <f>ROUND((H665+H670)/(H666+H671),2)</f>
        <v>23906.74</v>
      </c>
      <c r="I673" s="19">
        <f>ROUND((I665+I670)/(I666+I671),2)</f>
        <v>21901.64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dataRefs count="1">
      <dataRef ref="F9:L615" sheet="DOE25" r:id="rId1"/>
    </dataRefs>
  </dataConsolidate>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2"/>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3" t="s">
        <v>1643</v>
      </c>
      <c r="D2" s="373"/>
      <c r="E2" s="373"/>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90417</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50060</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40357</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4" t="s">
        <v>1567</v>
      </c>
      <c r="B1" s="374"/>
      <c r="C1" s="374"/>
      <c r="D1" s="374"/>
      <c r="E1" s="374"/>
      <c r="F1" s="374"/>
      <c r="G1" s="374"/>
      <c r="H1" s="374"/>
    </row>
    <row r="2" spans="1:9" ht="15" x14ac:dyDescent="0.2">
      <c r="A2" s="374" t="s">
        <v>1632</v>
      </c>
      <c r="B2" s="374"/>
      <c r="C2" s="374"/>
      <c r="D2" s="374"/>
      <c r="E2" s="374"/>
      <c r="F2" s="374"/>
      <c r="G2" s="374"/>
      <c r="H2" s="374"/>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5" t="str">
        <f>'DOE25'!A2</f>
        <v>Newmarket</v>
      </c>
      <c r="C5" s="376"/>
      <c r="D5" s="376"/>
      <c r="E5" s="376"/>
      <c r="F5" s="376"/>
    </row>
    <row r="8" spans="1:9" ht="18" x14ac:dyDescent="0.25">
      <c r="A8" s="312" t="s">
        <v>1568</v>
      </c>
      <c r="F8" s="319" t="s">
        <v>1586</v>
      </c>
    </row>
    <row r="9" spans="1:9" ht="15" x14ac:dyDescent="0.2">
      <c r="A9" s="310" t="s">
        <v>1569</v>
      </c>
      <c r="B9" s="313">
        <f>'DOE25'!G97</f>
        <v>30837</v>
      </c>
      <c r="F9" s="310" t="s">
        <v>1582</v>
      </c>
    </row>
    <row r="10" spans="1:9" ht="15" x14ac:dyDescent="0.2">
      <c r="A10" s="310" t="s">
        <v>1570</v>
      </c>
      <c r="B10" s="313">
        <f>'DOE25'!G112-'DOE25'!G97</f>
        <v>3035</v>
      </c>
      <c r="F10" s="310" t="s">
        <v>1583</v>
      </c>
    </row>
    <row r="11" spans="1:9" ht="15" x14ac:dyDescent="0.2">
      <c r="A11" s="310" t="s">
        <v>1571</v>
      </c>
      <c r="B11" s="313">
        <f>'DOE25'!G140</f>
        <v>6825</v>
      </c>
      <c r="F11" s="310" t="s">
        <v>1584</v>
      </c>
    </row>
    <row r="12" spans="1:9" ht="15" x14ac:dyDescent="0.2">
      <c r="A12" s="310" t="s">
        <v>1572</v>
      </c>
      <c r="B12" s="313">
        <f>'DOE25'!G170</f>
        <v>603513</v>
      </c>
      <c r="F12" s="310" t="s">
        <v>1585</v>
      </c>
    </row>
    <row r="13" spans="1:9" ht="15" x14ac:dyDescent="0.2">
      <c r="A13" s="310" t="s">
        <v>1573</v>
      </c>
      <c r="B13" s="313">
        <f>'DOE25'!G193-'DOE25'!G180</f>
        <v>0</v>
      </c>
      <c r="F13" s="310" t="s">
        <v>1595</v>
      </c>
    </row>
    <row r="14" spans="1:9" ht="18" x14ac:dyDescent="0.25">
      <c r="A14" s="312" t="s">
        <v>732</v>
      </c>
      <c r="B14" s="314">
        <f>SUM(B9:B13)</f>
        <v>644210</v>
      </c>
    </row>
    <row r="16" spans="1:9" ht="18" x14ac:dyDescent="0.25">
      <c r="A16" s="312" t="s">
        <v>786</v>
      </c>
      <c r="F16" s="319" t="s">
        <v>1587</v>
      </c>
    </row>
    <row r="17" spans="1:6" ht="15" x14ac:dyDescent="0.2">
      <c r="A17" s="310" t="s">
        <v>1574</v>
      </c>
      <c r="B17" s="313">
        <f>'DOE25'!L363-'DOE25'!L362</f>
        <v>513024</v>
      </c>
      <c r="F17" s="310" t="s">
        <v>1588</v>
      </c>
    </row>
    <row r="18" spans="1:6" ht="15" x14ac:dyDescent="0.2">
      <c r="A18" s="310" t="s">
        <v>1575</v>
      </c>
      <c r="B18" s="323"/>
      <c r="F18" s="319" t="s">
        <v>1612</v>
      </c>
    </row>
    <row r="19" spans="1:6" ht="18" x14ac:dyDescent="0.25">
      <c r="A19" s="312" t="s">
        <v>725</v>
      </c>
      <c r="B19" s="314">
        <f>SUM(B17:B18)</f>
        <v>513024</v>
      </c>
    </row>
    <row r="21" spans="1:6" ht="18.75" thickBot="1" x14ac:dyDescent="0.3">
      <c r="A21" s="312" t="s">
        <v>1576</v>
      </c>
    </row>
    <row r="22" spans="1:6" ht="18.75" thickTop="1" x14ac:dyDescent="0.25">
      <c r="A22" s="312" t="s">
        <v>1577</v>
      </c>
      <c r="B22" s="318">
        <f>B14-B19</f>
        <v>131186</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131186</v>
      </c>
      <c r="F33" s="310" t="s">
        <v>1593</v>
      </c>
    </row>
    <row r="36" spans="1:6" ht="15" x14ac:dyDescent="0.2">
      <c r="A36" s="310" t="s">
        <v>1579</v>
      </c>
      <c r="B36" s="324">
        <v>28364</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I27" sqref="I26:I27"/>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Newmarket</v>
      </c>
      <c r="C1" s="237" t="s">
        <v>824</v>
      </c>
    </row>
    <row r="2" spans="1:3" x14ac:dyDescent="0.2">
      <c r="A2" s="232"/>
      <c r="B2" s="231"/>
    </row>
    <row r="3" spans="1:3" x14ac:dyDescent="0.2">
      <c r="A3" s="373" t="s">
        <v>780</v>
      </c>
      <c r="B3" s="373"/>
      <c r="C3" s="373"/>
    </row>
    <row r="4" spans="1:3" x14ac:dyDescent="0.2">
      <c r="A4" s="235"/>
      <c r="B4" s="236" t="str">
        <f>'DOE25'!H1</f>
        <v>DOE 25  2021-2022</v>
      </c>
      <c r="C4" s="235"/>
    </row>
    <row r="5" spans="1:3" x14ac:dyDescent="0.2">
      <c r="A5" s="232"/>
      <c r="B5" s="231"/>
    </row>
    <row r="6" spans="1:3" x14ac:dyDescent="0.2">
      <c r="A6" s="226"/>
      <c r="B6" s="379" t="s">
        <v>779</v>
      </c>
      <c r="C6" s="379"/>
    </row>
    <row r="7" spans="1:3" x14ac:dyDescent="0.2">
      <c r="A7" s="238" t="s">
        <v>782</v>
      </c>
      <c r="B7" s="377" t="s">
        <v>778</v>
      </c>
      <c r="C7" s="378"/>
    </row>
    <row r="8" spans="1:3" x14ac:dyDescent="0.2">
      <c r="B8" s="227" t="s">
        <v>54</v>
      </c>
      <c r="C8" s="227" t="s">
        <v>772</v>
      </c>
    </row>
    <row r="9" spans="1:3" x14ac:dyDescent="0.2">
      <c r="A9" s="33" t="s">
        <v>773</v>
      </c>
      <c r="B9" s="228">
        <f>'DOE25'!F198+'DOE25'!F216+'DOE25'!F234+'DOE25'!F277+'DOE25'!F296+'DOE25'!F315</f>
        <v>5866681.2500000009</v>
      </c>
      <c r="C9" s="228">
        <f>'DOE25'!G198+'DOE25'!G216+'DOE25'!G234+'DOE25'!G277+'DOE25'!G296+'DOE25'!G315</f>
        <v>2789947.82</v>
      </c>
    </row>
    <row r="10" spans="1:3" x14ac:dyDescent="0.2">
      <c r="A10" t="s">
        <v>775</v>
      </c>
      <c r="B10" s="239">
        <f>5218277.45+232080.46</f>
        <v>5450357.9100000001</v>
      </c>
      <c r="C10" s="239">
        <f>C9-SUM(B11:B12)*0.0765</f>
        <v>2758099.0844899998</v>
      </c>
    </row>
    <row r="11" spans="1:3" x14ac:dyDescent="0.2">
      <c r="A11" t="s">
        <v>776</v>
      </c>
      <c r="B11" s="239">
        <f>250135.97+30831.97</f>
        <v>280967.94</v>
      </c>
      <c r="C11" s="239">
        <f>B11*0.0765</f>
        <v>21494.047409999999</v>
      </c>
    </row>
    <row r="12" spans="1:3" x14ac:dyDescent="0.2">
      <c r="A12" t="s">
        <v>777</v>
      </c>
      <c r="B12" s="239">
        <v>135355.4</v>
      </c>
      <c r="C12" s="239">
        <f>B12*0.0765</f>
        <v>10354.688099999999</v>
      </c>
    </row>
    <row r="13" spans="1:3" x14ac:dyDescent="0.2">
      <c r="A13" t="str">
        <f>IF(B9=B13,IF(C9=C13,"Check Total OK","Check Total Error"),"Check Total Error")</f>
        <v>Check Total OK</v>
      </c>
      <c r="B13" s="230">
        <f>SUM(B10:B12)</f>
        <v>5866681.2500000009</v>
      </c>
      <c r="C13" s="230">
        <f>SUM(C10:C12)</f>
        <v>2789947.82</v>
      </c>
    </row>
    <row r="14" spans="1:3" x14ac:dyDescent="0.2">
      <c r="B14" s="229"/>
      <c r="C14" s="229"/>
    </row>
    <row r="15" spans="1:3" x14ac:dyDescent="0.2">
      <c r="B15" s="379" t="s">
        <v>779</v>
      </c>
      <c r="C15" s="379"/>
    </row>
    <row r="16" spans="1:3" x14ac:dyDescent="0.2">
      <c r="A16" s="238" t="s">
        <v>783</v>
      </c>
      <c r="B16" s="377" t="s">
        <v>703</v>
      </c>
      <c r="C16" s="378"/>
    </row>
    <row r="17" spans="1:3" x14ac:dyDescent="0.2">
      <c r="B17" s="227" t="s">
        <v>54</v>
      </c>
      <c r="C17" s="227" t="s">
        <v>772</v>
      </c>
    </row>
    <row r="18" spans="1:3" x14ac:dyDescent="0.2">
      <c r="A18" s="33" t="s">
        <v>773</v>
      </c>
      <c r="B18" s="228">
        <f>'DOE25'!F199+'DOE25'!F217+'DOE25'!F235+'DOE25'!F278+'DOE25'!F297+'DOE25'!F316</f>
        <v>2102121.4300000002</v>
      </c>
      <c r="C18" s="228">
        <f>'DOE25'!G199+'DOE25'!G217+'DOE25'!G235+'DOE25'!G278+'DOE25'!G297+'DOE25'!G316</f>
        <v>839579.32000000007</v>
      </c>
    </row>
    <row r="19" spans="1:3" x14ac:dyDescent="0.2">
      <c r="A19" t="s">
        <v>775</v>
      </c>
      <c r="B19" s="239">
        <f>1103142.08+168691.71</f>
        <v>1271833.79</v>
      </c>
      <c r="C19" s="239">
        <f>C18-SUM(B20+B21)*0.0765</f>
        <v>776062.3155400001</v>
      </c>
    </row>
    <row r="20" spans="1:3" x14ac:dyDescent="0.2">
      <c r="A20" t="s">
        <v>776</v>
      </c>
      <c r="B20" s="239">
        <f>755065.12</f>
        <v>755065.12</v>
      </c>
      <c r="C20" s="239">
        <f>B20*0.0765</f>
        <v>57762.481679999997</v>
      </c>
    </row>
    <row r="21" spans="1:3" x14ac:dyDescent="0.2">
      <c r="A21" t="s">
        <v>777</v>
      </c>
      <c r="B21" s="239">
        <v>75222.52</v>
      </c>
      <c r="C21" s="239">
        <f>B21*0.0765</f>
        <v>5754.5227800000002</v>
      </c>
    </row>
    <row r="22" spans="1:3" x14ac:dyDescent="0.2">
      <c r="A22" t="str">
        <f>IF(B18=B22,IF(C18=C22,"Check Total OK","Check Total Error"),"Check Total Error")</f>
        <v>Check Total OK</v>
      </c>
      <c r="B22" s="230">
        <f>SUM(B19:B21)</f>
        <v>2102121.4300000002</v>
      </c>
      <c r="C22" s="230">
        <f>SUM(C19:C21)</f>
        <v>839579.32000000007</v>
      </c>
    </row>
    <row r="23" spans="1:3" x14ac:dyDescent="0.2">
      <c r="B23" s="229"/>
      <c r="C23" s="229"/>
    </row>
    <row r="24" spans="1:3" x14ac:dyDescent="0.2">
      <c r="B24" s="379" t="s">
        <v>779</v>
      </c>
      <c r="C24" s="379"/>
    </row>
    <row r="25" spans="1:3" x14ac:dyDescent="0.2">
      <c r="A25" s="238" t="s">
        <v>784</v>
      </c>
      <c r="B25" s="377" t="s">
        <v>704</v>
      </c>
      <c r="C25" s="378"/>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9" t="s">
        <v>779</v>
      </c>
      <c r="C33" s="379"/>
    </row>
    <row r="34" spans="1:3" x14ac:dyDescent="0.2">
      <c r="A34" s="238" t="s">
        <v>785</v>
      </c>
      <c r="B34" s="377" t="s">
        <v>705</v>
      </c>
      <c r="C34" s="378"/>
    </row>
    <row r="35" spans="1:3" x14ac:dyDescent="0.2">
      <c r="B35" s="227" t="s">
        <v>54</v>
      </c>
      <c r="C35" s="227" t="s">
        <v>772</v>
      </c>
    </row>
    <row r="36" spans="1:3" x14ac:dyDescent="0.2">
      <c r="A36" s="33" t="s">
        <v>773</v>
      </c>
      <c r="B36" s="234">
        <f>'DOE25'!F201+'DOE25'!F219+'DOE25'!F237+'DOE25'!F280+'DOE25'!F299+'DOE25'!F318</f>
        <v>145894.72999999998</v>
      </c>
      <c r="C36" s="234">
        <f>'DOE25'!G201+'DOE25'!G219+'DOE25'!G237+'DOE25'!G280+'DOE25'!G299+'DOE25'!G318</f>
        <v>41890.42</v>
      </c>
    </row>
    <row r="37" spans="1:3" x14ac:dyDescent="0.2">
      <c r="A37" t="s">
        <v>775</v>
      </c>
      <c r="B37" s="239">
        <f>41428.8</f>
        <v>41428.800000000003</v>
      </c>
      <c r="C37" s="239">
        <f>C36-C39</f>
        <v>33898.776355000002</v>
      </c>
    </row>
    <row r="38" spans="1:3" x14ac:dyDescent="0.2">
      <c r="A38" t="s">
        <v>776</v>
      </c>
      <c r="B38" s="239"/>
      <c r="C38" s="239"/>
    </row>
    <row r="39" spans="1:3" x14ac:dyDescent="0.2">
      <c r="A39" t="s">
        <v>777</v>
      </c>
      <c r="B39" s="239">
        <v>104465.93</v>
      </c>
      <c r="C39" s="239">
        <f>B39*0.0765</f>
        <v>7991.6436449999992</v>
      </c>
    </row>
    <row r="40" spans="1:3" x14ac:dyDescent="0.2">
      <c r="A40" t="str">
        <f>IF(B36=B40,IF(C36=C40,"Check Total OK","Check Total Error"),"Check Total Error")</f>
        <v>Check Total OK</v>
      </c>
      <c r="B40" s="230">
        <f>SUM(B37:B39)</f>
        <v>145894.72999999998</v>
      </c>
      <c r="C40" s="230">
        <f>SUM(C37:C39)</f>
        <v>41890.42</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9" t="s">
        <v>892</v>
      </c>
      <c r="B1" s="382"/>
      <c r="C1" s="382"/>
      <c r="D1" s="382"/>
      <c r="E1" s="382"/>
      <c r="F1" s="382"/>
      <c r="G1" s="382"/>
      <c r="H1" s="382"/>
      <c r="I1" s="180"/>
    </row>
    <row r="2" spans="1:9" x14ac:dyDescent="0.2">
      <c r="A2" s="33" t="s">
        <v>713</v>
      </c>
      <c r="B2" s="259" t="str">
        <f>'DOE25'!A2</f>
        <v>Newmarket</v>
      </c>
      <c r="C2" s="276"/>
      <c r="D2" s="180" t="s">
        <v>787</v>
      </c>
      <c r="E2" s="180" t="s">
        <v>789</v>
      </c>
      <c r="F2" s="380" t="s">
        <v>891</v>
      </c>
      <c r="G2" s="381"/>
      <c r="H2" s="381"/>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13023037.669999998</v>
      </c>
      <c r="D5" s="20">
        <f>SUM('DOE25'!L198:L201)+SUM('DOE25'!L216:L219)+SUM('DOE25'!L234:L237)-F5-G5-H5</f>
        <v>12869511.859999998</v>
      </c>
      <c r="E5" s="242"/>
      <c r="F5" s="243"/>
      <c r="G5" s="53">
        <f>SUM('DOE25'!J198:J201)+SUM('DOE25'!J216:J219)+SUM('DOE25'!J234:J237)</f>
        <v>130277.01</v>
      </c>
      <c r="H5" s="53">
        <f>SUM('DOE25'!K198:K201)+SUM('DOE25'!K216:K219)+SUM('DOE25'!K234:K237)</f>
        <v>23248.800000000003</v>
      </c>
      <c r="I5" s="255"/>
    </row>
    <row r="6" spans="1:9" x14ac:dyDescent="0.2">
      <c r="A6" s="32">
        <v>2100</v>
      </c>
      <c r="B6" t="s">
        <v>796</v>
      </c>
      <c r="C6" s="274">
        <f t="shared" si="0"/>
        <v>1527639.9800000002</v>
      </c>
      <c r="D6" s="20">
        <f>'DOE25'!L203+'DOE25'!L221+'DOE25'!L239-F6-G6-H6</f>
        <v>1522831.8200000003</v>
      </c>
      <c r="E6" s="242"/>
      <c r="F6" s="243"/>
      <c r="G6" s="53">
        <f>'DOE25'!J203+'DOE25'!J221+'DOE25'!J239</f>
        <v>1115.46</v>
      </c>
      <c r="H6" s="53">
        <f>'DOE25'!K203+'DOE25'!K221+'DOE25'!K239</f>
        <v>3692.7</v>
      </c>
      <c r="I6" s="255"/>
    </row>
    <row r="7" spans="1:9" x14ac:dyDescent="0.2">
      <c r="A7" s="32">
        <v>2200</v>
      </c>
      <c r="B7" t="s">
        <v>821</v>
      </c>
      <c r="C7" s="274">
        <f t="shared" si="0"/>
        <v>1187899.4130000002</v>
      </c>
      <c r="D7" s="20">
        <f>'DOE25'!L204+'DOE25'!L222+'DOE25'!L240-F7-G7-H7</f>
        <v>947132.98300000024</v>
      </c>
      <c r="E7" s="242"/>
      <c r="F7" s="243"/>
      <c r="G7" s="53">
        <f>'DOE25'!J204+'DOE25'!J222+'DOE25'!J240</f>
        <v>240296.43</v>
      </c>
      <c r="H7" s="53">
        <f>'DOE25'!K204+'DOE25'!K222+'DOE25'!K240</f>
        <v>470</v>
      </c>
      <c r="I7" s="255"/>
    </row>
    <row r="8" spans="1:9" x14ac:dyDescent="0.2">
      <c r="A8" s="32">
        <v>2300</v>
      </c>
      <c r="B8" t="s">
        <v>797</v>
      </c>
      <c r="C8" s="274">
        <f t="shared" si="0"/>
        <v>1112851.3599999999</v>
      </c>
      <c r="D8" s="242"/>
      <c r="E8" s="20">
        <f>'DOE25'!L205+'DOE25'!L223+'DOE25'!L241-F8-G8-H8-D9-D11</f>
        <v>1094060.2399999998</v>
      </c>
      <c r="F8" s="243"/>
      <c r="G8" s="53">
        <f>'DOE25'!J205+'DOE25'!J223+'DOE25'!J241</f>
        <v>1825.81</v>
      </c>
      <c r="H8" s="53">
        <f>'DOE25'!K205+'DOE25'!K223+'DOE25'!K241</f>
        <v>16965.309999999998</v>
      </c>
      <c r="I8" s="255"/>
    </row>
    <row r="9" spans="1:9" ht="14.25" x14ac:dyDescent="0.2">
      <c r="A9" s="32">
        <v>2310</v>
      </c>
      <c r="B9" s="184" t="s">
        <v>888</v>
      </c>
      <c r="C9" s="274">
        <f t="shared" si="0"/>
        <v>0</v>
      </c>
      <c r="D9" s="243"/>
      <c r="E9" s="242"/>
      <c r="F9" s="252"/>
      <c r="G9" s="252"/>
      <c r="H9" s="252"/>
      <c r="I9" s="255"/>
    </row>
    <row r="10" spans="1:9" ht="14.25" x14ac:dyDescent="0.2">
      <c r="A10" s="32">
        <v>2317</v>
      </c>
      <c r="B10" s="184" t="s">
        <v>889</v>
      </c>
      <c r="C10" s="274">
        <f t="shared" si="0"/>
        <v>0</v>
      </c>
      <c r="D10" s="242"/>
      <c r="E10" s="243"/>
      <c r="F10" s="252"/>
      <c r="G10" s="252"/>
      <c r="H10" s="252"/>
      <c r="I10" s="255"/>
    </row>
    <row r="11" spans="1:9" ht="14.25" x14ac:dyDescent="0.2">
      <c r="A11" s="32">
        <v>2321</v>
      </c>
      <c r="B11" s="184" t="s">
        <v>890</v>
      </c>
      <c r="C11" s="274">
        <f t="shared" si="0"/>
        <v>0</v>
      </c>
      <c r="D11" s="243"/>
      <c r="E11" s="242"/>
      <c r="F11" s="252"/>
      <c r="G11" s="252"/>
      <c r="H11" s="252"/>
      <c r="I11" s="255"/>
    </row>
    <row r="12" spans="1:9" x14ac:dyDescent="0.2">
      <c r="A12" s="32">
        <v>2400</v>
      </c>
      <c r="B12" t="s">
        <v>711</v>
      </c>
      <c r="C12" s="274">
        <f t="shared" si="0"/>
        <v>1169024.8800000001</v>
      </c>
      <c r="D12" s="20">
        <f>'DOE25'!L206+'DOE25'!L224+'DOE25'!L242-F12-G12-H12</f>
        <v>1152675.31</v>
      </c>
      <c r="E12" s="242"/>
      <c r="F12" s="243"/>
      <c r="G12" s="53">
        <f>'DOE25'!J206+'DOE25'!J224+'DOE25'!J242</f>
        <v>98.81</v>
      </c>
      <c r="H12" s="53">
        <f>'DOE25'!K206+'DOE25'!K224+'DOE25'!K242</f>
        <v>16250.76</v>
      </c>
      <c r="I12" s="255"/>
    </row>
    <row r="13" spans="1:9" x14ac:dyDescent="0.2">
      <c r="A13" s="32">
        <v>2500</v>
      </c>
      <c r="B13" t="s">
        <v>798</v>
      </c>
      <c r="C13" s="274">
        <f t="shared" si="0"/>
        <v>395621.85999999987</v>
      </c>
      <c r="D13" s="242"/>
      <c r="E13" s="20">
        <f>'DOE25'!L207+'DOE25'!L225+'DOE25'!L243-F13-G13-H13</f>
        <v>394957.85999999987</v>
      </c>
      <c r="F13" s="243"/>
      <c r="G13" s="53">
        <f>'DOE25'!J207+'DOE25'!J225+'DOE25'!J243</f>
        <v>0</v>
      </c>
      <c r="H13" s="53">
        <f>'DOE25'!K207+'DOE25'!K225+'DOE25'!K243</f>
        <v>664</v>
      </c>
      <c r="I13" s="255"/>
    </row>
    <row r="14" spans="1:9" x14ac:dyDescent="0.2">
      <c r="A14" s="32">
        <v>2600</v>
      </c>
      <c r="B14" t="s">
        <v>819</v>
      </c>
      <c r="C14" s="274">
        <f t="shared" si="0"/>
        <v>1770884.3199999998</v>
      </c>
      <c r="D14" s="20">
        <f>'DOE25'!L208+'DOE25'!L226+'DOE25'!L244-F14-G14-H14</f>
        <v>1757748.92</v>
      </c>
      <c r="E14" s="242"/>
      <c r="F14" s="243"/>
      <c r="G14" s="53">
        <f>'DOE25'!J208+'DOE25'!J226+'DOE25'!J244</f>
        <v>13135.4</v>
      </c>
      <c r="H14" s="53">
        <f>'DOE25'!K208+'DOE25'!K226+'DOE25'!K244</f>
        <v>0</v>
      </c>
      <c r="I14" s="255"/>
    </row>
    <row r="15" spans="1:9" x14ac:dyDescent="0.2">
      <c r="A15" s="32">
        <v>2700</v>
      </c>
      <c r="B15" t="s">
        <v>799</v>
      </c>
      <c r="C15" s="274">
        <f t="shared" si="0"/>
        <v>816575.31</v>
      </c>
      <c r="D15" s="20">
        <f>'DOE25'!L209+'DOE25'!L227+'DOE25'!L245-F15-G15-H15</f>
        <v>816575.31</v>
      </c>
      <c r="E15" s="242"/>
      <c r="F15" s="243"/>
      <c r="G15" s="53">
        <f>'DOE25'!J209+'DOE25'!J227+'DOE25'!J245</f>
        <v>0</v>
      </c>
      <c r="H15" s="53">
        <f>'DOE25'!K209+'DOE25'!K227+'DOE25'!K245</f>
        <v>0</v>
      </c>
      <c r="I15" s="255"/>
    </row>
    <row r="16" spans="1:9" x14ac:dyDescent="0.2">
      <c r="A16" s="32">
        <v>2800</v>
      </c>
      <c r="B16" t="s">
        <v>800</v>
      </c>
      <c r="C16" s="274">
        <f t="shared" si="0"/>
        <v>7967.4500000000007</v>
      </c>
      <c r="D16" s="242"/>
      <c r="E16" s="20">
        <f>'DOE25'!L210+'DOE25'!L228+'DOE25'!L246-F16-G16-H16</f>
        <v>7967.4500000000007</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236503.26</v>
      </c>
      <c r="D22" s="242"/>
      <c r="E22" s="242"/>
      <c r="F22" s="242"/>
      <c r="G22" s="53">
        <f>'DOE25'!L256+'DOE25'!L337</f>
        <v>236503.26</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2097007.5</v>
      </c>
      <c r="D25" s="242"/>
      <c r="E25" s="242"/>
      <c r="F25" s="254"/>
      <c r="G25" s="252"/>
      <c r="H25" s="252"/>
      <c r="I25" s="253">
        <f>'DOE25'!L261+'DOE25'!L262+'DOE25'!L342+'DOE25'!L343</f>
        <v>2097007.5</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405780.5</v>
      </c>
      <c r="D29" s="282">
        <f>'DOE25'!L359+'DOE25'!L360+'DOE25'!L361-'DOE25'!I368-F29-G29-H29</f>
        <v>396311.13</v>
      </c>
      <c r="E29" s="242"/>
      <c r="F29" s="243"/>
      <c r="G29" s="53">
        <f>'DOE25'!J359+'DOE25'!J360+'DOE25'!J361</f>
        <v>8629.369999999999</v>
      </c>
      <c r="H29" s="53">
        <f>'DOE25'!K359+'DOE25'!K360+'DOE25'!K361</f>
        <v>840</v>
      </c>
      <c r="I29" s="255"/>
    </row>
    <row r="30" spans="1:9" x14ac:dyDescent="0.2">
      <c r="A30" s="32"/>
      <c r="C30" s="275"/>
      <c r="D30" s="20"/>
      <c r="E30" s="279"/>
      <c r="F30" s="269"/>
      <c r="G30" s="53"/>
      <c r="H30" s="53"/>
      <c r="I30" s="255"/>
    </row>
    <row r="31" spans="1:9" x14ac:dyDescent="0.2">
      <c r="A31" s="32" t="s">
        <v>818</v>
      </c>
      <c r="B31" t="s">
        <v>817</v>
      </c>
      <c r="C31" s="274">
        <f>SUM(D31:I31)</f>
        <v>992476.84000000008</v>
      </c>
      <c r="D31" s="20">
        <f>'DOE25'!L291+'DOE25'!L310+'DOE25'!L329+'DOE25'!L334+'DOE25'!L335+'DOE25'!L336-F31-G31-H31</f>
        <v>968978.56</v>
      </c>
      <c r="E31" s="242"/>
      <c r="F31" s="243"/>
      <c r="G31" s="53">
        <f>'DOE25'!J291+'DOE25'!J310+'DOE25'!J329+'DOE25'!J334+'DOE25'!J335+'DOE25'!J336</f>
        <v>23498.28</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20431765.892999995</v>
      </c>
      <c r="E33" s="244">
        <f t="shared" si="1"/>
        <v>1496985.5499999996</v>
      </c>
      <c r="F33" s="244">
        <f t="shared" si="1"/>
        <v>0</v>
      </c>
      <c r="G33" s="244">
        <f t="shared" si="1"/>
        <v>655379.83000000007</v>
      </c>
      <c r="H33" s="244">
        <f t="shared" si="1"/>
        <v>62131.57</v>
      </c>
      <c r="I33" s="244">
        <f t="shared" si="1"/>
        <v>2097007.5</v>
      </c>
    </row>
    <row r="35" spans="1:9" ht="12" thickBot="1" x14ac:dyDescent="0.25">
      <c r="B35" s="250" t="s">
        <v>831</v>
      </c>
      <c r="D35" s="251">
        <f>E33</f>
        <v>1496985.5499999996</v>
      </c>
      <c r="E35" s="247"/>
      <c r="F35" s="328" t="s">
        <v>1617</v>
      </c>
      <c r="G35" s="329"/>
      <c r="H35" s="329"/>
      <c r="I35" s="329"/>
    </row>
    <row r="36" spans="1:9" ht="12" thickTop="1" x14ac:dyDescent="0.2">
      <c r="B36" t="s">
        <v>810</v>
      </c>
      <c r="D36" s="20">
        <f>D33</f>
        <v>20431765.892999995</v>
      </c>
      <c r="F36" s="331" t="s">
        <v>1614</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N</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3" t="s">
        <v>900</v>
      </c>
      <c r="C53" s="383"/>
      <c r="D53" s="383"/>
      <c r="E53" s="383"/>
      <c r="F53" s="383"/>
      <c r="G53" s="383"/>
      <c r="H53" s="383"/>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H4" sqref="H4"/>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Newmarket</v>
      </c>
      <c r="B2" s="126">
        <f>'DOE25'!B2</f>
        <v>399</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15428720.800000001</v>
      </c>
      <c r="G4" s="299">
        <f>'DOE25'!L212+'DOE25'!L291</f>
        <v>15428720.802999998</v>
      </c>
      <c r="H4" s="340">
        <f>F4-G4</f>
        <v>-2.9999967664480209E-3</v>
      </c>
      <c r="I4" s="384" t="str">
        <f>IF(H4=0,"","ISSUES!! Please review page 7 and 11 totals in comparison with total on this page")</f>
        <v>ISSUES!! Please review page 7 and 11 totals in comparison with total on this page</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5"/>
      <c r="N5"/>
    </row>
    <row r="6" spans="1:18" x14ac:dyDescent="0.2">
      <c r="A6" s="126" t="str" cm="1">
        <f t="array" ref="A6">IFERROR(INDEX('School Tables'!$A$4:$G$325,'School Tables'!$J4,3),"")</f>
        <v>Newmarket Elementary School</v>
      </c>
      <c r="B6" s="300">
        <f>IFERROR(VLOOKUP(A6,'School Tables'!$C$3:$D$365,2,FALSE),"")</f>
        <v>21300</v>
      </c>
      <c r="C6" s="293" t="str">
        <f>IFERROR(INDEX('School Tables'!$B$3:$B$365,MATCH('School Level Expenditures'!B6,'School Tables'!$D$3:$D$365,0)),"")</f>
        <v>Newmarket</v>
      </c>
      <c r="D6" s="290">
        <v>9931441.6500000004</v>
      </c>
      <c r="E6" s="290">
        <v>604249.30000000005</v>
      </c>
      <c r="F6" s="303">
        <f t="shared" ref="F6:F20" si="0">D6+E6</f>
        <v>10535690.950000001</v>
      </c>
      <c r="G6" s="293"/>
      <c r="H6" s="293"/>
      <c r="I6" s="385"/>
      <c r="N6"/>
    </row>
    <row r="7" spans="1:18" x14ac:dyDescent="0.2">
      <c r="A7" s="126" t="str" cm="1">
        <f t="array" ref="A7">IFERROR(INDEX('School Tables'!$A$4:$G$325,'School Tables'!$J5,3),"")</f>
        <v>Newmarket Jr.-Sr. High (Elem)</v>
      </c>
      <c r="B7" s="300">
        <f>IFERROR(VLOOKUP(A7,'School Tables'!$C$3:$D$365,2,FALSE),"")</f>
        <v>26560</v>
      </c>
      <c r="C7" s="293" t="str">
        <f>IFERROR(INDEX('School Tables'!$B$3:$B$365,MATCH('School Level Expenditures'!B7,'School Tables'!$D$3:$D$365,0)),"")</f>
        <v>Newmarket</v>
      </c>
      <c r="D7" s="290">
        <v>4651889.09</v>
      </c>
      <c r="E7" s="290">
        <v>241140.76</v>
      </c>
      <c r="F7" s="303">
        <f t="shared" si="0"/>
        <v>4893029.8499999996</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14583330.74</v>
      </c>
      <c r="E21" s="338">
        <f>SUM(E5:E20)</f>
        <v>845390.06</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4"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5"/>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5"/>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6575258.2800000003</v>
      </c>
      <c r="G36" s="299">
        <f>'DOE25'!L248+'DOE25'!L329</f>
        <v>6575258.2800000003</v>
      </c>
      <c r="H36" s="340">
        <f>F36-G36</f>
        <v>0</v>
      </c>
      <c r="I36" s="384"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5"/>
      <c r="N37"/>
    </row>
    <row r="38" spans="1:14" x14ac:dyDescent="0.2">
      <c r="A38" s="126" t="str" cm="1">
        <f t="array" ref="A38">IFERROR(INDEX('School Tables'!$W$4:$AC$100,'School Tables'!$AF4,3),"")</f>
        <v>Newmarket Jr.-Sr. High School</v>
      </c>
      <c r="B38" s="300">
        <f>IFERROR(VLOOKUP(A38,'School Tables'!$Y$4:$Z$100,2,FALSE),"")</f>
        <v>23115</v>
      </c>
      <c r="C38" s="293" t="str">
        <f>IFERROR(INDEX('School Tables'!$X$4:$X$100,MATCH('School Level Expenditures'!A38,'School Tables'!$Y$4:$Y$100,0)),"")</f>
        <v>Newmarket</v>
      </c>
      <c r="D38" s="290">
        <v>6428171.5</v>
      </c>
      <c r="E38" s="290">
        <v>147086.78</v>
      </c>
      <c r="F38" s="303">
        <f t="shared" si="2"/>
        <v>6575258.2800000003</v>
      </c>
      <c r="G38" s="293"/>
      <c r="H38" s="293"/>
      <c r="I38" s="385"/>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6428171.5</v>
      </c>
      <c r="E43" s="339">
        <f>SUM(E37:E42)</f>
        <v>147086.78</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3"/>
      <c r="B58" s="383"/>
      <c r="C58" s="383"/>
      <c r="D58" s="383"/>
      <c r="E58" s="383"/>
      <c r="F58" s="383"/>
      <c r="G58" s="383"/>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Normal="100" workbookViewId="0">
      <selection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Newmarket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1608936</v>
      </c>
      <c r="D8" s="95">
        <f>'DOE25'!G9</f>
        <v>40741</v>
      </c>
      <c r="E8" s="95">
        <f>'DOE25'!H9</f>
        <v>26185.29</v>
      </c>
      <c r="F8" s="95">
        <f>'DOE25'!I9</f>
        <v>384992</v>
      </c>
      <c r="G8" s="95">
        <f>'DOE25'!J9</f>
        <v>0</v>
      </c>
      <c r="H8" s="124">
        <f>SUM(C8:G8)</f>
        <v>2060854.29</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210143</v>
      </c>
      <c r="D11" s="95">
        <f>'DOE25'!G12</f>
        <v>0</v>
      </c>
      <c r="E11" s="95">
        <f>'DOE25'!H12</f>
        <v>0</v>
      </c>
      <c r="F11" s="95">
        <f>'DOE25'!I12</f>
        <v>0</v>
      </c>
      <c r="G11" s="95">
        <f>'DOE25'!J12</f>
        <v>1642163.8399999999</v>
      </c>
      <c r="H11" s="124">
        <f t="shared" si="0"/>
        <v>1852306.8399999999</v>
      </c>
      <c r="I11" s="124"/>
    </row>
    <row r="12" spans="1:9" x14ac:dyDescent="0.2">
      <c r="A12" s="1" t="s">
        <v>143</v>
      </c>
      <c r="B12" s="6">
        <v>140</v>
      </c>
      <c r="C12" s="95">
        <f>'DOE25'!F13</f>
        <v>61001</v>
      </c>
      <c r="D12" s="95">
        <f>'DOE25'!G13</f>
        <v>168372</v>
      </c>
      <c r="E12" s="95">
        <f>'DOE25'!H13</f>
        <v>0</v>
      </c>
      <c r="F12" s="95">
        <f>'DOE25'!I13</f>
        <v>0</v>
      </c>
      <c r="G12" s="95">
        <f>'DOE25'!J13</f>
        <v>0</v>
      </c>
      <c r="H12" s="124">
        <f t="shared" si="0"/>
        <v>229373</v>
      </c>
      <c r="I12" s="124"/>
    </row>
    <row r="13" spans="1:9" x14ac:dyDescent="0.2">
      <c r="A13" s="1" t="s">
        <v>144</v>
      </c>
      <c r="B13" s="6">
        <v>150</v>
      </c>
      <c r="C13" s="95">
        <f>'DOE25'!F14</f>
        <v>0</v>
      </c>
      <c r="D13" s="95">
        <f>'DOE25'!G14</f>
        <v>343</v>
      </c>
      <c r="E13" s="95">
        <f>'DOE25'!H14</f>
        <v>249291</v>
      </c>
      <c r="F13" s="95">
        <f>'DOE25'!I14</f>
        <v>0</v>
      </c>
      <c r="G13" s="95">
        <f>'DOE25'!J14</f>
        <v>0</v>
      </c>
      <c r="H13" s="124">
        <f t="shared" si="0"/>
        <v>249634</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15291</v>
      </c>
      <c r="E15" s="95">
        <f>'DOE25'!H16</f>
        <v>0</v>
      </c>
      <c r="F15" s="95">
        <f>'DOE25'!I16</f>
        <v>0</v>
      </c>
      <c r="G15" s="24" t="s">
        <v>288</v>
      </c>
      <c r="H15" s="124">
        <f t="shared" si="0"/>
        <v>15291</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1880080</v>
      </c>
      <c r="D18" s="41">
        <f>SUM(D8:D17)</f>
        <v>224747</v>
      </c>
      <c r="E18" s="41">
        <f>SUM(E8:E17)</f>
        <v>275476.28999999998</v>
      </c>
      <c r="F18" s="41">
        <f>SUM(F8:F17)</f>
        <v>384992</v>
      </c>
      <c r="G18" s="41">
        <f>SUM(G8:G17)</f>
        <v>1642163.8399999999</v>
      </c>
      <c r="H18" s="41">
        <f t="shared" si="0"/>
        <v>4407459.13</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0</v>
      </c>
      <c r="F21" s="95">
        <f>'DOE25'!I22</f>
        <v>0</v>
      </c>
      <c r="G21" s="95">
        <f>'DOE25'!J22</f>
        <v>0</v>
      </c>
      <c r="H21" s="124">
        <f t="shared" ref="H21:H31" si="1">SUM(C21:G21)</f>
        <v>0</v>
      </c>
      <c r="I21" s="124"/>
    </row>
    <row r="22" spans="1:9" x14ac:dyDescent="0.2">
      <c r="A22" s="1" t="s">
        <v>151</v>
      </c>
      <c r="B22" s="6">
        <v>410</v>
      </c>
      <c r="C22" s="95">
        <f>'DOE25'!F23</f>
        <v>0</v>
      </c>
      <c r="D22" s="95">
        <f>'DOE25'!G23</f>
        <v>68124</v>
      </c>
      <c r="E22" s="95">
        <f>'DOE25'!H23</f>
        <v>249291</v>
      </c>
      <c r="F22" s="95">
        <f>'DOE25'!I23</f>
        <v>0</v>
      </c>
      <c r="G22" s="95">
        <f>'DOE25'!J23</f>
        <v>27780</v>
      </c>
      <c r="H22" s="124">
        <f t="shared" si="1"/>
        <v>345195</v>
      </c>
      <c r="I22" s="124"/>
    </row>
    <row r="23" spans="1:9" x14ac:dyDescent="0.2">
      <c r="A23" s="1" t="s">
        <v>152</v>
      </c>
      <c r="B23" s="6">
        <v>420</v>
      </c>
      <c r="C23" s="95">
        <f>'DOE25'!F24</f>
        <v>33059</v>
      </c>
      <c r="D23" s="95">
        <f>'DOE25'!G24</f>
        <v>12057</v>
      </c>
      <c r="E23" s="95">
        <f>'DOE25'!H24</f>
        <v>0</v>
      </c>
      <c r="F23" s="95">
        <f>'DOE25'!I24</f>
        <v>0</v>
      </c>
      <c r="G23" s="95">
        <f>'DOE25'!J24</f>
        <v>0</v>
      </c>
      <c r="H23" s="124">
        <f t="shared" si="1"/>
        <v>45116</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28061</v>
      </c>
      <c r="D27" s="95">
        <f>'DOE25'!G28</f>
        <v>0</v>
      </c>
      <c r="E27" s="95">
        <f>'DOE25'!H28</f>
        <v>0</v>
      </c>
      <c r="F27" s="95">
        <f>'DOE25'!I28</f>
        <v>0</v>
      </c>
      <c r="G27" s="24" t="s">
        <v>288</v>
      </c>
      <c r="H27" s="124">
        <f t="shared" si="1"/>
        <v>28061</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13380</v>
      </c>
      <c r="E29" s="95">
        <f>'DOE25'!H30</f>
        <v>0</v>
      </c>
      <c r="F29" s="95">
        <f>'DOE25'!I30</f>
        <v>0</v>
      </c>
      <c r="G29" s="24" t="s">
        <v>288</v>
      </c>
      <c r="H29" s="124">
        <f t="shared" si="1"/>
        <v>13380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61120</v>
      </c>
      <c r="D31" s="41">
        <f>SUM(D21:D30)</f>
        <v>93561</v>
      </c>
      <c r="E31" s="41">
        <f>SUM(E21:E30)</f>
        <v>249291</v>
      </c>
      <c r="F31" s="41">
        <f>SUM(F21:F30)</f>
        <v>0</v>
      </c>
      <c r="G31" s="41">
        <f>SUM(G21:G30)</f>
        <v>27780</v>
      </c>
      <c r="H31" s="41">
        <f t="shared" si="1"/>
        <v>431752</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131186</v>
      </c>
      <c r="E39" s="24" t="s">
        <v>288</v>
      </c>
      <c r="F39" s="24" t="s">
        <v>288</v>
      </c>
      <c r="G39" s="24" t="s">
        <v>288</v>
      </c>
      <c r="H39" s="124">
        <f t="shared" si="2"/>
        <v>131186</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50000</v>
      </c>
      <c r="D43" s="95">
        <f>'DOE25'!G44</f>
        <v>0</v>
      </c>
      <c r="E43" s="95">
        <f>'DOE25'!H44</f>
        <v>0</v>
      </c>
      <c r="F43" s="95">
        <f>'DOE25'!I44</f>
        <v>0</v>
      </c>
      <c r="G43" s="24" t="s">
        <v>288</v>
      </c>
      <c r="H43" s="124">
        <f t="shared" si="2"/>
        <v>50000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483858</v>
      </c>
      <c r="D45" s="24" t="s">
        <v>288</v>
      </c>
      <c r="E45" s="24" t="s">
        <v>288</v>
      </c>
      <c r="F45" s="24" t="s">
        <v>288</v>
      </c>
      <c r="G45" s="24" t="s">
        <v>288</v>
      </c>
      <c r="H45" s="124">
        <f t="shared" si="2"/>
        <v>483858</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26185.29</v>
      </c>
      <c r="F47" s="95">
        <f>'DOE25'!I48</f>
        <v>384992</v>
      </c>
      <c r="G47" s="95">
        <f>'DOE25'!J48</f>
        <v>1614383.8399999999</v>
      </c>
      <c r="H47" s="124">
        <f t="shared" si="2"/>
        <v>2025561.13</v>
      </c>
      <c r="I47" s="124"/>
    </row>
    <row r="48" spans="1:9" x14ac:dyDescent="0.2">
      <c r="A48" s="1" t="s">
        <v>882</v>
      </c>
      <c r="B48" s="6">
        <v>753</v>
      </c>
      <c r="C48" s="95">
        <f>'DOE25'!F49</f>
        <v>188402</v>
      </c>
      <c r="D48" s="95">
        <f>'DOE25'!G49</f>
        <v>0</v>
      </c>
      <c r="E48" s="95">
        <f>'DOE25'!H49</f>
        <v>0</v>
      </c>
      <c r="F48" s="95">
        <f>'DOE25'!I49</f>
        <v>0</v>
      </c>
      <c r="G48" s="95">
        <f>'DOE25'!J49</f>
        <v>0</v>
      </c>
      <c r="H48" s="124">
        <f t="shared" si="2"/>
        <v>188402</v>
      </c>
      <c r="I48" s="124"/>
    </row>
    <row r="49" spans="1:9" ht="12" thickBot="1" x14ac:dyDescent="0.25">
      <c r="A49" s="29" t="s">
        <v>883</v>
      </c>
      <c r="B49" s="71">
        <v>770</v>
      </c>
      <c r="C49" s="95">
        <f>'DOE25'!F50</f>
        <v>1096700</v>
      </c>
      <c r="D49" s="24" t="s">
        <v>288</v>
      </c>
      <c r="E49" s="24" t="s">
        <v>288</v>
      </c>
      <c r="F49" s="24" t="s">
        <v>288</v>
      </c>
      <c r="G49" s="24" t="s">
        <v>288</v>
      </c>
      <c r="H49" s="124">
        <f t="shared" si="2"/>
        <v>1096700</v>
      </c>
      <c r="I49" s="124"/>
    </row>
    <row r="50" spans="1:9" ht="12.75" thickTop="1" thickBot="1" x14ac:dyDescent="0.25">
      <c r="A50" s="38" t="s">
        <v>884</v>
      </c>
      <c r="B50" s="48"/>
      <c r="C50" s="41">
        <f>SUM(C34:C49)</f>
        <v>1818960</v>
      </c>
      <c r="D50" s="41">
        <f>SUM(D34:D49)</f>
        <v>131186</v>
      </c>
      <c r="E50" s="41">
        <f>SUM(E34:E49)</f>
        <v>26185.29</v>
      </c>
      <c r="F50" s="41">
        <f>SUM(F34:F49)</f>
        <v>384992</v>
      </c>
      <c r="G50" s="41">
        <f>SUM(G34:G49)</f>
        <v>1614383.8399999999</v>
      </c>
      <c r="H50" s="41">
        <f t="shared" si="2"/>
        <v>3975707.13</v>
      </c>
      <c r="I50" s="124"/>
    </row>
    <row r="51" spans="1:9" ht="12" thickTop="1" x14ac:dyDescent="0.2">
      <c r="A51" s="38" t="s">
        <v>885</v>
      </c>
      <c r="B51" s="2"/>
      <c r="C51" s="41">
        <f>C50+C31</f>
        <v>1880080</v>
      </c>
      <c r="D51" s="41">
        <f>D50+D31</f>
        <v>224747</v>
      </c>
      <c r="E51" s="41">
        <f>E50+E31</f>
        <v>275476.28999999998</v>
      </c>
      <c r="F51" s="41">
        <f>F50+F31</f>
        <v>384992</v>
      </c>
      <c r="G51" s="41">
        <f>G50+G31</f>
        <v>1642163.8399999999</v>
      </c>
      <c r="H51" s="41">
        <f t="shared" si="2"/>
        <v>4407459.13</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17410242</v>
      </c>
      <c r="D56" s="95">
        <f>'DOE25'!G60</f>
        <v>0</v>
      </c>
      <c r="E56" s="95">
        <f>'DOE25'!H60</f>
        <v>0</v>
      </c>
      <c r="F56" s="95">
        <f>'DOE25'!I60</f>
        <v>0</v>
      </c>
      <c r="G56" s="95">
        <f>'DOE25'!J60</f>
        <v>0</v>
      </c>
      <c r="H56" s="124">
        <f t="shared" ref="H56:H63" si="3">SUM(C56:G56)</f>
        <v>17410242</v>
      </c>
      <c r="I56"/>
    </row>
    <row r="57" spans="1:9" x14ac:dyDescent="0.2">
      <c r="A57" s="1" t="s">
        <v>164</v>
      </c>
      <c r="B57" s="6" t="s">
        <v>165</v>
      </c>
      <c r="C57" s="95">
        <f>'DOE25'!F79</f>
        <v>27298</v>
      </c>
      <c r="D57" s="24" t="s">
        <v>288</v>
      </c>
      <c r="E57" s="95">
        <f>'DOE25'!H79</f>
        <v>0</v>
      </c>
      <c r="F57" s="24" t="s">
        <v>288</v>
      </c>
      <c r="G57" s="24" t="s">
        <v>288</v>
      </c>
      <c r="H57" s="124">
        <f t="shared" si="3"/>
        <v>27298</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4372</v>
      </c>
      <c r="D59" s="95">
        <f>'DOE25'!G96</f>
        <v>0</v>
      </c>
      <c r="E59" s="95">
        <f>'DOE25'!H96</f>
        <v>0</v>
      </c>
      <c r="F59" s="95">
        <f>'DOE25'!I96</f>
        <v>387</v>
      </c>
      <c r="G59" s="95">
        <f>'DOE25'!J96</f>
        <v>1440.09</v>
      </c>
      <c r="H59" s="124">
        <f t="shared" si="3"/>
        <v>6199.09</v>
      </c>
      <c r="I59"/>
    </row>
    <row r="60" spans="1:9" x14ac:dyDescent="0.2">
      <c r="A60" s="1" t="s">
        <v>170</v>
      </c>
      <c r="B60" s="118" t="s">
        <v>171</v>
      </c>
      <c r="C60" s="24" t="s">
        <v>288</v>
      </c>
      <c r="D60" s="95">
        <f>'DOE25'!G97</f>
        <v>30837</v>
      </c>
      <c r="E60" s="24" t="s">
        <v>288</v>
      </c>
      <c r="F60" s="24" t="s">
        <v>288</v>
      </c>
      <c r="G60" s="24" t="s">
        <v>288</v>
      </c>
      <c r="H60" s="124">
        <f t="shared" si="3"/>
        <v>30837</v>
      </c>
      <c r="I60"/>
    </row>
    <row r="61" spans="1:9" ht="12" thickBot="1" x14ac:dyDescent="0.25">
      <c r="A61" s="1" t="s">
        <v>172</v>
      </c>
      <c r="B61" s="118" t="s">
        <v>173</v>
      </c>
      <c r="C61" s="95">
        <f>SUM('DOE25'!F98:F110)</f>
        <v>78987</v>
      </c>
      <c r="D61" s="95">
        <f>SUM('DOE25'!G98:G110)</f>
        <v>3035</v>
      </c>
      <c r="E61" s="95">
        <f>SUM('DOE25'!H98:H110)</f>
        <v>0</v>
      </c>
      <c r="F61" s="95">
        <f>SUM('DOE25'!I98:I110)</f>
        <v>0</v>
      </c>
      <c r="G61" s="95">
        <f>SUM('DOE25'!J98:J110)</f>
        <v>0</v>
      </c>
      <c r="H61" s="124">
        <f t="shared" si="3"/>
        <v>82022</v>
      </c>
      <c r="I61"/>
    </row>
    <row r="62" spans="1:9" ht="12.75" thickTop="1" thickBot="1" x14ac:dyDescent="0.25">
      <c r="A62" s="29" t="s">
        <v>174</v>
      </c>
      <c r="B62" s="6"/>
      <c r="C62" s="130">
        <f>SUM(C57:C61)</f>
        <v>110657</v>
      </c>
      <c r="D62" s="130">
        <f>SUM(D57:D61)</f>
        <v>33872</v>
      </c>
      <c r="E62" s="130">
        <f>SUM(E57:E61)</f>
        <v>0</v>
      </c>
      <c r="F62" s="130">
        <f>SUM(F57:F61)</f>
        <v>387</v>
      </c>
      <c r="G62" s="130">
        <f>SUM(G57:G61)</f>
        <v>1440.09</v>
      </c>
      <c r="H62" s="124">
        <f t="shared" si="3"/>
        <v>146356.09</v>
      </c>
      <c r="I62"/>
    </row>
    <row r="63" spans="1:9" ht="12" thickTop="1" x14ac:dyDescent="0.2">
      <c r="A63" s="29" t="s">
        <v>175</v>
      </c>
      <c r="B63" s="6"/>
      <c r="C63" s="22">
        <f>C56+C62</f>
        <v>17520899</v>
      </c>
      <c r="D63" s="22">
        <f>D56+D62</f>
        <v>33872</v>
      </c>
      <c r="E63" s="22">
        <f>E56+E62</f>
        <v>0</v>
      </c>
      <c r="F63" s="22">
        <f>F56+F62</f>
        <v>387</v>
      </c>
      <c r="G63" s="22">
        <f>G56+G62</f>
        <v>1440.09</v>
      </c>
      <c r="H63" s="124">
        <f t="shared" si="3"/>
        <v>17556598.09</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2933449</v>
      </c>
      <c r="D66" s="24" t="s">
        <v>288</v>
      </c>
      <c r="E66" s="24" t="s">
        <v>288</v>
      </c>
      <c r="F66" s="24" t="s">
        <v>288</v>
      </c>
      <c r="G66" s="24" t="s">
        <v>288</v>
      </c>
      <c r="H66" s="124">
        <f t="shared" ref="H66:H81" si="4">SUM(C66:G66)</f>
        <v>2933449</v>
      </c>
      <c r="I66"/>
    </row>
    <row r="67" spans="1:9" x14ac:dyDescent="0.2">
      <c r="A67" s="1" t="s">
        <v>770</v>
      </c>
      <c r="B67" s="6">
        <v>3112</v>
      </c>
      <c r="C67" s="95">
        <f>'DOE25'!F118</f>
        <v>1944085</v>
      </c>
      <c r="D67" s="24"/>
      <c r="E67" s="24"/>
      <c r="F67" s="24"/>
      <c r="G67" s="24"/>
      <c r="H67" s="124">
        <f t="shared" si="4"/>
        <v>1944085</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9653</v>
      </c>
      <c r="D69" s="95">
        <f>'DOE25'!G120</f>
        <v>0</v>
      </c>
      <c r="E69" s="95">
        <f>'DOE25'!H120</f>
        <v>0</v>
      </c>
      <c r="F69" s="95">
        <f>'DOE25'!I120</f>
        <v>0</v>
      </c>
      <c r="G69" s="95">
        <f>'DOE25'!J120</f>
        <v>0</v>
      </c>
      <c r="H69" s="124">
        <f t="shared" si="4"/>
        <v>9653</v>
      </c>
      <c r="I69"/>
    </row>
    <row r="70" spans="1:9" ht="12" thickTop="1" x14ac:dyDescent="0.2">
      <c r="A70" s="29" t="s">
        <v>252</v>
      </c>
      <c r="B70" s="2"/>
      <c r="C70" s="139">
        <f>SUM(C66:C69)</f>
        <v>4887187</v>
      </c>
      <c r="D70" s="139">
        <f>D69</f>
        <v>0</v>
      </c>
      <c r="E70" s="139">
        <f>E69</f>
        <v>0</v>
      </c>
      <c r="F70" s="139">
        <f>F69</f>
        <v>0</v>
      </c>
      <c r="G70" s="139">
        <f>G69</f>
        <v>0</v>
      </c>
      <c r="H70" s="124">
        <f t="shared" si="4"/>
        <v>4887187</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252110</v>
      </c>
      <c r="D75" s="24" t="s">
        <v>288</v>
      </c>
      <c r="E75" s="24" t="s">
        <v>288</v>
      </c>
      <c r="F75" s="24" t="s">
        <v>288</v>
      </c>
      <c r="G75" s="24" t="s">
        <v>288</v>
      </c>
      <c r="H75" s="124">
        <f t="shared" si="4"/>
        <v>252110</v>
      </c>
      <c r="I75"/>
    </row>
    <row r="76" spans="1:9" x14ac:dyDescent="0.2">
      <c r="A76" s="1" t="s">
        <v>257</v>
      </c>
      <c r="B76" s="6" t="s">
        <v>179</v>
      </c>
      <c r="C76" s="95">
        <f>SUM('DOE25'!F127:F130)</f>
        <v>9203</v>
      </c>
      <c r="D76" s="24" t="s">
        <v>288</v>
      </c>
      <c r="E76" s="95">
        <f>SUM('DOE25'!H127:H130)</f>
        <v>0</v>
      </c>
      <c r="F76" s="95">
        <f>SUM('DOE25'!I127:I130)</f>
        <v>0</v>
      </c>
      <c r="G76" s="24" t="s">
        <v>288</v>
      </c>
      <c r="H76" s="124">
        <f t="shared" si="4"/>
        <v>9203</v>
      </c>
      <c r="I76"/>
    </row>
    <row r="77" spans="1:9" ht="12" thickBot="1" x14ac:dyDescent="0.25">
      <c r="A77" s="1" t="s">
        <v>258</v>
      </c>
      <c r="B77" s="6" t="s">
        <v>180</v>
      </c>
      <c r="C77" s="95">
        <f>SUM('DOE25'!F131:F135)</f>
        <v>0</v>
      </c>
      <c r="D77" s="95">
        <f>SUM('DOE25'!G131:G135)</f>
        <v>6825</v>
      </c>
      <c r="E77" s="95">
        <f>SUM('DOE25'!H131:H135)</f>
        <v>0</v>
      </c>
      <c r="F77" s="95">
        <f>SUM('DOE25'!I131:I135)</f>
        <v>0</v>
      </c>
      <c r="G77" s="95">
        <f>SUM('DOE25'!J131:J135)</f>
        <v>0</v>
      </c>
      <c r="H77" s="124">
        <f t="shared" si="4"/>
        <v>6825</v>
      </c>
      <c r="I77"/>
    </row>
    <row r="78" spans="1:9" ht="12.75" thickTop="1" thickBot="1" x14ac:dyDescent="0.25">
      <c r="A78" s="29" t="s">
        <v>259</v>
      </c>
      <c r="B78" s="6"/>
      <c r="C78" s="130">
        <f>SUM(C72:C77)</f>
        <v>261313</v>
      </c>
      <c r="D78" s="130">
        <f>SUM(D72:D77)</f>
        <v>6825</v>
      </c>
      <c r="E78" s="130">
        <f>SUM(E72:E77)</f>
        <v>0</v>
      </c>
      <c r="F78" s="130">
        <f>SUM(F72:F77)</f>
        <v>0</v>
      </c>
      <c r="G78" s="130">
        <f>SUM(G72:G77)</f>
        <v>0</v>
      </c>
      <c r="H78" s="124">
        <f t="shared" si="4"/>
        <v>268138</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5148500</v>
      </c>
      <c r="D81" s="130">
        <f>SUM(D79:D80)+D78+D70</f>
        <v>6825</v>
      </c>
      <c r="E81" s="130">
        <f>SUM(E79:E80)+E78+E70</f>
        <v>0</v>
      </c>
      <c r="F81" s="130">
        <f>SUM(F79:F80)+F78+F70</f>
        <v>0</v>
      </c>
      <c r="G81" s="130">
        <f>SUM(G79:G80)+G78+G70</f>
        <v>0</v>
      </c>
      <c r="H81" s="130">
        <f t="shared" si="4"/>
        <v>5155325</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386203</v>
      </c>
      <c r="D85" s="95">
        <f>'DOE25'!G147</f>
        <v>0</v>
      </c>
      <c r="E85" s="95">
        <f>'DOE25'!H147</f>
        <v>0</v>
      </c>
      <c r="F85" s="95">
        <f>'DOE25'!I147</f>
        <v>0</v>
      </c>
      <c r="G85" s="24" t="s">
        <v>288</v>
      </c>
      <c r="H85" s="124">
        <f t="shared" ref="H85:H104" si="5">SUM(C85:G85)</f>
        <v>386203</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176980</v>
      </c>
      <c r="D88" s="326">
        <f>SUM('DOE25'!G153:G162)</f>
        <v>603513</v>
      </c>
      <c r="E88" s="326">
        <f>SUM('DOE25'!H153:H162)</f>
        <v>992475</v>
      </c>
      <c r="F88" s="326">
        <f>SUM('DOE25'!I153:I162)</f>
        <v>0</v>
      </c>
      <c r="G88" s="24" t="s">
        <v>288</v>
      </c>
      <c r="H88" s="124">
        <f t="shared" si="5"/>
        <v>1772968</v>
      </c>
    </row>
    <row r="89" spans="1:9" x14ac:dyDescent="0.2">
      <c r="A89" t="s">
        <v>748</v>
      </c>
      <c r="B89" s="32" t="s">
        <v>185</v>
      </c>
      <c r="C89" s="95">
        <f>'DOE25'!F164+'DOE25'!F167+'DOE25'!F169</f>
        <v>0</v>
      </c>
      <c r="D89" s="95">
        <f>'DOE25'!G164+'DOE25'!G169</f>
        <v>0</v>
      </c>
      <c r="E89" s="95">
        <f>'DOE25'!H164+'DOE25'!H169</f>
        <v>9732</v>
      </c>
      <c r="F89" s="95">
        <f>'DOE25'!I164</f>
        <v>0</v>
      </c>
      <c r="G89" s="24" t="s">
        <v>288</v>
      </c>
      <c r="H89" s="124">
        <f t="shared" si="5"/>
        <v>9732</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563183</v>
      </c>
      <c r="D91" s="131">
        <f>SUM(D85:D90)</f>
        <v>603513</v>
      </c>
      <c r="E91" s="131">
        <f>SUM(E85:E90)</f>
        <v>1002207</v>
      </c>
      <c r="F91" s="131">
        <f>SUM(F85:F90)</f>
        <v>0</v>
      </c>
      <c r="G91" s="24" t="s">
        <v>288</v>
      </c>
      <c r="H91" s="124">
        <f t="shared" si="5"/>
        <v>2168903</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608255</v>
      </c>
      <c r="H96" s="124">
        <f t="shared" si="5"/>
        <v>608255</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27780</v>
      </c>
      <c r="D99" s="95">
        <f>'DOE25'!G186</f>
        <v>0</v>
      </c>
      <c r="E99" s="95">
        <f>'DOE25'!H186</f>
        <v>0</v>
      </c>
      <c r="F99" s="95">
        <f>'DOE25'!I186</f>
        <v>0</v>
      </c>
      <c r="G99" s="24" t="s">
        <v>288</v>
      </c>
      <c r="H99" s="124">
        <f t="shared" si="5"/>
        <v>27780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27780</v>
      </c>
      <c r="D103" s="86">
        <f>SUM(D93:D102)</f>
        <v>0</v>
      </c>
      <c r="E103" s="86">
        <f>SUM(E93:E102)</f>
        <v>0</v>
      </c>
      <c r="F103" s="86">
        <f>SUM(F93:F102)</f>
        <v>0</v>
      </c>
      <c r="G103" s="86">
        <f>SUM(G93:G102)</f>
        <v>608255</v>
      </c>
      <c r="H103" s="86">
        <f t="shared" si="5"/>
        <v>636035</v>
      </c>
    </row>
    <row r="104" spans="1:8" ht="12.75" thickTop="1" thickBot="1" x14ac:dyDescent="0.25">
      <c r="A104" s="33" t="s">
        <v>761</v>
      </c>
      <c r="C104" s="86">
        <f>C63+C81+C91+C103</f>
        <v>23260362</v>
      </c>
      <c r="D104" s="86">
        <f>D63+D81+D91+D103</f>
        <v>644210</v>
      </c>
      <c r="E104" s="86">
        <f>E63+E81+E91+E103</f>
        <v>1002207</v>
      </c>
      <c r="F104" s="86">
        <f>F63+F81+F91+F103</f>
        <v>387</v>
      </c>
      <c r="G104" s="86">
        <f>G63+G81+G103</f>
        <v>609695.09</v>
      </c>
      <c r="H104" s="86">
        <f t="shared" si="5"/>
        <v>25516861.09</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8584531.1699999999</v>
      </c>
      <c r="D109" s="24" t="s">
        <v>288</v>
      </c>
      <c r="E109" s="95">
        <f>('DOE25'!L277)+('DOE25'!L296)+('DOE25'!L315)</f>
        <v>391797.44</v>
      </c>
      <c r="F109" s="24" t="s">
        <v>288</v>
      </c>
      <c r="G109" s="24" t="s">
        <v>288</v>
      </c>
      <c r="H109" s="124">
        <f t="shared" ref="H109:H115" si="6">SUM(C109:G109)</f>
        <v>8976328.6099999994</v>
      </c>
    </row>
    <row r="110" spans="1:8" x14ac:dyDescent="0.2">
      <c r="A110" t="s">
        <v>198</v>
      </c>
      <c r="B110" s="32" t="s">
        <v>199</v>
      </c>
      <c r="C110" s="95">
        <f>('DOE25'!L199)+('DOE25'!L217)+('DOE25'!L235)</f>
        <v>4002736.8500000006</v>
      </c>
      <c r="D110" s="24" t="s">
        <v>288</v>
      </c>
      <c r="E110" s="95">
        <f>('DOE25'!L278)+('DOE25'!L297)+('DOE25'!L316)</f>
        <v>308287.05</v>
      </c>
      <c r="F110" s="24" t="s">
        <v>288</v>
      </c>
      <c r="G110" s="24" t="s">
        <v>288</v>
      </c>
      <c r="H110" s="124">
        <f t="shared" si="6"/>
        <v>4311023.9000000004</v>
      </c>
    </row>
    <row r="111" spans="1:8" x14ac:dyDescent="0.2">
      <c r="A111" t="s">
        <v>200</v>
      </c>
      <c r="B111" s="32" t="s">
        <v>165</v>
      </c>
      <c r="C111" s="95">
        <f>('DOE25'!L200)+('DOE25'!L218)+('DOE25'!L236)</f>
        <v>179877.51</v>
      </c>
      <c r="D111" s="24" t="s">
        <v>288</v>
      </c>
      <c r="E111" s="95">
        <f>('DOE25'!L279)+('DOE25'!L298)+('DOE25'!L317)</f>
        <v>0</v>
      </c>
      <c r="F111" s="24" t="s">
        <v>288</v>
      </c>
      <c r="G111" s="24" t="s">
        <v>288</v>
      </c>
      <c r="H111" s="124">
        <f t="shared" si="6"/>
        <v>179877.51</v>
      </c>
    </row>
    <row r="112" spans="1:8" x14ac:dyDescent="0.2">
      <c r="A112" t="s">
        <v>201</v>
      </c>
      <c r="B112" s="32" t="s">
        <v>167</v>
      </c>
      <c r="C112" s="95">
        <f>('DOE25'!L201)+('DOE25'!L219)+('DOE25'!L237)</f>
        <v>255892.14</v>
      </c>
      <c r="D112" s="24" t="s">
        <v>288</v>
      </c>
      <c r="E112" s="95">
        <f>+('DOE25'!L280)+('DOE25'!L299)+('DOE25'!L318)</f>
        <v>0</v>
      </c>
      <c r="F112" s="24" t="s">
        <v>288</v>
      </c>
      <c r="G112" s="24" t="s">
        <v>288</v>
      </c>
      <c r="H112" s="124">
        <f t="shared" si="6"/>
        <v>255892.14</v>
      </c>
    </row>
    <row r="113" spans="1:8" x14ac:dyDescent="0.2">
      <c r="A113" t="s">
        <v>202</v>
      </c>
      <c r="B113" s="32" t="s">
        <v>169</v>
      </c>
      <c r="C113" s="95">
        <f>'DOE25'!L251</f>
        <v>0</v>
      </c>
      <c r="D113" s="24" t="s">
        <v>288</v>
      </c>
      <c r="E113" s="95">
        <f>+'DOE25'!L333</f>
        <v>22678.87</v>
      </c>
      <c r="F113" s="24" t="s">
        <v>288</v>
      </c>
      <c r="G113" s="24" t="s">
        <v>288</v>
      </c>
      <c r="H113" s="124">
        <f t="shared" si="6"/>
        <v>22678.87</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13023037.67</v>
      </c>
      <c r="D115" s="86">
        <f>SUM(D109:D114)</f>
        <v>0</v>
      </c>
      <c r="E115" s="86">
        <f>SUM(E109:E114)</f>
        <v>722763.36</v>
      </c>
      <c r="F115" s="86">
        <f>SUM(F109:F114)</f>
        <v>0</v>
      </c>
      <c r="G115" s="86">
        <f>SUM(G109:G114)</f>
        <v>0</v>
      </c>
      <c r="H115" s="86">
        <f t="shared" si="6"/>
        <v>13745801.029999999</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1527639.9800000002</v>
      </c>
      <c r="D118" s="24" t="s">
        <v>288</v>
      </c>
      <c r="E118" s="95">
        <f>+('DOE25'!L282)+('DOE25'!L301)+('DOE25'!L320)</f>
        <v>12564.64</v>
      </c>
      <c r="F118" s="24" t="s">
        <v>288</v>
      </c>
      <c r="G118" s="24" t="s">
        <v>288</v>
      </c>
      <c r="H118" s="124">
        <f t="shared" ref="H118:H145" si="7">SUM(C118:G118)</f>
        <v>1540204.62</v>
      </c>
    </row>
    <row r="119" spans="1:8" x14ac:dyDescent="0.2">
      <c r="A119" t="s">
        <v>208</v>
      </c>
      <c r="B119" s="32" t="s">
        <v>209</v>
      </c>
      <c r="C119" s="95">
        <f>('DOE25'!L204)+('DOE25'!L222)+('DOE25'!L240)</f>
        <v>1187899.4130000002</v>
      </c>
      <c r="D119" s="24" t="s">
        <v>288</v>
      </c>
      <c r="E119" s="95">
        <f>+('DOE25'!L283)+('DOE25'!L302)+('DOE25'!L321)</f>
        <v>233648.97</v>
      </c>
      <c r="F119" s="24" t="s">
        <v>288</v>
      </c>
      <c r="G119" s="24" t="s">
        <v>288</v>
      </c>
      <c r="H119" s="124">
        <f t="shared" si="7"/>
        <v>1421548.3830000001</v>
      </c>
    </row>
    <row r="120" spans="1:8" x14ac:dyDescent="0.2">
      <c r="A120" t="s">
        <v>210</v>
      </c>
      <c r="B120" s="32" t="s">
        <v>211</v>
      </c>
      <c r="C120" s="95">
        <f>('DOE25'!L205)+('DOE25'!L223)+('DOE25'!L241)</f>
        <v>1112851.3599999999</v>
      </c>
      <c r="D120" s="24" t="s">
        <v>288</v>
      </c>
      <c r="E120" s="95">
        <f>+('DOE25'!L284)+('DOE25'!L303)+('DOE25'!L322)</f>
        <v>8610.0999999999985</v>
      </c>
      <c r="F120" s="24" t="s">
        <v>288</v>
      </c>
      <c r="G120" s="24" t="s">
        <v>288</v>
      </c>
      <c r="H120" s="124">
        <f t="shared" si="7"/>
        <v>1121461.46</v>
      </c>
    </row>
    <row r="121" spans="1:8" x14ac:dyDescent="0.2">
      <c r="A121" t="s">
        <v>212</v>
      </c>
      <c r="B121" s="32" t="s">
        <v>213</v>
      </c>
      <c r="C121" s="95">
        <f>('DOE25'!L206)+('DOE25'!L224)+('DOE25'!L242)</f>
        <v>1169024.8800000001</v>
      </c>
      <c r="D121" s="24" t="s">
        <v>288</v>
      </c>
      <c r="E121" s="95">
        <f>+('DOE25'!L285)+('DOE25'!L304)+('DOE25'!L323)</f>
        <v>0</v>
      </c>
      <c r="F121" s="24" t="s">
        <v>288</v>
      </c>
      <c r="G121" s="24" t="s">
        <v>288</v>
      </c>
      <c r="H121" s="124">
        <f t="shared" si="7"/>
        <v>1169024.8800000001</v>
      </c>
    </row>
    <row r="122" spans="1:8" x14ac:dyDescent="0.2">
      <c r="A122" t="s">
        <v>214</v>
      </c>
      <c r="B122" s="32" t="s">
        <v>215</v>
      </c>
      <c r="C122" s="95">
        <f>('DOE25'!L207)+('DOE25'!L225)+('DOE25'!L243)</f>
        <v>395621.85999999987</v>
      </c>
      <c r="D122" s="24" t="s">
        <v>288</v>
      </c>
      <c r="E122" s="95">
        <f>+('DOE25'!L286)+('DOE25'!L305)+('DOE25'!L324)</f>
        <v>0</v>
      </c>
      <c r="F122" s="24" t="s">
        <v>288</v>
      </c>
      <c r="G122" s="24" t="s">
        <v>288</v>
      </c>
      <c r="H122" s="124">
        <f t="shared" si="7"/>
        <v>395621.85999999987</v>
      </c>
    </row>
    <row r="123" spans="1:8" x14ac:dyDescent="0.2">
      <c r="A123" t="s">
        <v>216</v>
      </c>
      <c r="B123" s="32" t="s">
        <v>217</v>
      </c>
      <c r="C123" s="95">
        <f>('DOE25'!L208)+('DOE25'!L226)+('DOE25'!L244)</f>
        <v>1770884.3199999998</v>
      </c>
      <c r="D123" s="24" t="s">
        <v>288</v>
      </c>
      <c r="E123" s="95">
        <f>+('DOE25'!L287)+('DOE25'!L306)+('DOE25'!L325)</f>
        <v>0</v>
      </c>
      <c r="F123" s="24" t="s">
        <v>288</v>
      </c>
      <c r="G123" s="24" t="s">
        <v>288</v>
      </c>
      <c r="H123" s="124">
        <f t="shared" si="7"/>
        <v>1770884.3199999998</v>
      </c>
    </row>
    <row r="124" spans="1:8" x14ac:dyDescent="0.2">
      <c r="A124" t="s">
        <v>218</v>
      </c>
      <c r="B124" s="32" t="s">
        <v>219</v>
      </c>
      <c r="C124" s="95">
        <f>('DOE25'!L209)+('DOE25'!L227)+('DOE25'!L245+'DOE25'!L255)</f>
        <v>816575.31</v>
      </c>
      <c r="D124" s="24" t="s">
        <v>288</v>
      </c>
      <c r="E124" s="95">
        <f>+('DOE25'!L288)+('DOE25'!L307)+('DOE25'!L326)</f>
        <v>37568.639999999999</v>
      </c>
      <c r="F124" s="24" t="s">
        <v>288</v>
      </c>
      <c r="G124" s="24" t="s">
        <v>288</v>
      </c>
      <c r="H124" s="124">
        <f t="shared" si="7"/>
        <v>854143.95000000007</v>
      </c>
    </row>
    <row r="125" spans="1:8" x14ac:dyDescent="0.2">
      <c r="A125" t="s">
        <v>220</v>
      </c>
      <c r="B125" s="32" t="s">
        <v>221</v>
      </c>
      <c r="C125" s="95">
        <f>('DOE25'!L210)+('DOE25'!L228)+('DOE25'!L246)</f>
        <v>7967.4500000000007</v>
      </c>
      <c r="D125" s="24" t="s">
        <v>288</v>
      </c>
      <c r="E125" s="95">
        <f>+('DOE25'!L289)+('DOE25'!L308)+('DOE25'!L327)</f>
        <v>0</v>
      </c>
      <c r="F125" s="24" t="s">
        <v>288</v>
      </c>
      <c r="G125" s="24" t="s">
        <v>288</v>
      </c>
      <c r="H125" s="124">
        <f t="shared" si="7"/>
        <v>7967.4500000000007</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513024</v>
      </c>
      <c r="E127" s="24" t="s">
        <v>288</v>
      </c>
      <c r="F127" s="24" t="s">
        <v>288</v>
      </c>
      <c r="G127" s="24" t="s">
        <v>288</v>
      </c>
      <c r="H127" s="124">
        <f t="shared" si="7"/>
        <v>513024</v>
      </c>
    </row>
    <row r="128" spans="1:8" ht="12.75" thickTop="1" thickBot="1" x14ac:dyDescent="0.25">
      <c r="A128" s="33" t="s">
        <v>226</v>
      </c>
      <c r="C128" s="86">
        <f>SUM(C118:C127)</f>
        <v>7988464.5730000017</v>
      </c>
      <c r="D128" s="86">
        <f>SUM(D118:D127)</f>
        <v>513024</v>
      </c>
      <c r="E128" s="86">
        <f>SUM(E118:E127)</f>
        <v>292392.34999999998</v>
      </c>
      <c r="F128" s="86">
        <f>SUM(F118:F127)</f>
        <v>0</v>
      </c>
      <c r="G128" s="86">
        <f>SUM(G118:G127)</f>
        <v>0</v>
      </c>
      <c r="H128" s="86">
        <f t="shared" si="7"/>
        <v>8793880.9230000023</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236503.26</v>
      </c>
      <c r="D130" s="24" t="s">
        <v>288</v>
      </c>
      <c r="E130" s="129">
        <f>'DOE25'!L337</f>
        <v>0</v>
      </c>
      <c r="F130" s="129">
        <f>SUM('DOE25'!L375:'DOE25'!L381)</f>
        <v>12130</v>
      </c>
      <c r="G130" s="24" t="s">
        <v>288</v>
      </c>
      <c r="H130" s="124">
        <f t="shared" si="7"/>
        <v>248633.26</v>
      </c>
    </row>
    <row r="131" spans="1:8" x14ac:dyDescent="0.2">
      <c r="A131" t="s">
        <v>229</v>
      </c>
      <c r="B131" s="32">
        <v>5110</v>
      </c>
      <c r="C131" s="95">
        <f>'DOE25'!L261</f>
        <v>725000</v>
      </c>
      <c r="D131" s="24" t="s">
        <v>288</v>
      </c>
      <c r="E131" s="129">
        <f>'DOE25'!L342</f>
        <v>0</v>
      </c>
      <c r="F131" s="24" t="s">
        <v>288</v>
      </c>
      <c r="G131" s="24" t="s">
        <v>288</v>
      </c>
      <c r="H131" s="124">
        <f t="shared" si="7"/>
        <v>725000</v>
      </c>
    </row>
    <row r="132" spans="1:8" x14ac:dyDescent="0.2">
      <c r="A132" t="s">
        <v>230</v>
      </c>
      <c r="B132" s="32">
        <v>5120</v>
      </c>
      <c r="C132" s="95">
        <f>'DOE25'!L262</f>
        <v>1372007.5</v>
      </c>
      <c r="D132" s="24" t="s">
        <v>288</v>
      </c>
      <c r="E132" s="129">
        <f>'DOE25'!L343</f>
        <v>0</v>
      </c>
      <c r="F132" s="24" t="s">
        <v>288</v>
      </c>
      <c r="G132" s="24" t="s">
        <v>288</v>
      </c>
      <c r="H132" s="124">
        <f t="shared" si="7"/>
        <v>1372007.5</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27780</v>
      </c>
      <c r="H134" s="124">
        <f t="shared" si="7"/>
        <v>27780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961.48</v>
      </c>
      <c r="D138" s="24" t="s">
        <v>288</v>
      </c>
      <c r="E138" s="24" t="s">
        <v>288</v>
      </c>
      <c r="F138" s="24" t="s">
        <v>288</v>
      </c>
      <c r="G138" s="24" t="s">
        <v>288</v>
      </c>
      <c r="H138" s="124">
        <f t="shared" si="7"/>
        <v>961.48</v>
      </c>
    </row>
    <row r="139" spans="1:8" x14ac:dyDescent="0.2">
      <c r="A139" t="s">
        <v>239</v>
      </c>
      <c r="B139" s="32">
        <v>5252</v>
      </c>
      <c r="C139" s="95">
        <f>'DOE25'!L402</f>
        <v>608733.61</v>
      </c>
      <c r="D139" s="24" t="s">
        <v>288</v>
      </c>
      <c r="E139" s="24" t="s">
        <v>288</v>
      </c>
      <c r="F139" s="24" t="s">
        <v>288</v>
      </c>
      <c r="G139" s="24" t="s">
        <v>288</v>
      </c>
      <c r="H139" s="124">
        <f t="shared" si="7"/>
        <v>608733.61</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-1440.0899999999674</v>
      </c>
      <c r="D141" s="24" t="s">
        <v>288</v>
      </c>
      <c r="E141" s="24" t="s">
        <v>288</v>
      </c>
      <c r="F141" s="24" t="s">
        <v>288</v>
      </c>
      <c r="G141" s="24" t="s">
        <v>288</v>
      </c>
      <c r="H141" s="124">
        <f t="shared" si="7"/>
        <v>-1440.0899999999674</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2941765.76</v>
      </c>
      <c r="D144" s="141">
        <f>SUM(D130:D143)</f>
        <v>0</v>
      </c>
      <c r="E144" s="141">
        <f>SUM(E130:E143)</f>
        <v>0</v>
      </c>
      <c r="F144" s="141">
        <f>SUM(F130:F143)</f>
        <v>12130</v>
      </c>
      <c r="G144" s="141">
        <f>SUM(G130:G143)</f>
        <v>27780</v>
      </c>
      <c r="H144" s="141">
        <f t="shared" si="7"/>
        <v>2981675.76</v>
      </c>
    </row>
    <row r="145" spans="1:9" ht="12.75" thickTop="1" thickBot="1" x14ac:dyDescent="0.25">
      <c r="A145" s="33" t="s">
        <v>244</v>
      </c>
      <c r="C145" s="86">
        <f>(C115+C128+C144)</f>
        <v>23953268.002999999</v>
      </c>
      <c r="D145" s="86">
        <f>(D115+D128+D144)</f>
        <v>513024</v>
      </c>
      <c r="E145" s="86">
        <f>(E115+E128+E144)</f>
        <v>1015155.71</v>
      </c>
      <c r="F145" s="86">
        <f>(F115+F128+F144)</f>
        <v>12130</v>
      </c>
      <c r="G145" s="86">
        <f>(G115+G128+G144)</f>
        <v>27780</v>
      </c>
      <c r="H145" s="86">
        <f t="shared" si="7"/>
        <v>25521357.713</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35816700</v>
      </c>
      <c r="C153" s="152">
        <f>'DOE25'!G493</f>
        <v>0</v>
      </c>
      <c r="D153" s="152">
        <f>'DOE25'!H493</f>
        <v>0</v>
      </c>
      <c r="E153" s="152">
        <f>'DOE25'!I493</f>
        <v>0</v>
      </c>
      <c r="F153" s="152">
        <f>'DOE25'!J493</f>
        <v>0</v>
      </c>
      <c r="G153" s="24" t="s">
        <v>288</v>
      </c>
    </row>
    <row r="154" spans="1:9" x14ac:dyDescent="0.2">
      <c r="A154" s="136" t="s">
        <v>30</v>
      </c>
      <c r="B154" s="137">
        <f>'DOE25'!F494</f>
        <v>3.33</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725000</v>
      </c>
      <c r="C158" s="137">
        <f>'DOE25'!G498</f>
        <v>0</v>
      </c>
      <c r="D158" s="137">
        <f>'DOE25'!H498</f>
        <v>0</v>
      </c>
      <c r="E158" s="137">
        <f>'DOE25'!I498</f>
        <v>0</v>
      </c>
      <c r="F158" s="137">
        <f>'DOE25'!J498</f>
        <v>0</v>
      </c>
      <c r="G158" s="138">
        <f t="shared" si="8"/>
        <v>725000</v>
      </c>
    </row>
    <row r="159" spans="1:9" x14ac:dyDescent="0.2">
      <c r="A159" s="22" t="s">
        <v>35</v>
      </c>
      <c r="B159" s="137">
        <f>'DOE25'!F499</f>
        <v>33120000</v>
      </c>
      <c r="C159" s="137">
        <f>'DOE25'!G499</f>
        <v>0</v>
      </c>
      <c r="D159" s="137">
        <f>'DOE25'!H499</f>
        <v>0</v>
      </c>
      <c r="E159" s="137">
        <f>'DOE25'!I499</f>
        <v>0</v>
      </c>
      <c r="F159" s="137">
        <f>'DOE25'!J499</f>
        <v>0</v>
      </c>
      <c r="G159" s="138">
        <f t="shared" si="8"/>
        <v>33120000</v>
      </c>
    </row>
    <row r="160" spans="1:9" x14ac:dyDescent="0.2">
      <c r="A160" s="22" t="s">
        <v>36</v>
      </c>
      <c r="B160" s="137">
        <f>'DOE25'!F500</f>
        <v>18705750</v>
      </c>
      <c r="C160" s="137">
        <f>'DOE25'!G500</f>
        <v>0</v>
      </c>
      <c r="D160" s="137">
        <f>'DOE25'!H500</f>
        <v>0</v>
      </c>
      <c r="E160" s="137">
        <f>'DOE25'!I500</f>
        <v>0</v>
      </c>
      <c r="F160" s="137">
        <f>'DOE25'!J500</f>
        <v>0</v>
      </c>
      <c r="G160" s="138">
        <f t="shared" si="8"/>
        <v>18705750</v>
      </c>
    </row>
    <row r="161" spans="1:7" x14ac:dyDescent="0.2">
      <c r="A161" s="22" t="s">
        <v>37</v>
      </c>
      <c r="B161" s="137">
        <f>'DOE25'!F501</f>
        <v>51825750</v>
      </c>
      <c r="C161" s="137">
        <f>'DOE25'!G501</f>
        <v>0</v>
      </c>
      <c r="D161" s="137">
        <f>'DOE25'!H501</f>
        <v>0</v>
      </c>
      <c r="E161" s="137">
        <f>'DOE25'!I501</f>
        <v>0</v>
      </c>
      <c r="F161" s="137">
        <f>'DOE25'!J501</f>
        <v>0</v>
      </c>
      <c r="G161" s="138">
        <f t="shared" si="8"/>
        <v>51825750</v>
      </c>
    </row>
    <row r="162" spans="1:7" x14ac:dyDescent="0.2">
      <c r="A162" s="22" t="s">
        <v>38</v>
      </c>
      <c r="B162" s="137">
        <f>'DOE25'!F502</f>
        <v>765000</v>
      </c>
      <c r="C162" s="137">
        <f>'DOE25'!G502</f>
        <v>0</v>
      </c>
      <c r="D162" s="137">
        <f>'DOE25'!H502</f>
        <v>0</v>
      </c>
      <c r="E162" s="137">
        <f>'DOE25'!I502</f>
        <v>0</v>
      </c>
      <c r="F162" s="137">
        <f>'DOE25'!J502</f>
        <v>0</v>
      </c>
      <c r="G162" s="138">
        <f t="shared" si="8"/>
        <v>765000</v>
      </c>
    </row>
    <row r="163" spans="1:7" x14ac:dyDescent="0.2">
      <c r="A163" s="22" t="s">
        <v>39</v>
      </c>
      <c r="B163" s="137">
        <f>'DOE25'!F503</f>
        <v>1334012.5</v>
      </c>
      <c r="C163" s="137">
        <f>'DOE25'!G503</f>
        <v>0</v>
      </c>
      <c r="D163" s="137">
        <f>'DOE25'!H503</f>
        <v>0</v>
      </c>
      <c r="E163" s="137">
        <f>'DOE25'!I503</f>
        <v>0</v>
      </c>
      <c r="F163" s="137">
        <f>'DOE25'!J503</f>
        <v>0</v>
      </c>
      <c r="G163" s="138">
        <f t="shared" si="8"/>
        <v>1334012.5</v>
      </c>
    </row>
    <row r="164" spans="1:7" x14ac:dyDescent="0.2">
      <c r="A164" s="22" t="s">
        <v>246</v>
      </c>
      <c r="B164" s="137">
        <f>'DOE25'!F504</f>
        <v>2099012.5</v>
      </c>
      <c r="C164" s="137">
        <f>'DOE25'!G504</f>
        <v>0</v>
      </c>
      <c r="D164" s="137">
        <f>'DOE25'!H504</f>
        <v>0</v>
      </c>
      <c r="E164" s="137">
        <f>'DOE25'!I504</f>
        <v>0</v>
      </c>
      <c r="F164" s="137">
        <f>'DOE25'!J504</f>
        <v>0</v>
      </c>
      <c r="G164" s="138">
        <f t="shared" si="8"/>
        <v>2099012.5</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25" right="0.25" top="0.75" bottom="0.75" header="0.3" footer="0.3"/>
  <pageSetup scale="93"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6" t="s">
        <v>736</v>
      </c>
      <c r="B1" s="386"/>
      <c r="C1" s="386"/>
      <c r="D1" s="386"/>
    </row>
    <row r="2" spans="1:4" x14ac:dyDescent="0.2">
      <c r="A2" s="186" t="s">
        <v>713</v>
      </c>
      <c r="B2" s="185" t="str">
        <f>'DOE25'!A2</f>
        <v>Newmarket</v>
      </c>
    </row>
    <row r="3" spans="1:4" x14ac:dyDescent="0.2">
      <c r="B3" s="187" t="s">
        <v>1799</v>
      </c>
    </row>
    <row r="4" spans="1:4" x14ac:dyDescent="0.2">
      <c r="B4" t="s">
        <v>61</v>
      </c>
      <c r="C4" s="178">
        <f>IF('DOE25'!F666+'DOE25'!F671=0,0,ROUND('DOE25'!F673,0))</f>
        <v>21196</v>
      </c>
    </row>
    <row r="5" spans="1:4" x14ac:dyDescent="0.2">
      <c r="B5" t="s">
        <v>700</v>
      </c>
      <c r="C5" s="178">
        <f>IF('DOE25'!G666+'DOE25'!G671=0,0,ROUND('DOE25'!G673,0))</f>
        <v>0</v>
      </c>
    </row>
    <row r="6" spans="1:4" x14ac:dyDescent="0.2">
      <c r="B6" t="s">
        <v>62</v>
      </c>
      <c r="C6" s="178">
        <f>IF('DOE25'!H666+'DOE25'!H671=0,0,ROUND('DOE25'!H673,0))</f>
        <v>23907</v>
      </c>
    </row>
    <row r="7" spans="1:4" x14ac:dyDescent="0.2">
      <c r="B7" t="s">
        <v>701</v>
      </c>
      <c r="C7" s="178">
        <f>IF('DOE25'!I666+'DOE25'!I671=0,0,ROUND('DOE25'!I673,0))</f>
        <v>21902</v>
      </c>
    </row>
    <row r="9" spans="1:4" x14ac:dyDescent="0.2">
      <c r="A9" s="186" t="s">
        <v>94</v>
      </c>
      <c r="B9" s="187" t="s">
        <v>1800</v>
      </c>
      <c r="C9" s="180" t="s">
        <v>720</v>
      </c>
      <c r="D9" s="180" t="s">
        <v>721</v>
      </c>
    </row>
    <row r="10" spans="1:4" x14ac:dyDescent="0.2">
      <c r="A10">
        <v>1100</v>
      </c>
      <c r="B10" t="s">
        <v>702</v>
      </c>
      <c r="C10" s="178">
        <f>ROUND('DOE25'!L198+'DOE25'!L216+'DOE25'!L234+'DOE25'!L277+'DOE25'!L296+'DOE25'!L315,0)</f>
        <v>8976329</v>
      </c>
      <c r="D10" s="181">
        <f>ROUND((C10/$C$28)*100,1)</f>
        <v>37.6</v>
      </c>
    </row>
    <row r="11" spans="1:4" x14ac:dyDescent="0.2">
      <c r="A11">
        <v>1200</v>
      </c>
      <c r="B11" t="s">
        <v>703</v>
      </c>
      <c r="C11" s="178">
        <f>ROUND('DOE25'!L199+'DOE25'!L217+'DOE25'!L235+'DOE25'!L278+'DOE25'!L297+'DOE25'!L316,0)</f>
        <v>4311024</v>
      </c>
      <c r="D11" s="181">
        <f>ROUND((C11/$C$28)*100,1)</f>
        <v>18.100000000000001</v>
      </c>
    </row>
    <row r="12" spans="1:4" x14ac:dyDescent="0.2">
      <c r="A12">
        <v>1300</v>
      </c>
      <c r="B12" t="s">
        <v>704</v>
      </c>
      <c r="C12" s="178">
        <f>ROUND('DOE25'!L200+'DOE25'!L218+'DOE25'!L236+'DOE25'!L279+'DOE25'!L298+'DOE25'!L317,0)</f>
        <v>179878</v>
      </c>
      <c r="D12" s="181">
        <f>ROUND((C12/$C$28)*100,1)</f>
        <v>0.8</v>
      </c>
    </row>
    <row r="13" spans="1:4" x14ac:dyDescent="0.2">
      <c r="A13">
        <v>1400</v>
      </c>
      <c r="B13" t="s">
        <v>705</v>
      </c>
      <c r="C13" s="178">
        <f>ROUND('DOE25'!L201+'DOE25'!L219+'DOE25'!L237+'DOE25'!L280+'DOE25'!L299+'DOE25'!L318,0)</f>
        <v>255892</v>
      </c>
      <c r="D13" s="181">
        <f>ROUND((C13/$C$28)*100,1)</f>
        <v>1.1000000000000001</v>
      </c>
    </row>
    <row r="14" spans="1:4" x14ac:dyDescent="0.2">
      <c r="D14" s="181"/>
    </row>
    <row r="15" spans="1:4" x14ac:dyDescent="0.2">
      <c r="A15">
        <v>2100</v>
      </c>
      <c r="B15" t="s">
        <v>706</v>
      </c>
      <c r="C15" s="178">
        <f>ROUND('DOE25'!L203+'DOE25'!L221+'DOE25'!L239+'DOE25'!L282+'DOE25'!L301+'DOE25'!L320,0)</f>
        <v>1540205</v>
      </c>
      <c r="D15" s="181">
        <f t="shared" ref="D15:D27" si="0">ROUND((C15/$C$28)*100,1)</f>
        <v>6.5</v>
      </c>
    </row>
    <row r="16" spans="1:4" x14ac:dyDescent="0.2">
      <c r="A16">
        <v>2200</v>
      </c>
      <c r="B16" t="s">
        <v>707</v>
      </c>
      <c r="C16" s="178">
        <f>ROUND('DOE25'!L204+'DOE25'!L222+'DOE25'!L240+'DOE25'!L283+'DOE25'!L302+'DOE25'!L321,0)</f>
        <v>1421548</v>
      </c>
      <c r="D16" s="181">
        <f t="shared" si="0"/>
        <v>6</v>
      </c>
    </row>
    <row r="17" spans="1:4" x14ac:dyDescent="0.2">
      <c r="A17" s="182" t="s">
        <v>723</v>
      </c>
      <c r="B17" t="s">
        <v>738</v>
      </c>
      <c r="C17" s="178">
        <f>ROUND('DOE25'!L205+'DOE25'!L210+'DOE25'!L223+'DOE25'!L228+'DOE25'!L241+'DOE25'!L246+'DOE25'!L284+'DOE25'!L289+'DOE25'!L303+'DOE25'!L308+'DOE25'!L322+'DOE25'!L327,0)</f>
        <v>1129429</v>
      </c>
      <c r="D17" s="181">
        <f t="shared" si="0"/>
        <v>4.7</v>
      </c>
    </row>
    <row r="18" spans="1:4" x14ac:dyDescent="0.2">
      <c r="A18">
        <v>2400</v>
      </c>
      <c r="B18" t="s">
        <v>711</v>
      </c>
      <c r="C18" s="178">
        <f>ROUND('DOE25'!L206+'DOE25'!L224+'DOE25'!L242+'DOE25'!L285+'DOE25'!L304+'DOE25'!L323,0)</f>
        <v>1169025</v>
      </c>
      <c r="D18" s="181">
        <f t="shared" si="0"/>
        <v>4.9000000000000004</v>
      </c>
    </row>
    <row r="19" spans="1:4" x14ac:dyDescent="0.2">
      <c r="A19">
        <v>2500</v>
      </c>
      <c r="B19" t="s">
        <v>708</v>
      </c>
      <c r="C19" s="178">
        <f>ROUND('DOE25'!L207+'DOE25'!L225+'DOE25'!L243+'DOE25'!L286+'DOE25'!L305+'DOE25'!L324,0)</f>
        <v>395622</v>
      </c>
      <c r="D19" s="181">
        <f t="shared" si="0"/>
        <v>1.7</v>
      </c>
    </row>
    <row r="20" spans="1:4" x14ac:dyDescent="0.2">
      <c r="A20">
        <v>2600</v>
      </c>
      <c r="B20" t="s">
        <v>709</v>
      </c>
      <c r="C20" s="178">
        <f>ROUND('DOE25'!L208+'DOE25'!L226+'DOE25'!L244+'DOE25'!L287+'DOE25'!L306+'DOE25'!L325,0)</f>
        <v>1770884</v>
      </c>
      <c r="D20" s="181">
        <f t="shared" si="0"/>
        <v>7.4</v>
      </c>
    </row>
    <row r="21" spans="1:4" x14ac:dyDescent="0.2">
      <c r="A21">
        <v>2700</v>
      </c>
      <c r="B21" t="s">
        <v>710</v>
      </c>
      <c r="C21" s="178">
        <f>ROUND('DOE25'!L209+'DOE25'!L227+'DOE25'!L245+'DOE25'!L288+'DOE25'!L307+'DOE25'!L326,0)</f>
        <v>854144</v>
      </c>
      <c r="D21" s="181">
        <f t="shared" si="0"/>
        <v>3.6</v>
      </c>
    </row>
    <row r="22" spans="1:4" x14ac:dyDescent="0.2">
      <c r="A22">
        <v>2900</v>
      </c>
      <c r="B22" t="s">
        <v>712</v>
      </c>
      <c r="C22" s="178">
        <v>0</v>
      </c>
      <c r="D22" s="181">
        <f t="shared" si="0"/>
        <v>0</v>
      </c>
    </row>
    <row r="23" spans="1:4" x14ac:dyDescent="0.2">
      <c r="A23">
        <v>1500</v>
      </c>
      <c r="B23" t="s">
        <v>714</v>
      </c>
      <c r="C23" s="178">
        <f>ROUND('DOE25'!L251+'DOE25'!L333,0)</f>
        <v>22679</v>
      </c>
      <c r="D23" s="181">
        <f t="shared" si="0"/>
        <v>0.1</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1372008</v>
      </c>
      <c r="D25" s="181">
        <f t="shared" si="0"/>
        <v>5.7</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479152</v>
      </c>
      <c r="D27" s="181">
        <f t="shared" si="0"/>
        <v>2</v>
      </c>
    </row>
    <row r="28" spans="1:4" x14ac:dyDescent="0.2">
      <c r="B28" s="186" t="s">
        <v>719</v>
      </c>
      <c r="C28" s="179">
        <f>SUM(C10:C27)</f>
        <v>23877819</v>
      </c>
      <c r="D28" s="183">
        <f>ROUND(SUM(D10:D27),0)</f>
        <v>100</v>
      </c>
    </row>
    <row r="29" spans="1:4" x14ac:dyDescent="0.2">
      <c r="A29">
        <v>4000</v>
      </c>
      <c r="B29" t="s">
        <v>724</v>
      </c>
      <c r="C29" s="178">
        <f>ROUND('DOE25'!L256+'DOE25'!L337+'DOE25'!L375+'DOE25'!L376+'DOE25'!L377+'DOE25'!L378+'DOE25'!L379+'DOE25'!L380+'DOE25'!L381,0)</f>
        <v>248633</v>
      </c>
    </row>
    <row r="30" spans="1:4" x14ac:dyDescent="0.2">
      <c r="B30" s="186" t="s">
        <v>725</v>
      </c>
      <c r="C30" s="179">
        <f>SUM(C28:C29)</f>
        <v>24126452</v>
      </c>
    </row>
    <row r="31" spans="1:4" x14ac:dyDescent="0.2">
      <c r="B31" s="33"/>
      <c r="C31" s="179"/>
    </row>
    <row r="32" spans="1:4" x14ac:dyDescent="0.2">
      <c r="A32">
        <v>5100</v>
      </c>
      <c r="B32" s="33" t="s">
        <v>726</v>
      </c>
      <c r="C32" s="179">
        <f>ROUND('DOE25'!L261+'DOE25'!L342,0)</f>
        <v>725000</v>
      </c>
    </row>
    <row r="34" spans="1:4" x14ac:dyDescent="0.2">
      <c r="A34" s="186" t="s">
        <v>94</v>
      </c>
      <c r="B34" s="187" t="s">
        <v>1801</v>
      </c>
      <c r="C34" s="180" t="s">
        <v>720</v>
      </c>
      <c r="D34" s="180" t="s">
        <v>721</v>
      </c>
    </row>
    <row r="35" spans="1:4" x14ac:dyDescent="0.2">
      <c r="A35">
        <v>1100</v>
      </c>
      <c r="B35" s="184" t="s">
        <v>727</v>
      </c>
      <c r="C35" s="178">
        <f>ROUND('DOE25'!F60+'DOE25'!G60+'DOE25'!H60+'DOE25'!I60+'DOE25'!J60,0)</f>
        <v>17410242</v>
      </c>
      <c r="D35" s="181">
        <f t="shared" ref="D35:D40" si="1">ROUND((C35/$C$41)*100,1)</f>
        <v>70.099999999999994</v>
      </c>
    </row>
    <row r="36" spans="1:4" x14ac:dyDescent="0.2">
      <c r="B36" s="184" t="s">
        <v>739</v>
      </c>
      <c r="C36" s="178">
        <f>SUM('DOE25'!F112:J112)-SUM('DOE25'!G97:G110)+('DOE25'!F175+'DOE25'!F176+'DOE25'!I175+'DOE25'!I176)-C35</f>
        <v>112484.08999999985</v>
      </c>
      <c r="D36" s="181">
        <f t="shared" si="1"/>
        <v>0.5</v>
      </c>
    </row>
    <row r="37" spans="1:4" x14ac:dyDescent="0.2">
      <c r="A37" s="182" t="s">
        <v>835</v>
      </c>
      <c r="B37" s="184" t="s">
        <v>728</v>
      </c>
      <c r="C37" s="178">
        <f>ROUND('DOE25'!F117+'DOE25'!F118,0)</f>
        <v>4877534</v>
      </c>
      <c r="D37" s="181">
        <f t="shared" si="1"/>
        <v>19.600000000000001</v>
      </c>
    </row>
    <row r="38" spans="1:4" x14ac:dyDescent="0.2">
      <c r="A38" s="182" t="s">
        <v>734</v>
      </c>
      <c r="B38" s="184" t="s">
        <v>729</v>
      </c>
      <c r="C38" s="178">
        <f>ROUND(SUM('DOE25'!F140:J140)-SUM('DOE25'!F117:F119),0)</f>
        <v>277791</v>
      </c>
      <c r="D38" s="181">
        <f t="shared" si="1"/>
        <v>1.1000000000000001</v>
      </c>
    </row>
    <row r="39" spans="1:4" x14ac:dyDescent="0.2">
      <c r="A39">
        <v>4000</v>
      </c>
      <c r="B39" s="184" t="s">
        <v>730</v>
      </c>
      <c r="C39" s="178">
        <f>ROUND('DOE25'!F170+'DOE25'!G170+'DOE25'!H170+'DOE25'!I170,0)</f>
        <v>2168903</v>
      </c>
      <c r="D39" s="181">
        <f t="shared" si="1"/>
        <v>8.6999999999999993</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24846954.09</v>
      </c>
      <c r="D41" s="183">
        <f>SUM(D35:D40)</f>
        <v>99.999999999999986</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7" t="s">
        <v>766</v>
      </c>
      <c r="B1" s="398"/>
      <c r="C1" s="398"/>
      <c r="D1" s="398"/>
      <c r="E1" s="398"/>
      <c r="F1" s="398"/>
      <c r="G1" s="398"/>
      <c r="H1" s="398"/>
      <c r="I1" s="398"/>
      <c r="J1" s="212"/>
      <c r="K1" s="212"/>
      <c r="L1" s="212"/>
      <c r="M1" s="213"/>
    </row>
    <row r="2" spans="1:26" ht="12.75" x14ac:dyDescent="0.2">
      <c r="A2" s="403" t="s">
        <v>763</v>
      </c>
      <c r="B2" s="404"/>
      <c r="C2" s="404"/>
      <c r="D2" s="404"/>
      <c r="E2" s="404"/>
      <c r="F2" s="401" t="str">
        <f>'DOE25'!A2</f>
        <v>Newmarket</v>
      </c>
      <c r="G2" s="402"/>
      <c r="H2" s="402"/>
      <c r="I2" s="402"/>
      <c r="J2" s="52"/>
      <c r="K2" s="52"/>
      <c r="L2" s="52"/>
      <c r="M2" s="214"/>
    </row>
    <row r="3" spans="1:26" x14ac:dyDescent="0.2">
      <c r="A3" s="215" t="s">
        <v>764</v>
      </c>
      <c r="B3" s="216" t="s">
        <v>765</v>
      </c>
      <c r="C3" s="399" t="s">
        <v>767</v>
      </c>
      <c r="D3" s="399"/>
      <c r="E3" s="399"/>
      <c r="F3" s="399"/>
      <c r="G3" s="399"/>
      <c r="H3" s="399"/>
      <c r="I3" s="399"/>
      <c r="J3" s="399"/>
      <c r="K3" s="399"/>
      <c r="L3" s="399"/>
      <c r="M3" s="400"/>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94"/>
      <c r="Q29" s="394"/>
      <c r="R29" s="394"/>
      <c r="S29" s="394"/>
      <c r="T29" s="394"/>
      <c r="U29" s="394"/>
      <c r="V29" s="394"/>
      <c r="W29" s="394"/>
      <c r="X29" s="394"/>
      <c r="Y29" s="394"/>
      <c r="Z29" s="394"/>
      <c r="AA29" s="206"/>
      <c r="AB29" s="206"/>
      <c r="AC29" s="393"/>
      <c r="AD29" s="393"/>
      <c r="AE29" s="393"/>
      <c r="AF29" s="393"/>
      <c r="AG29" s="393"/>
      <c r="AH29" s="393"/>
      <c r="AI29" s="393"/>
      <c r="AJ29" s="393"/>
      <c r="AK29" s="393"/>
      <c r="AL29" s="393"/>
      <c r="AM29" s="393"/>
      <c r="AN29" s="206"/>
      <c r="AO29" s="206"/>
      <c r="AP29" s="393"/>
      <c r="AQ29" s="393"/>
      <c r="AR29" s="393"/>
      <c r="AS29" s="393"/>
      <c r="AT29" s="393"/>
      <c r="AU29" s="393"/>
      <c r="AV29" s="393"/>
      <c r="AW29" s="393"/>
      <c r="AX29" s="393"/>
      <c r="AY29" s="393"/>
      <c r="AZ29" s="393"/>
      <c r="BA29" s="206"/>
      <c r="BB29" s="206"/>
      <c r="BC29" s="393"/>
      <c r="BD29" s="393"/>
      <c r="BE29" s="393"/>
      <c r="BF29" s="393"/>
      <c r="BG29" s="393"/>
      <c r="BH29" s="393"/>
      <c r="BI29" s="393"/>
      <c r="BJ29" s="393"/>
      <c r="BK29" s="393"/>
      <c r="BL29" s="393"/>
      <c r="BM29" s="393"/>
      <c r="BN29" s="206"/>
      <c r="BO29" s="206"/>
      <c r="BP29" s="393"/>
      <c r="BQ29" s="393"/>
      <c r="BR29" s="393"/>
      <c r="BS29" s="393"/>
      <c r="BT29" s="393"/>
      <c r="BU29" s="393"/>
      <c r="BV29" s="393"/>
      <c r="BW29" s="393"/>
      <c r="BX29" s="393"/>
      <c r="BY29" s="393"/>
      <c r="BZ29" s="393"/>
      <c r="CA29" s="206"/>
      <c r="CB29" s="206"/>
      <c r="CC29" s="393"/>
      <c r="CD29" s="393"/>
      <c r="CE29" s="393"/>
      <c r="CF29" s="393"/>
      <c r="CG29" s="393"/>
      <c r="CH29" s="393"/>
      <c r="CI29" s="393"/>
      <c r="CJ29" s="393"/>
      <c r="CK29" s="393"/>
      <c r="CL29" s="393"/>
      <c r="CM29" s="393"/>
      <c r="CN29" s="206"/>
      <c r="CO29" s="206"/>
      <c r="CP29" s="393"/>
      <c r="CQ29" s="393"/>
      <c r="CR29" s="393"/>
      <c r="CS29" s="393"/>
      <c r="CT29" s="393"/>
      <c r="CU29" s="393"/>
      <c r="CV29" s="393"/>
      <c r="CW29" s="393"/>
      <c r="CX29" s="393"/>
      <c r="CY29" s="393"/>
      <c r="CZ29" s="393"/>
      <c r="DA29" s="206"/>
      <c r="DB29" s="206"/>
      <c r="DC29" s="393"/>
      <c r="DD29" s="393"/>
      <c r="DE29" s="393"/>
      <c r="DF29" s="393"/>
      <c r="DG29" s="393"/>
      <c r="DH29" s="393"/>
      <c r="DI29" s="393"/>
      <c r="DJ29" s="393"/>
      <c r="DK29" s="393"/>
      <c r="DL29" s="393"/>
      <c r="DM29" s="393"/>
      <c r="DN29" s="206"/>
      <c r="DO29" s="206"/>
      <c r="DP29" s="393"/>
      <c r="DQ29" s="393"/>
      <c r="DR29" s="393"/>
      <c r="DS29" s="393"/>
      <c r="DT29" s="393"/>
      <c r="DU29" s="393"/>
      <c r="DV29" s="393"/>
      <c r="DW29" s="393"/>
      <c r="DX29" s="393"/>
      <c r="DY29" s="393"/>
      <c r="DZ29" s="393"/>
      <c r="EA29" s="206"/>
      <c r="EB29" s="206"/>
      <c r="EC29" s="393"/>
      <c r="ED29" s="393"/>
      <c r="EE29" s="393"/>
      <c r="EF29" s="393"/>
      <c r="EG29" s="393"/>
      <c r="EH29" s="393"/>
      <c r="EI29" s="393"/>
      <c r="EJ29" s="393"/>
      <c r="EK29" s="393"/>
      <c r="EL29" s="393"/>
      <c r="EM29" s="393"/>
      <c r="EN29" s="206"/>
      <c r="EO29" s="206"/>
      <c r="EP29" s="393"/>
      <c r="EQ29" s="393"/>
      <c r="ER29" s="393"/>
      <c r="ES29" s="393"/>
      <c r="ET29" s="393"/>
      <c r="EU29" s="393"/>
      <c r="EV29" s="393"/>
      <c r="EW29" s="393"/>
      <c r="EX29" s="393"/>
      <c r="EY29" s="393"/>
      <c r="EZ29" s="393"/>
      <c r="FA29" s="206"/>
      <c r="FB29" s="206"/>
      <c r="FC29" s="393"/>
      <c r="FD29" s="393"/>
      <c r="FE29" s="393"/>
      <c r="FF29" s="393"/>
      <c r="FG29" s="393"/>
      <c r="FH29" s="393"/>
      <c r="FI29" s="393"/>
      <c r="FJ29" s="393"/>
      <c r="FK29" s="393"/>
      <c r="FL29" s="393"/>
      <c r="FM29" s="393"/>
      <c r="FN29" s="206"/>
      <c r="FO29" s="206"/>
      <c r="FP29" s="393"/>
      <c r="FQ29" s="393"/>
      <c r="FR29" s="393"/>
      <c r="FS29" s="393"/>
      <c r="FT29" s="393"/>
      <c r="FU29" s="393"/>
      <c r="FV29" s="393"/>
      <c r="FW29" s="393"/>
      <c r="FX29" s="393"/>
      <c r="FY29" s="393"/>
      <c r="FZ29" s="393"/>
      <c r="GA29" s="206"/>
      <c r="GB29" s="206"/>
      <c r="GC29" s="393"/>
      <c r="GD29" s="393"/>
      <c r="GE29" s="393"/>
      <c r="GF29" s="393"/>
      <c r="GG29" s="393"/>
      <c r="GH29" s="393"/>
      <c r="GI29" s="393"/>
      <c r="GJ29" s="393"/>
      <c r="GK29" s="393"/>
      <c r="GL29" s="393"/>
      <c r="GM29" s="393"/>
      <c r="GN29" s="206"/>
      <c r="GO29" s="206"/>
      <c r="GP29" s="393"/>
      <c r="GQ29" s="393"/>
      <c r="GR29" s="393"/>
      <c r="GS29" s="393"/>
      <c r="GT29" s="393"/>
      <c r="GU29" s="393"/>
      <c r="GV29" s="393"/>
      <c r="GW29" s="393"/>
      <c r="GX29" s="393"/>
      <c r="GY29" s="393"/>
      <c r="GZ29" s="393"/>
      <c r="HA29" s="206"/>
      <c r="HB29" s="206"/>
      <c r="HC29" s="393"/>
      <c r="HD29" s="393"/>
      <c r="HE29" s="393"/>
      <c r="HF29" s="393"/>
      <c r="HG29" s="393"/>
      <c r="HH29" s="393"/>
      <c r="HI29" s="393"/>
      <c r="HJ29" s="393"/>
      <c r="HK29" s="393"/>
      <c r="HL29" s="393"/>
      <c r="HM29" s="393"/>
      <c r="HN29" s="206"/>
      <c r="HO29" s="206"/>
      <c r="HP29" s="393"/>
      <c r="HQ29" s="393"/>
      <c r="HR29" s="393"/>
      <c r="HS29" s="393"/>
      <c r="HT29" s="393"/>
      <c r="HU29" s="393"/>
      <c r="HV29" s="393"/>
      <c r="HW29" s="393"/>
      <c r="HX29" s="393"/>
      <c r="HY29" s="393"/>
      <c r="HZ29" s="393"/>
      <c r="IA29" s="206"/>
      <c r="IB29" s="206"/>
      <c r="IC29" s="393"/>
      <c r="ID29" s="393"/>
      <c r="IE29" s="393"/>
      <c r="IF29" s="393"/>
      <c r="IG29" s="393"/>
      <c r="IH29" s="393"/>
      <c r="II29" s="393"/>
      <c r="IJ29" s="393"/>
      <c r="IK29" s="393"/>
      <c r="IL29" s="393"/>
      <c r="IM29" s="393"/>
      <c r="IN29" s="206"/>
      <c r="IO29" s="206"/>
      <c r="IP29" s="393"/>
      <c r="IQ29" s="393"/>
      <c r="IR29" s="393"/>
      <c r="IS29" s="393"/>
      <c r="IT29" s="393"/>
      <c r="IU29" s="393"/>
      <c r="IV29" s="393"/>
    </row>
    <row r="30" spans="1:256" x14ac:dyDescent="0.2">
      <c r="A30" s="217"/>
      <c r="B30" s="218"/>
      <c r="C30" s="388"/>
      <c r="D30" s="388"/>
      <c r="E30" s="388"/>
      <c r="F30" s="388"/>
      <c r="G30" s="388"/>
      <c r="H30" s="388"/>
      <c r="I30" s="388"/>
      <c r="J30" s="388"/>
      <c r="K30" s="388"/>
      <c r="L30" s="388"/>
      <c r="M30" s="389"/>
      <c r="N30" s="210"/>
      <c r="O30" s="210"/>
      <c r="P30" s="394"/>
      <c r="Q30" s="394"/>
      <c r="R30" s="394"/>
      <c r="S30" s="394"/>
      <c r="T30" s="394"/>
      <c r="U30" s="394"/>
      <c r="V30" s="394"/>
      <c r="W30" s="394"/>
      <c r="X30" s="394"/>
      <c r="Y30" s="394"/>
      <c r="Z30" s="394"/>
      <c r="AA30" s="206"/>
      <c r="AB30" s="206"/>
      <c r="AC30" s="393"/>
      <c r="AD30" s="393"/>
      <c r="AE30" s="393"/>
      <c r="AF30" s="393"/>
      <c r="AG30" s="393"/>
      <c r="AH30" s="393"/>
      <c r="AI30" s="393"/>
      <c r="AJ30" s="393"/>
      <c r="AK30" s="393"/>
      <c r="AL30" s="393"/>
      <c r="AM30" s="393"/>
      <c r="AN30" s="206"/>
      <c r="AO30" s="206"/>
      <c r="AP30" s="393"/>
      <c r="AQ30" s="393"/>
      <c r="AR30" s="393"/>
      <c r="AS30" s="393"/>
      <c r="AT30" s="393"/>
      <c r="AU30" s="393"/>
      <c r="AV30" s="393"/>
      <c r="AW30" s="393"/>
      <c r="AX30" s="393"/>
      <c r="AY30" s="393"/>
      <c r="AZ30" s="393"/>
      <c r="BA30" s="206"/>
      <c r="BB30" s="206"/>
      <c r="BC30" s="393"/>
      <c r="BD30" s="393"/>
      <c r="BE30" s="393"/>
      <c r="BF30" s="393"/>
      <c r="BG30" s="393"/>
      <c r="BH30" s="393"/>
      <c r="BI30" s="393"/>
      <c r="BJ30" s="393"/>
      <c r="BK30" s="393"/>
      <c r="BL30" s="393"/>
      <c r="BM30" s="393"/>
      <c r="BN30" s="206"/>
      <c r="BO30" s="206"/>
      <c r="BP30" s="393"/>
      <c r="BQ30" s="393"/>
      <c r="BR30" s="393"/>
      <c r="BS30" s="393"/>
      <c r="BT30" s="393"/>
      <c r="BU30" s="393"/>
      <c r="BV30" s="393"/>
      <c r="BW30" s="393"/>
      <c r="BX30" s="393"/>
      <c r="BY30" s="393"/>
      <c r="BZ30" s="393"/>
      <c r="CA30" s="206"/>
      <c r="CB30" s="206"/>
      <c r="CC30" s="393"/>
      <c r="CD30" s="393"/>
      <c r="CE30" s="393"/>
      <c r="CF30" s="393"/>
      <c r="CG30" s="393"/>
      <c r="CH30" s="393"/>
      <c r="CI30" s="393"/>
      <c r="CJ30" s="393"/>
      <c r="CK30" s="393"/>
      <c r="CL30" s="393"/>
      <c r="CM30" s="393"/>
      <c r="CN30" s="206"/>
      <c r="CO30" s="206"/>
      <c r="CP30" s="393"/>
      <c r="CQ30" s="393"/>
      <c r="CR30" s="393"/>
      <c r="CS30" s="393"/>
      <c r="CT30" s="393"/>
      <c r="CU30" s="393"/>
      <c r="CV30" s="393"/>
      <c r="CW30" s="393"/>
      <c r="CX30" s="393"/>
      <c r="CY30" s="393"/>
      <c r="CZ30" s="393"/>
      <c r="DA30" s="206"/>
      <c r="DB30" s="206"/>
      <c r="DC30" s="393"/>
      <c r="DD30" s="393"/>
      <c r="DE30" s="393"/>
      <c r="DF30" s="393"/>
      <c r="DG30" s="393"/>
      <c r="DH30" s="393"/>
      <c r="DI30" s="393"/>
      <c r="DJ30" s="393"/>
      <c r="DK30" s="393"/>
      <c r="DL30" s="393"/>
      <c r="DM30" s="393"/>
      <c r="DN30" s="206"/>
      <c r="DO30" s="206"/>
      <c r="DP30" s="393"/>
      <c r="DQ30" s="393"/>
      <c r="DR30" s="393"/>
      <c r="DS30" s="393"/>
      <c r="DT30" s="393"/>
      <c r="DU30" s="393"/>
      <c r="DV30" s="393"/>
      <c r="DW30" s="393"/>
      <c r="DX30" s="393"/>
      <c r="DY30" s="393"/>
      <c r="DZ30" s="393"/>
      <c r="EA30" s="206"/>
      <c r="EB30" s="206"/>
      <c r="EC30" s="393"/>
      <c r="ED30" s="393"/>
      <c r="EE30" s="393"/>
      <c r="EF30" s="393"/>
      <c r="EG30" s="393"/>
      <c r="EH30" s="393"/>
      <c r="EI30" s="393"/>
      <c r="EJ30" s="393"/>
      <c r="EK30" s="393"/>
      <c r="EL30" s="393"/>
      <c r="EM30" s="393"/>
      <c r="EN30" s="206"/>
      <c r="EO30" s="206"/>
      <c r="EP30" s="393"/>
      <c r="EQ30" s="393"/>
      <c r="ER30" s="393"/>
      <c r="ES30" s="393"/>
      <c r="ET30" s="393"/>
      <c r="EU30" s="393"/>
      <c r="EV30" s="393"/>
      <c r="EW30" s="393"/>
      <c r="EX30" s="393"/>
      <c r="EY30" s="393"/>
      <c r="EZ30" s="393"/>
      <c r="FA30" s="206"/>
      <c r="FB30" s="206"/>
      <c r="FC30" s="393"/>
      <c r="FD30" s="393"/>
      <c r="FE30" s="393"/>
      <c r="FF30" s="393"/>
      <c r="FG30" s="393"/>
      <c r="FH30" s="393"/>
      <c r="FI30" s="393"/>
      <c r="FJ30" s="393"/>
      <c r="FK30" s="393"/>
      <c r="FL30" s="393"/>
      <c r="FM30" s="393"/>
      <c r="FN30" s="206"/>
      <c r="FO30" s="206"/>
      <c r="FP30" s="393"/>
      <c r="FQ30" s="393"/>
      <c r="FR30" s="393"/>
      <c r="FS30" s="393"/>
      <c r="FT30" s="393"/>
      <c r="FU30" s="393"/>
      <c r="FV30" s="393"/>
      <c r="FW30" s="393"/>
      <c r="FX30" s="393"/>
      <c r="FY30" s="393"/>
      <c r="FZ30" s="393"/>
      <c r="GA30" s="206"/>
      <c r="GB30" s="206"/>
      <c r="GC30" s="393"/>
      <c r="GD30" s="393"/>
      <c r="GE30" s="393"/>
      <c r="GF30" s="393"/>
      <c r="GG30" s="393"/>
      <c r="GH30" s="393"/>
      <c r="GI30" s="393"/>
      <c r="GJ30" s="393"/>
      <c r="GK30" s="393"/>
      <c r="GL30" s="393"/>
      <c r="GM30" s="393"/>
      <c r="GN30" s="206"/>
      <c r="GO30" s="206"/>
      <c r="GP30" s="393"/>
      <c r="GQ30" s="393"/>
      <c r="GR30" s="393"/>
      <c r="GS30" s="393"/>
      <c r="GT30" s="393"/>
      <c r="GU30" s="393"/>
      <c r="GV30" s="393"/>
      <c r="GW30" s="393"/>
      <c r="GX30" s="393"/>
      <c r="GY30" s="393"/>
      <c r="GZ30" s="393"/>
      <c r="HA30" s="206"/>
      <c r="HB30" s="206"/>
      <c r="HC30" s="393"/>
      <c r="HD30" s="393"/>
      <c r="HE30" s="393"/>
      <c r="HF30" s="393"/>
      <c r="HG30" s="393"/>
      <c r="HH30" s="393"/>
      <c r="HI30" s="393"/>
      <c r="HJ30" s="393"/>
      <c r="HK30" s="393"/>
      <c r="HL30" s="393"/>
      <c r="HM30" s="393"/>
      <c r="HN30" s="206"/>
      <c r="HO30" s="206"/>
      <c r="HP30" s="393"/>
      <c r="HQ30" s="393"/>
      <c r="HR30" s="393"/>
      <c r="HS30" s="393"/>
      <c r="HT30" s="393"/>
      <c r="HU30" s="393"/>
      <c r="HV30" s="393"/>
      <c r="HW30" s="393"/>
      <c r="HX30" s="393"/>
      <c r="HY30" s="393"/>
      <c r="HZ30" s="393"/>
      <c r="IA30" s="206"/>
      <c r="IB30" s="206"/>
      <c r="IC30" s="393"/>
      <c r="ID30" s="393"/>
      <c r="IE30" s="393"/>
      <c r="IF30" s="393"/>
      <c r="IG30" s="393"/>
      <c r="IH30" s="393"/>
      <c r="II30" s="393"/>
      <c r="IJ30" s="393"/>
      <c r="IK30" s="393"/>
      <c r="IL30" s="393"/>
      <c r="IM30" s="393"/>
      <c r="IN30" s="206"/>
      <c r="IO30" s="206"/>
      <c r="IP30" s="393"/>
      <c r="IQ30" s="393"/>
      <c r="IR30" s="393"/>
      <c r="IS30" s="393"/>
      <c r="IT30" s="393"/>
      <c r="IU30" s="393"/>
      <c r="IV30" s="393"/>
    </row>
    <row r="31" spans="1:256" x14ac:dyDescent="0.2">
      <c r="A31" s="217"/>
      <c r="B31" s="218"/>
      <c r="C31" s="388"/>
      <c r="D31" s="388"/>
      <c r="E31" s="388"/>
      <c r="F31" s="388"/>
      <c r="G31" s="388"/>
      <c r="H31" s="388"/>
      <c r="I31" s="388"/>
      <c r="J31" s="388"/>
      <c r="K31" s="388"/>
      <c r="L31" s="388"/>
      <c r="M31" s="389"/>
      <c r="N31" s="210"/>
      <c r="O31" s="210"/>
      <c r="P31" s="394"/>
      <c r="Q31" s="394"/>
      <c r="R31" s="394"/>
      <c r="S31" s="394"/>
      <c r="T31" s="394"/>
      <c r="U31" s="394"/>
      <c r="V31" s="394"/>
      <c r="W31" s="394"/>
      <c r="X31" s="394"/>
      <c r="Y31" s="394"/>
      <c r="Z31" s="394"/>
      <c r="AA31" s="206"/>
      <c r="AB31" s="206"/>
      <c r="AC31" s="393"/>
      <c r="AD31" s="393"/>
      <c r="AE31" s="393"/>
      <c r="AF31" s="393"/>
      <c r="AG31" s="393"/>
      <c r="AH31" s="393"/>
      <c r="AI31" s="393"/>
      <c r="AJ31" s="393"/>
      <c r="AK31" s="393"/>
      <c r="AL31" s="393"/>
      <c r="AM31" s="393"/>
      <c r="AN31" s="206"/>
      <c r="AO31" s="206"/>
      <c r="AP31" s="393"/>
      <c r="AQ31" s="393"/>
      <c r="AR31" s="393"/>
      <c r="AS31" s="393"/>
      <c r="AT31" s="393"/>
      <c r="AU31" s="393"/>
      <c r="AV31" s="393"/>
      <c r="AW31" s="393"/>
      <c r="AX31" s="393"/>
      <c r="AY31" s="393"/>
      <c r="AZ31" s="393"/>
      <c r="BA31" s="206"/>
      <c r="BB31" s="206"/>
      <c r="BC31" s="393"/>
      <c r="BD31" s="393"/>
      <c r="BE31" s="393"/>
      <c r="BF31" s="393"/>
      <c r="BG31" s="393"/>
      <c r="BH31" s="393"/>
      <c r="BI31" s="393"/>
      <c r="BJ31" s="393"/>
      <c r="BK31" s="393"/>
      <c r="BL31" s="393"/>
      <c r="BM31" s="393"/>
      <c r="BN31" s="206"/>
      <c r="BO31" s="206"/>
      <c r="BP31" s="393"/>
      <c r="BQ31" s="393"/>
      <c r="BR31" s="393"/>
      <c r="BS31" s="393"/>
      <c r="BT31" s="393"/>
      <c r="BU31" s="393"/>
      <c r="BV31" s="393"/>
      <c r="BW31" s="393"/>
      <c r="BX31" s="393"/>
      <c r="BY31" s="393"/>
      <c r="BZ31" s="393"/>
      <c r="CA31" s="206"/>
      <c r="CB31" s="206"/>
      <c r="CC31" s="393"/>
      <c r="CD31" s="393"/>
      <c r="CE31" s="393"/>
      <c r="CF31" s="393"/>
      <c r="CG31" s="393"/>
      <c r="CH31" s="393"/>
      <c r="CI31" s="393"/>
      <c r="CJ31" s="393"/>
      <c r="CK31" s="393"/>
      <c r="CL31" s="393"/>
      <c r="CM31" s="393"/>
      <c r="CN31" s="206"/>
      <c r="CO31" s="206"/>
      <c r="CP31" s="393"/>
      <c r="CQ31" s="393"/>
      <c r="CR31" s="393"/>
      <c r="CS31" s="393"/>
      <c r="CT31" s="393"/>
      <c r="CU31" s="393"/>
      <c r="CV31" s="393"/>
      <c r="CW31" s="393"/>
      <c r="CX31" s="393"/>
      <c r="CY31" s="393"/>
      <c r="CZ31" s="393"/>
      <c r="DA31" s="206"/>
      <c r="DB31" s="206"/>
      <c r="DC31" s="393"/>
      <c r="DD31" s="393"/>
      <c r="DE31" s="393"/>
      <c r="DF31" s="393"/>
      <c r="DG31" s="393"/>
      <c r="DH31" s="393"/>
      <c r="DI31" s="393"/>
      <c r="DJ31" s="393"/>
      <c r="DK31" s="393"/>
      <c r="DL31" s="393"/>
      <c r="DM31" s="393"/>
      <c r="DN31" s="206"/>
      <c r="DO31" s="206"/>
      <c r="DP31" s="393"/>
      <c r="DQ31" s="393"/>
      <c r="DR31" s="393"/>
      <c r="DS31" s="393"/>
      <c r="DT31" s="393"/>
      <c r="DU31" s="393"/>
      <c r="DV31" s="393"/>
      <c r="DW31" s="393"/>
      <c r="DX31" s="393"/>
      <c r="DY31" s="393"/>
      <c r="DZ31" s="393"/>
      <c r="EA31" s="206"/>
      <c r="EB31" s="206"/>
      <c r="EC31" s="393"/>
      <c r="ED31" s="393"/>
      <c r="EE31" s="393"/>
      <c r="EF31" s="393"/>
      <c r="EG31" s="393"/>
      <c r="EH31" s="393"/>
      <c r="EI31" s="393"/>
      <c r="EJ31" s="393"/>
      <c r="EK31" s="393"/>
      <c r="EL31" s="393"/>
      <c r="EM31" s="393"/>
      <c r="EN31" s="206"/>
      <c r="EO31" s="206"/>
      <c r="EP31" s="393"/>
      <c r="EQ31" s="393"/>
      <c r="ER31" s="393"/>
      <c r="ES31" s="393"/>
      <c r="ET31" s="393"/>
      <c r="EU31" s="393"/>
      <c r="EV31" s="393"/>
      <c r="EW31" s="393"/>
      <c r="EX31" s="393"/>
      <c r="EY31" s="393"/>
      <c r="EZ31" s="393"/>
      <c r="FA31" s="206"/>
      <c r="FB31" s="206"/>
      <c r="FC31" s="393"/>
      <c r="FD31" s="393"/>
      <c r="FE31" s="393"/>
      <c r="FF31" s="393"/>
      <c r="FG31" s="393"/>
      <c r="FH31" s="393"/>
      <c r="FI31" s="393"/>
      <c r="FJ31" s="393"/>
      <c r="FK31" s="393"/>
      <c r="FL31" s="393"/>
      <c r="FM31" s="393"/>
      <c r="FN31" s="206"/>
      <c r="FO31" s="206"/>
      <c r="FP31" s="393"/>
      <c r="FQ31" s="393"/>
      <c r="FR31" s="393"/>
      <c r="FS31" s="393"/>
      <c r="FT31" s="393"/>
      <c r="FU31" s="393"/>
      <c r="FV31" s="393"/>
      <c r="FW31" s="393"/>
      <c r="FX31" s="393"/>
      <c r="FY31" s="393"/>
      <c r="FZ31" s="393"/>
      <c r="GA31" s="206"/>
      <c r="GB31" s="206"/>
      <c r="GC31" s="393"/>
      <c r="GD31" s="393"/>
      <c r="GE31" s="393"/>
      <c r="GF31" s="393"/>
      <c r="GG31" s="393"/>
      <c r="GH31" s="393"/>
      <c r="GI31" s="393"/>
      <c r="GJ31" s="393"/>
      <c r="GK31" s="393"/>
      <c r="GL31" s="393"/>
      <c r="GM31" s="393"/>
      <c r="GN31" s="206"/>
      <c r="GO31" s="206"/>
      <c r="GP31" s="393"/>
      <c r="GQ31" s="393"/>
      <c r="GR31" s="393"/>
      <c r="GS31" s="393"/>
      <c r="GT31" s="393"/>
      <c r="GU31" s="393"/>
      <c r="GV31" s="393"/>
      <c r="GW31" s="393"/>
      <c r="GX31" s="393"/>
      <c r="GY31" s="393"/>
      <c r="GZ31" s="393"/>
      <c r="HA31" s="206"/>
      <c r="HB31" s="206"/>
      <c r="HC31" s="393"/>
      <c r="HD31" s="393"/>
      <c r="HE31" s="393"/>
      <c r="HF31" s="393"/>
      <c r="HG31" s="393"/>
      <c r="HH31" s="393"/>
      <c r="HI31" s="393"/>
      <c r="HJ31" s="393"/>
      <c r="HK31" s="393"/>
      <c r="HL31" s="393"/>
      <c r="HM31" s="393"/>
      <c r="HN31" s="206"/>
      <c r="HO31" s="206"/>
      <c r="HP31" s="393"/>
      <c r="HQ31" s="393"/>
      <c r="HR31" s="393"/>
      <c r="HS31" s="393"/>
      <c r="HT31" s="393"/>
      <c r="HU31" s="393"/>
      <c r="HV31" s="393"/>
      <c r="HW31" s="393"/>
      <c r="HX31" s="393"/>
      <c r="HY31" s="393"/>
      <c r="HZ31" s="393"/>
      <c r="IA31" s="206"/>
      <c r="IB31" s="206"/>
      <c r="IC31" s="393"/>
      <c r="ID31" s="393"/>
      <c r="IE31" s="393"/>
      <c r="IF31" s="393"/>
      <c r="IG31" s="393"/>
      <c r="IH31" s="393"/>
      <c r="II31" s="393"/>
      <c r="IJ31" s="393"/>
      <c r="IK31" s="393"/>
      <c r="IL31" s="393"/>
      <c r="IM31" s="393"/>
      <c r="IN31" s="206"/>
      <c r="IO31" s="206"/>
      <c r="IP31" s="393"/>
      <c r="IQ31" s="393"/>
      <c r="IR31" s="393"/>
      <c r="IS31" s="393"/>
      <c r="IT31" s="393"/>
      <c r="IU31" s="393"/>
      <c r="IV31" s="393"/>
    </row>
    <row r="32" spans="1:256" x14ac:dyDescent="0.2">
      <c r="A32" s="217"/>
      <c r="B32" s="218"/>
      <c r="C32" s="388"/>
      <c r="D32" s="388"/>
      <c r="E32" s="388"/>
      <c r="F32" s="388"/>
      <c r="G32" s="388"/>
      <c r="H32" s="388"/>
      <c r="I32" s="388"/>
      <c r="J32" s="388"/>
      <c r="K32" s="388"/>
      <c r="L32" s="388"/>
      <c r="M32" s="389"/>
      <c r="N32" s="222"/>
      <c r="O32" s="222"/>
      <c r="P32" s="395"/>
      <c r="Q32" s="395"/>
      <c r="R32" s="395"/>
      <c r="S32" s="395"/>
      <c r="T32" s="395"/>
      <c r="U32" s="395"/>
      <c r="V32" s="395"/>
      <c r="W32" s="395"/>
      <c r="X32" s="395"/>
      <c r="Y32" s="395"/>
      <c r="Z32" s="396"/>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94"/>
      <c r="Q38" s="394"/>
      <c r="R38" s="394"/>
      <c r="S38" s="394"/>
      <c r="T38" s="394"/>
      <c r="U38" s="394"/>
      <c r="V38" s="394"/>
      <c r="W38" s="394"/>
      <c r="X38" s="394"/>
      <c r="Y38" s="394"/>
      <c r="Z38" s="394"/>
      <c r="AA38" s="206"/>
      <c r="AB38" s="206"/>
      <c r="AC38" s="393"/>
      <c r="AD38" s="393"/>
      <c r="AE38" s="393"/>
      <c r="AF38" s="393"/>
      <c r="AG38" s="393"/>
      <c r="AH38" s="393"/>
      <c r="AI38" s="393"/>
      <c r="AJ38" s="393"/>
      <c r="AK38" s="393"/>
      <c r="AL38" s="393"/>
      <c r="AM38" s="393"/>
      <c r="AN38" s="206"/>
      <c r="AO38" s="206"/>
      <c r="AP38" s="393"/>
      <c r="AQ38" s="393"/>
      <c r="AR38" s="393"/>
      <c r="AS38" s="393"/>
      <c r="AT38" s="393"/>
      <c r="AU38" s="393"/>
      <c r="AV38" s="393"/>
      <c r="AW38" s="393"/>
      <c r="AX38" s="393"/>
      <c r="AY38" s="393"/>
      <c r="AZ38" s="393"/>
      <c r="BA38" s="206"/>
      <c r="BB38" s="206"/>
      <c r="BC38" s="393"/>
      <c r="BD38" s="393"/>
      <c r="BE38" s="393"/>
      <c r="BF38" s="393"/>
      <c r="BG38" s="393"/>
      <c r="BH38" s="393"/>
      <c r="BI38" s="393"/>
      <c r="BJ38" s="393"/>
      <c r="BK38" s="393"/>
      <c r="BL38" s="393"/>
      <c r="BM38" s="393"/>
      <c r="BN38" s="206"/>
      <c r="BO38" s="206"/>
      <c r="BP38" s="393"/>
      <c r="BQ38" s="393"/>
      <c r="BR38" s="393"/>
      <c r="BS38" s="393"/>
      <c r="BT38" s="393"/>
      <c r="BU38" s="393"/>
      <c r="BV38" s="393"/>
      <c r="BW38" s="393"/>
      <c r="BX38" s="393"/>
      <c r="BY38" s="393"/>
      <c r="BZ38" s="393"/>
      <c r="CA38" s="206"/>
      <c r="CB38" s="206"/>
      <c r="CC38" s="393"/>
      <c r="CD38" s="393"/>
      <c r="CE38" s="393"/>
      <c r="CF38" s="393"/>
      <c r="CG38" s="393"/>
      <c r="CH38" s="393"/>
      <c r="CI38" s="393"/>
      <c r="CJ38" s="393"/>
      <c r="CK38" s="393"/>
      <c r="CL38" s="393"/>
      <c r="CM38" s="393"/>
      <c r="CN38" s="206"/>
      <c r="CO38" s="206"/>
      <c r="CP38" s="393"/>
      <c r="CQ38" s="393"/>
      <c r="CR38" s="393"/>
      <c r="CS38" s="393"/>
      <c r="CT38" s="393"/>
      <c r="CU38" s="393"/>
      <c r="CV38" s="393"/>
      <c r="CW38" s="393"/>
      <c r="CX38" s="393"/>
      <c r="CY38" s="393"/>
      <c r="CZ38" s="393"/>
      <c r="DA38" s="206"/>
      <c r="DB38" s="206"/>
      <c r="DC38" s="393"/>
      <c r="DD38" s="393"/>
      <c r="DE38" s="393"/>
      <c r="DF38" s="393"/>
      <c r="DG38" s="393"/>
      <c r="DH38" s="393"/>
      <c r="DI38" s="393"/>
      <c r="DJ38" s="393"/>
      <c r="DK38" s="393"/>
      <c r="DL38" s="393"/>
      <c r="DM38" s="393"/>
      <c r="DN38" s="206"/>
      <c r="DO38" s="206"/>
      <c r="DP38" s="393"/>
      <c r="DQ38" s="393"/>
      <c r="DR38" s="393"/>
      <c r="DS38" s="393"/>
      <c r="DT38" s="393"/>
      <c r="DU38" s="393"/>
      <c r="DV38" s="393"/>
      <c r="DW38" s="393"/>
      <c r="DX38" s="393"/>
      <c r="DY38" s="393"/>
      <c r="DZ38" s="393"/>
      <c r="EA38" s="206"/>
      <c r="EB38" s="206"/>
      <c r="EC38" s="393"/>
      <c r="ED38" s="393"/>
      <c r="EE38" s="393"/>
      <c r="EF38" s="393"/>
      <c r="EG38" s="393"/>
      <c r="EH38" s="393"/>
      <c r="EI38" s="393"/>
      <c r="EJ38" s="393"/>
      <c r="EK38" s="393"/>
      <c r="EL38" s="393"/>
      <c r="EM38" s="393"/>
      <c r="EN38" s="206"/>
      <c r="EO38" s="206"/>
      <c r="EP38" s="393"/>
      <c r="EQ38" s="393"/>
      <c r="ER38" s="393"/>
      <c r="ES38" s="393"/>
      <c r="ET38" s="393"/>
      <c r="EU38" s="393"/>
      <c r="EV38" s="393"/>
      <c r="EW38" s="393"/>
      <c r="EX38" s="393"/>
      <c r="EY38" s="393"/>
      <c r="EZ38" s="393"/>
      <c r="FA38" s="206"/>
      <c r="FB38" s="206"/>
      <c r="FC38" s="393"/>
      <c r="FD38" s="393"/>
      <c r="FE38" s="393"/>
      <c r="FF38" s="393"/>
      <c r="FG38" s="393"/>
      <c r="FH38" s="393"/>
      <c r="FI38" s="393"/>
      <c r="FJ38" s="393"/>
      <c r="FK38" s="393"/>
      <c r="FL38" s="393"/>
      <c r="FM38" s="393"/>
      <c r="FN38" s="206"/>
      <c r="FO38" s="206"/>
      <c r="FP38" s="393"/>
      <c r="FQ38" s="393"/>
      <c r="FR38" s="393"/>
      <c r="FS38" s="393"/>
      <c r="FT38" s="393"/>
      <c r="FU38" s="393"/>
      <c r="FV38" s="393"/>
      <c r="FW38" s="393"/>
      <c r="FX38" s="393"/>
      <c r="FY38" s="393"/>
      <c r="FZ38" s="393"/>
      <c r="GA38" s="206"/>
      <c r="GB38" s="206"/>
      <c r="GC38" s="393"/>
      <c r="GD38" s="393"/>
      <c r="GE38" s="393"/>
      <c r="GF38" s="393"/>
      <c r="GG38" s="393"/>
      <c r="GH38" s="393"/>
      <c r="GI38" s="393"/>
      <c r="GJ38" s="393"/>
      <c r="GK38" s="393"/>
      <c r="GL38" s="393"/>
      <c r="GM38" s="393"/>
      <c r="GN38" s="206"/>
      <c r="GO38" s="206"/>
      <c r="GP38" s="393"/>
      <c r="GQ38" s="393"/>
      <c r="GR38" s="393"/>
      <c r="GS38" s="393"/>
      <c r="GT38" s="393"/>
      <c r="GU38" s="393"/>
      <c r="GV38" s="393"/>
      <c r="GW38" s="393"/>
      <c r="GX38" s="393"/>
      <c r="GY38" s="393"/>
      <c r="GZ38" s="393"/>
      <c r="HA38" s="206"/>
      <c r="HB38" s="206"/>
      <c r="HC38" s="393"/>
      <c r="HD38" s="393"/>
      <c r="HE38" s="393"/>
      <c r="HF38" s="393"/>
      <c r="HG38" s="393"/>
      <c r="HH38" s="393"/>
      <c r="HI38" s="393"/>
      <c r="HJ38" s="393"/>
      <c r="HK38" s="393"/>
      <c r="HL38" s="393"/>
      <c r="HM38" s="393"/>
      <c r="HN38" s="206"/>
      <c r="HO38" s="206"/>
      <c r="HP38" s="393"/>
      <c r="HQ38" s="393"/>
      <c r="HR38" s="393"/>
      <c r="HS38" s="393"/>
      <c r="HT38" s="393"/>
      <c r="HU38" s="393"/>
      <c r="HV38" s="393"/>
      <c r="HW38" s="393"/>
      <c r="HX38" s="393"/>
      <c r="HY38" s="393"/>
      <c r="HZ38" s="393"/>
      <c r="IA38" s="206"/>
      <c r="IB38" s="206"/>
      <c r="IC38" s="393"/>
      <c r="ID38" s="393"/>
      <c r="IE38" s="393"/>
      <c r="IF38" s="393"/>
      <c r="IG38" s="393"/>
      <c r="IH38" s="393"/>
      <c r="II38" s="393"/>
      <c r="IJ38" s="393"/>
      <c r="IK38" s="393"/>
      <c r="IL38" s="393"/>
      <c r="IM38" s="393"/>
      <c r="IN38" s="206"/>
      <c r="IO38" s="206"/>
      <c r="IP38" s="393"/>
      <c r="IQ38" s="393"/>
      <c r="IR38" s="393"/>
      <c r="IS38" s="393"/>
      <c r="IT38" s="393"/>
      <c r="IU38" s="393"/>
      <c r="IV38" s="393"/>
    </row>
    <row r="39" spans="1:256" x14ac:dyDescent="0.2">
      <c r="A39" s="217"/>
      <c r="B39" s="218"/>
      <c r="C39" s="388"/>
      <c r="D39" s="388"/>
      <c r="E39" s="388"/>
      <c r="F39" s="388"/>
      <c r="G39" s="388"/>
      <c r="H39" s="388"/>
      <c r="I39" s="388"/>
      <c r="J39" s="388"/>
      <c r="K39" s="388"/>
      <c r="L39" s="388"/>
      <c r="M39" s="389"/>
      <c r="N39" s="210"/>
      <c r="O39" s="210"/>
      <c r="P39" s="394"/>
      <c r="Q39" s="394"/>
      <c r="R39" s="394"/>
      <c r="S39" s="394"/>
      <c r="T39" s="394"/>
      <c r="U39" s="394"/>
      <c r="V39" s="394"/>
      <c r="W39" s="394"/>
      <c r="X39" s="394"/>
      <c r="Y39" s="394"/>
      <c r="Z39" s="394"/>
      <c r="AA39" s="206"/>
      <c r="AB39" s="206"/>
      <c r="AC39" s="393"/>
      <c r="AD39" s="393"/>
      <c r="AE39" s="393"/>
      <c r="AF39" s="393"/>
      <c r="AG39" s="393"/>
      <c r="AH39" s="393"/>
      <c r="AI39" s="393"/>
      <c r="AJ39" s="393"/>
      <c r="AK39" s="393"/>
      <c r="AL39" s="393"/>
      <c r="AM39" s="393"/>
      <c r="AN39" s="206"/>
      <c r="AO39" s="206"/>
      <c r="AP39" s="393"/>
      <c r="AQ39" s="393"/>
      <c r="AR39" s="393"/>
      <c r="AS39" s="393"/>
      <c r="AT39" s="393"/>
      <c r="AU39" s="393"/>
      <c r="AV39" s="393"/>
      <c r="AW39" s="393"/>
      <c r="AX39" s="393"/>
      <c r="AY39" s="393"/>
      <c r="AZ39" s="393"/>
      <c r="BA39" s="206"/>
      <c r="BB39" s="206"/>
      <c r="BC39" s="393"/>
      <c r="BD39" s="393"/>
      <c r="BE39" s="393"/>
      <c r="BF39" s="393"/>
      <c r="BG39" s="393"/>
      <c r="BH39" s="393"/>
      <c r="BI39" s="393"/>
      <c r="BJ39" s="393"/>
      <c r="BK39" s="393"/>
      <c r="BL39" s="393"/>
      <c r="BM39" s="393"/>
      <c r="BN39" s="206"/>
      <c r="BO39" s="206"/>
      <c r="BP39" s="393"/>
      <c r="BQ39" s="393"/>
      <c r="BR39" s="393"/>
      <c r="BS39" s="393"/>
      <c r="BT39" s="393"/>
      <c r="BU39" s="393"/>
      <c r="BV39" s="393"/>
      <c r="BW39" s="393"/>
      <c r="BX39" s="393"/>
      <c r="BY39" s="393"/>
      <c r="BZ39" s="393"/>
      <c r="CA39" s="206"/>
      <c r="CB39" s="206"/>
      <c r="CC39" s="393"/>
      <c r="CD39" s="393"/>
      <c r="CE39" s="393"/>
      <c r="CF39" s="393"/>
      <c r="CG39" s="393"/>
      <c r="CH39" s="393"/>
      <c r="CI39" s="393"/>
      <c r="CJ39" s="393"/>
      <c r="CK39" s="393"/>
      <c r="CL39" s="393"/>
      <c r="CM39" s="393"/>
      <c r="CN39" s="206"/>
      <c r="CO39" s="206"/>
      <c r="CP39" s="393"/>
      <c r="CQ39" s="393"/>
      <c r="CR39" s="393"/>
      <c r="CS39" s="393"/>
      <c r="CT39" s="393"/>
      <c r="CU39" s="393"/>
      <c r="CV39" s="393"/>
      <c r="CW39" s="393"/>
      <c r="CX39" s="393"/>
      <c r="CY39" s="393"/>
      <c r="CZ39" s="393"/>
      <c r="DA39" s="206"/>
      <c r="DB39" s="206"/>
      <c r="DC39" s="393"/>
      <c r="DD39" s="393"/>
      <c r="DE39" s="393"/>
      <c r="DF39" s="393"/>
      <c r="DG39" s="393"/>
      <c r="DH39" s="393"/>
      <c r="DI39" s="393"/>
      <c r="DJ39" s="393"/>
      <c r="DK39" s="393"/>
      <c r="DL39" s="393"/>
      <c r="DM39" s="393"/>
      <c r="DN39" s="206"/>
      <c r="DO39" s="206"/>
      <c r="DP39" s="393"/>
      <c r="DQ39" s="393"/>
      <c r="DR39" s="393"/>
      <c r="DS39" s="393"/>
      <c r="DT39" s="393"/>
      <c r="DU39" s="393"/>
      <c r="DV39" s="393"/>
      <c r="DW39" s="393"/>
      <c r="DX39" s="393"/>
      <c r="DY39" s="393"/>
      <c r="DZ39" s="393"/>
      <c r="EA39" s="206"/>
      <c r="EB39" s="206"/>
      <c r="EC39" s="393"/>
      <c r="ED39" s="393"/>
      <c r="EE39" s="393"/>
      <c r="EF39" s="393"/>
      <c r="EG39" s="393"/>
      <c r="EH39" s="393"/>
      <c r="EI39" s="393"/>
      <c r="EJ39" s="393"/>
      <c r="EK39" s="393"/>
      <c r="EL39" s="393"/>
      <c r="EM39" s="393"/>
      <c r="EN39" s="206"/>
      <c r="EO39" s="206"/>
      <c r="EP39" s="393"/>
      <c r="EQ39" s="393"/>
      <c r="ER39" s="393"/>
      <c r="ES39" s="393"/>
      <c r="ET39" s="393"/>
      <c r="EU39" s="393"/>
      <c r="EV39" s="393"/>
      <c r="EW39" s="393"/>
      <c r="EX39" s="393"/>
      <c r="EY39" s="393"/>
      <c r="EZ39" s="393"/>
      <c r="FA39" s="206"/>
      <c r="FB39" s="206"/>
      <c r="FC39" s="393"/>
      <c r="FD39" s="393"/>
      <c r="FE39" s="393"/>
      <c r="FF39" s="393"/>
      <c r="FG39" s="393"/>
      <c r="FH39" s="393"/>
      <c r="FI39" s="393"/>
      <c r="FJ39" s="393"/>
      <c r="FK39" s="393"/>
      <c r="FL39" s="393"/>
      <c r="FM39" s="393"/>
      <c r="FN39" s="206"/>
      <c r="FO39" s="206"/>
      <c r="FP39" s="393"/>
      <c r="FQ39" s="393"/>
      <c r="FR39" s="393"/>
      <c r="FS39" s="393"/>
      <c r="FT39" s="393"/>
      <c r="FU39" s="393"/>
      <c r="FV39" s="393"/>
      <c r="FW39" s="393"/>
      <c r="FX39" s="393"/>
      <c r="FY39" s="393"/>
      <c r="FZ39" s="393"/>
      <c r="GA39" s="206"/>
      <c r="GB39" s="206"/>
      <c r="GC39" s="393"/>
      <c r="GD39" s="393"/>
      <c r="GE39" s="393"/>
      <c r="GF39" s="393"/>
      <c r="GG39" s="393"/>
      <c r="GH39" s="393"/>
      <c r="GI39" s="393"/>
      <c r="GJ39" s="393"/>
      <c r="GK39" s="393"/>
      <c r="GL39" s="393"/>
      <c r="GM39" s="393"/>
      <c r="GN39" s="206"/>
      <c r="GO39" s="206"/>
      <c r="GP39" s="393"/>
      <c r="GQ39" s="393"/>
      <c r="GR39" s="393"/>
      <c r="GS39" s="393"/>
      <c r="GT39" s="393"/>
      <c r="GU39" s="393"/>
      <c r="GV39" s="393"/>
      <c r="GW39" s="393"/>
      <c r="GX39" s="393"/>
      <c r="GY39" s="393"/>
      <c r="GZ39" s="393"/>
      <c r="HA39" s="206"/>
      <c r="HB39" s="206"/>
      <c r="HC39" s="393"/>
      <c r="HD39" s="393"/>
      <c r="HE39" s="393"/>
      <c r="HF39" s="393"/>
      <c r="HG39" s="393"/>
      <c r="HH39" s="393"/>
      <c r="HI39" s="393"/>
      <c r="HJ39" s="393"/>
      <c r="HK39" s="393"/>
      <c r="HL39" s="393"/>
      <c r="HM39" s="393"/>
      <c r="HN39" s="206"/>
      <c r="HO39" s="206"/>
      <c r="HP39" s="393"/>
      <c r="HQ39" s="393"/>
      <c r="HR39" s="393"/>
      <c r="HS39" s="393"/>
      <c r="HT39" s="393"/>
      <c r="HU39" s="393"/>
      <c r="HV39" s="393"/>
      <c r="HW39" s="393"/>
      <c r="HX39" s="393"/>
      <c r="HY39" s="393"/>
      <c r="HZ39" s="393"/>
      <c r="IA39" s="206"/>
      <c r="IB39" s="206"/>
      <c r="IC39" s="393"/>
      <c r="ID39" s="393"/>
      <c r="IE39" s="393"/>
      <c r="IF39" s="393"/>
      <c r="IG39" s="393"/>
      <c r="IH39" s="393"/>
      <c r="II39" s="393"/>
      <c r="IJ39" s="393"/>
      <c r="IK39" s="393"/>
      <c r="IL39" s="393"/>
      <c r="IM39" s="393"/>
      <c r="IN39" s="206"/>
      <c r="IO39" s="206"/>
      <c r="IP39" s="393"/>
      <c r="IQ39" s="393"/>
      <c r="IR39" s="393"/>
      <c r="IS39" s="393"/>
      <c r="IT39" s="393"/>
      <c r="IU39" s="393"/>
      <c r="IV39" s="393"/>
    </row>
    <row r="40" spans="1:256" x14ac:dyDescent="0.2">
      <c r="A40" s="217"/>
      <c r="B40" s="218"/>
      <c r="C40" s="388"/>
      <c r="D40" s="388"/>
      <c r="E40" s="388"/>
      <c r="F40" s="388"/>
      <c r="G40" s="388"/>
      <c r="H40" s="388"/>
      <c r="I40" s="388"/>
      <c r="J40" s="388"/>
      <c r="K40" s="388"/>
      <c r="L40" s="388"/>
      <c r="M40" s="389"/>
      <c r="N40" s="210"/>
      <c r="O40" s="210"/>
      <c r="P40" s="394"/>
      <c r="Q40" s="394"/>
      <c r="R40" s="394"/>
      <c r="S40" s="394"/>
      <c r="T40" s="394"/>
      <c r="U40" s="394"/>
      <c r="V40" s="394"/>
      <c r="W40" s="394"/>
      <c r="X40" s="394"/>
      <c r="Y40" s="394"/>
      <c r="Z40" s="394"/>
      <c r="AA40" s="206"/>
      <c r="AB40" s="206"/>
      <c r="AC40" s="393"/>
      <c r="AD40" s="393"/>
      <c r="AE40" s="393"/>
      <c r="AF40" s="393"/>
      <c r="AG40" s="393"/>
      <c r="AH40" s="393"/>
      <c r="AI40" s="393"/>
      <c r="AJ40" s="393"/>
      <c r="AK40" s="393"/>
      <c r="AL40" s="393"/>
      <c r="AM40" s="393"/>
      <c r="AN40" s="206"/>
      <c r="AO40" s="206"/>
      <c r="AP40" s="393"/>
      <c r="AQ40" s="393"/>
      <c r="AR40" s="393"/>
      <c r="AS40" s="393"/>
      <c r="AT40" s="393"/>
      <c r="AU40" s="393"/>
      <c r="AV40" s="393"/>
      <c r="AW40" s="393"/>
      <c r="AX40" s="393"/>
      <c r="AY40" s="393"/>
      <c r="AZ40" s="393"/>
      <c r="BA40" s="206"/>
      <c r="BB40" s="206"/>
      <c r="BC40" s="393"/>
      <c r="BD40" s="393"/>
      <c r="BE40" s="393"/>
      <c r="BF40" s="393"/>
      <c r="BG40" s="393"/>
      <c r="BH40" s="393"/>
      <c r="BI40" s="393"/>
      <c r="BJ40" s="393"/>
      <c r="BK40" s="393"/>
      <c r="BL40" s="393"/>
      <c r="BM40" s="393"/>
      <c r="BN40" s="206"/>
      <c r="BO40" s="206"/>
      <c r="BP40" s="393"/>
      <c r="BQ40" s="393"/>
      <c r="BR40" s="393"/>
      <c r="BS40" s="393"/>
      <c r="BT40" s="393"/>
      <c r="BU40" s="393"/>
      <c r="BV40" s="393"/>
      <c r="BW40" s="393"/>
      <c r="BX40" s="393"/>
      <c r="BY40" s="393"/>
      <c r="BZ40" s="393"/>
      <c r="CA40" s="206"/>
      <c r="CB40" s="206"/>
      <c r="CC40" s="393"/>
      <c r="CD40" s="393"/>
      <c r="CE40" s="393"/>
      <c r="CF40" s="393"/>
      <c r="CG40" s="393"/>
      <c r="CH40" s="393"/>
      <c r="CI40" s="393"/>
      <c r="CJ40" s="393"/>
      <c r="CK40" s="393"/>
      <c r="CL40" s="393"/>
      <c r="CM40" s="393"/>
      <c r="CN40" s="206"/>
      <c r="CO40" s="206"/>
      <c r="CP40" s="393"/>
      <c r="CQ40" s="393"/>
      <c r="CR40" s="393"/>
      <c r="CS40" s="393"/>
      <c r="CT40" s="393"/>
      <c r="CU40" s="393"/>
      <c r="CV40" s="393"/>
      <c r="CW40" s="393"/>
      <c r="CX40" s="393"/>
      <c r="CY40" s="393"/>
      <c r="CZ40" s="393"/>
      <c r="DA40" s="206"/>
      <c r="DB40" s="206"/>
      <c r="DC40" s="393"/>
      <c r="DD40" s="393"/>
      <c r="DE40" s="393"/>
      <c r="DF40" s="393"/>
      <c r="DG40" s="393"/>
      <c r="DH40" s="393"/>
      <c r="DI40" s="393"/>
      <c r="DJ40" s="393"/>
      <c r="DK40" s="393"/>
      <c r="DL40" s="393"/>
      <c r="DM40" s="393"/>
      <c r="DN40" s="206"/>
      <c r="DO40" s="206"/>
      <c r="DP40" s="393"/>
      <c r="DQ40" s="393"/>
      <c r="DR40" s="393"/>
      <c r="DS40" s="393"/>
      <c r="DT40" s="393"/>
      <c r="DU40" s="393"/>
      <c r="DV40" s="393"/>
      <c r="DW40" s="393"/>
      <c r="DX40" s="393"/>
      <c r="DY40" s="393"/>
      <c r="DZ40" s="393"/>
      <c r="EA40" s="206"/>
      <c r="EB40" s="206"/>
      <c r="EC40" s="393"/>
      <c r="ED40" s="393"/>
      <c r="EE40" s="393"/>
      <c r="EF40" s="393"/>
      <c r="EG40" s="393"/>
      <c r="EH40" s="393"/>
      <c r="EI40" s="393"/>
      <c r="EJ40" s="393"/>
      <c r="EK40" s="393"/>
      <c r="EL40" s="393"/>
      <c r="EM40" s="393"/>
      <c r="EN40" s="206"/>
      <c r="EO40" s="206"/>
      <c r="EP40" s="393"/>
      <c r="EQ40" s="393"/>
      <c r="ER40" s="393"/>
      <c r="ES40" s="393"/>
      <c r="ET40" s="393"/>
      <c r="EU40" s="393"/>
      <c r="EV40" s="393"/>
      <c r="EW40" s="393"/>
      <c r="EX40" s="393"/>
      <c r="EY40" s="393"/>
      <c r="EZ40" s="393"/>
      <c r="FA40" s="206"/>
      <c r="FB40" s="206"/>
      <c r="FC40" s="393"/>
      <c r="FD40" s="393"/>
      <c r="FE40" s="393"/>
      <c r="FF40" s="393"/>
      <c r="FG40" s="393"/>
      <c r="FH40" s="393"/>
      <c r="FI40" s="393"/>
      <c r="FJ40" s="393"/>
      <c r="FK40" s="393"/>
      <c r="FL40" s="393"/>
      <c r="FM40" s="393"/>
      <c r="FN40" s="206"/>
      <c r="FO40" s="206"/>
      <c r="FP40" s="393"/>
      <c r="FQ40" s="393"/>
      <c r="FR40" s="393"/>
      <c r="FS40" s="393"/>
      <c r="FT40" s="393"/>
      <c r="FU40" s="393"/>
      <c r="FV40" s="393"/>
      <c r="FW40" s="393"/>
      <c r="FX40" s="393"/>
      <c r="FY40" s="393"/>
      <c r="FZ40" s="393"/>
      <c r="GA40" s="206"/>
      <c r="GB40" s="206"/>
      <c r="GC40" s="393"/>
      <c r="GD40" s="393"/>
      <c r="GE40" s="393"/>
      <c r="GF40" s="393"/>
      <c r="GG40" s="393"/>
      <c r="GH40" s="393"/>
      <c r="GI40" s="393"/>
      <c r="GJ40" s="393"/>
      <c r="GK40" s="393"/>
      <c r="GL40" s="393"/>
      <c r="GM40" s="393"/>
      <c r="GN40" s="206"/>
      <c r="GO40" s="206"/>
      <c r="GP40" s="393"/>
      <c r="GQ40" s="393"/>
      <c r="GR40" s="393"/>
      <c r="GS40" s="393"/>
      <c r="GT40" s="393"/>
      <c r="GU40" s="393"/>
      <c r="GV40" s="393"/>
      <c r="GW40" s="393"/>
      <c r="GX40" s="393"/>
      <c r="GY40" s="393"/>
      <c r="GZ40" s="393"/>
      <c r="HA40" s="206"/>
      <c r="HB40" s="206"/>
      <c r="HC40" s="393"/>
      <c r="HD40" s="393"/>
      <c r="HE40" s="393"/>
      <c r="HF40" s="393"/>
      <c r="HG40" s="393"/>
      <c r="HH40" s="393"/>
      <c r="HI40" s="393"/>
      <c r="HJ40" s="393"/>
      <c r="HK40" s="393"/>
      <c r="HL40" s="393"/>
      <c r="HM40" s="393"/>
      <c r="HN40" s="206"/>
      <c r="HO40" s="206"/>
      <c r="HP40" s="393"/>
      <c r="HQ40" s="393"/>
      <c r="HR40" s="393"/>
      <c r="HS40" s="393"/>
      <c r="HT40" s="393"/>
      <c r="HU40" s="393"/>
      <c r="HV40" s="393"/>
      <c r="HW40" s="393"/>
      <c r="HX40" s="393"/>
      <c r="HY40" s="393"/>
      <c r="HZ40" s="393"/>
      <c r="IA40" s="206"/>
      <c r="IB40" s="206"/>
      <c r="IC40" s="393"/>
      <c r="ID40" s="393"/>
      <c r="IE40" s="393"/>
      <c r="IF40" s="393"/>
      <c r="IG40" s="393"/>
      <c r="IH40" s="393"/>
      <c r="II40" s="393"/>
      <c r="IJ40" s="393"/>
      <c r="IK40" s="393"/>
      <c r="IL40" s="393"/>
      <c r="IM40" s="393"/>
      <c r="IN40" s="206"/>
      <c r="IO40" s="206"/>
      <c r="IP40" s="393"/>
      <c r="IQ40" s="393"/>
      <c r="IR40" s="393"/>
      <c r="IS40" s="393"/>
      <c r="IT40" s="393"/>
      <c r="IU40" s="393"/>
      <c r="IV40" s="393"/>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390"/>
      <c r="D70" s="390"/>
      <c r="E70" s="390"/>
      <c r="F70" s="390"/>
      <c r="G70" s="390"/>
      <c r="H70" s="390"/>
      <c r="I70" s="390"/>
      <c r="J70" s="390"/>
      <c r="K70" s="390"/>
      <c r="L70" s="390"/>
      <c r="M70" s="391"/>
    </row>
    <row r="71" spans="1:13" ht="12" thickTop="1" x14ac:dyDescent="0.2">
      <c r="A71" s="207"/>
      <c r="B71" s="207"/>
      <c r="C71" s="208"/>
      <c r="D71" s="208"/>
      <c r="E71" s="208"/>
      <c r="F71" s="208"/>
      <c r="G71" s="208"/>
      <c r="H71" s="208"/>
      <c r="I71" s="208"/>
      <c r="J71" s="208"/>
      <c r="K71" s="208"/>
      <c r="L71" s="208"/>
    </row>
    <row r="72" spans="1:13" ht="12.75" x14ac:dyDescent="0.2">
      <c r="A72" s="392" t="s">
        <v>832</v>
      </c>
      <c r="B72" s="392"/>
      <c r="C72" s="392"/>
      <c r="D72" s="392"/>
      <c r="E72" s="392"/>
      <c r="F72" s="126"/>
      <c r="G72" s="126"/>
      <c r="H72" s="126"/>
      <c r="I72" s="126"/>
      <c r="J72" s="126"/>
      <c r="K72" s="126"/>
      <c r="L72" s="126"/>
      <c r="M72" s="126"/>
    </row>
    <row r="73" spans="1:13" x14ac:dyDescent="0.2">
      <c r="A73" s="209" t="s">
        <v>764</v>
      </c>
      <c r="B73" s="209" t="s">
        <v>765</v>
      </c>
      <c r="C73" s="387"/>
      <c r="D73" s="387"/>
      <c r="E73" s="387"/>
      <c r="F73" s="387"/>
      <c r="G73" s="387"/>
      <c r="H73" s="387"/>
      <c r="I73" s="387"/>
      <c r="J73" s="387"/>
      <c r="K73" s="387"/>
      <c r="L73" s="387"/>
      <c r="M73" s="387"/>
    </row>
    <row r="74" spans="1:13" x14ac:dyDescent="0.2">
      <c r="A74" s="210"/>
      <c r="B74" s="210"/>
      <c r="C74" s="387"/>
      <c r="D74" s="387"/>
      <c r="E74" s="387"/>
      <c r="F74" s="387"/>
      <c r="G74" s="387"/>
      <c r="H74" s="387"/>
      <c r="I74" s="387"/>
      <c r="J74" s="387"/>
      <c r="K74" s="387"/>
      <c r="L74" s="387"/>
      <c r="M74" s="387"/>
    </row>
    <row r="75" spans="1:13" x14ac:dyDescent="0.2">
      <c r="A75" s="210"/>
      <c r="B75" s="210"/>
      <c r="C75" s="387"/>
      <c r="D75" s="387"/>
      <c r="E75" s="387"/>
      <c r="F75" s="387"/>
      <c r="G75" s="387"/>
      <c r="H75" s="387"/>
      <c r="I75" s="387"/>
      <c r="J75" s="387"/>
      <c r="K75" s="387"/>
      <c r="L75" s="387"/>
      <c r="M75" s="387"/>
    </row>
    <row r="76" spans="1:13" x14ac:dyDescent="0.2">
      <c r="A76" s="210"/>
      <c r="B76" s="210"/>
      <c r="C76" s="387"/>
      <c r="D76" s="387"/>
      <c r="E76" s="387"/>
      <c r="F76" s="387"/>
      <c r="G76" s="387"/>
      <c r="H76" s="387"/>
      <c r="I76" s="387"/>
      <c r="J76" s="387"/>
      <c r="K76" s="387"/>
      <c r="L76" s="387"/>
      <c r="M76" s="387"/>
    </row>
    <row r="77" spans="1:13" x14ac:dyDescent="0.2">
      <c r="A77" s="210"/>
      <c r="B77" s="210"/>
      <c r="C77" s="387"/>
      <c r="D77" s="387"/>
      <c r="E77" s="387"/>
      <c r="F77" s="387"/>
      <c r="G77" s="387"/>
      <c r="H77" s="387"/>
      <c r="I77" s="387"/>
      <c r="J77" s="387"/>
      <c r="K77" s="387"/>
      <c r="L77" s="387"/>
      <c r="M77" s="387"/>
    </row>
    <row r="78" spans="1:13" x14ac:dyDescent="0.2">
      <c r="A78" s="210"/>
      <c r="B78" s="210"/>
      <c r="C78" s="387"/>
      <c r="D78" s="387"/>
      <c r="E78" s="387"/>
      <c r="F78" s="387"/>
      <c r="G78" s="387"/>
      <c r="H78" s="387"/>
      <c r="I78" s="387"/>
      <c r="J78" s="387"/>
      <c r="K78" s="387"/>
      <c r="L78" s="387"/>
      <c r="M78" s="387"/>
    </row>
    <row r="79" spans="1:13" x14ac:dyDescent="0.2">
      <c r="A79" s="210"/>
      <c r="B79" s="210"/>
      <c r="C79" s="387"/>
      <c r="D79" s="387"/>
      <c r="E79" s="387"/>
      <c r="F79" s="387"/>
      <c r="G79" s="387"/>
      <c r="H79" s="387"/>
      <c r="I79" s="387"/>
      <c r="J79" s="387"/>
      <c r="K79" s="387"/>
      <c r="L79" s="387"/>
      <c r="M79" s="387"/>
    </row>
    <row r="80" spans="1:13" x14ac:dyDescent="0.2">
      <c r="A80" s="210"/>
      <c r="B80" s="210"/>
      <c r="C80" s="387"/>
      <c r="D80" s="387"/>
      <c r="E80" s="387"/>
      <c r="F80" s="387"/>
      <c r="G80" s="387"/>
      <c r="H80" s="387"/>
      <c r="I80" s="387"/>
      <c r="J80" s="387"/>
      <c r="K80" s="387"/>
      <c r="L80" s="387"/>
      <c r="M80" s="387"/>
    </row>
    <row r="81" spans="1:13" x14ac:dyDescent="0.2">
      <c r="A81" s="210"/>
      <c r="B81" s="210"/>
      <c r="C81" s="387"/>
      <c r="D81" s="387"/>
      <c r="E81" s="387"/>
      <c r="F81" s="387"/>
      <c r="G81" s="387"/>
      <c r="H81" s="387"/>
      <c r="I81" s="387"/>
      <c r="J81" s="387"/>
      <c r="K81" s="387"/>
      <c r="L81" s="387"/>
      <c r="M81" s="387"/>
    </row>
    <row r="82" spans="1:13" x14ac:dyDescent="0.2">
      <c r="A82" s="210"/>
      <c r="B82" s="210"/>
      <c r="C82" s="387"/>
      <c r="D82" s="387"/>
      <c r="E82" s="387"/>
      <c r="F82" s="387"/>
      <c r="G82" s="387"/>
      <c r="H82" s="387"/>
      <c r="I82" s="387"/>
      <c r="J82" s="387"/>
      <c r="K82" s="387"/>
      <c r="L82" s="387"/>
      <c r="M82" s="387"/>
    </row>
    <row r="83" spans="1:13" x14ac:dyDescent="0.2">
      <c r="A83" s="210"/>
      <c r="B83" s="210"/>
      <c r="C83" s="387"/>
      <c r="D83" s="387"/>
      <c r="E83" s="387"/>
      <c r="F83" s="387"/>
      <c r="G83" s="387"/>
      <c r="H83" s="387"/>
      <c r="I83" s="387"/>
      <c r="J83" s="387"/>
      <c r="K83" s="387"/>
      <c r="L83" s="387"/>
      <c r="M83" s="387"/>
    </row>
    <row r="84" spans="1:13" x14ac:dyDescent="0.2">
      <c r="A84" s="210"/>
      <c r="B84" s="210"/>
      <c r="C84" s="387"/>
      <c r="D84" s="387"/>
      <c r="E84" s="387"/>
      <c r="F84" s="387"/>
      <c r="G84" s="387"/>
      <c r="H84" s="387"/>
      <c r="I84" s="387"/>
      <c r="J84" s="387"/>
      <c r="K84" s="387"/>
      <c r="L84" s="387"/>
      <c r="M84" s="387"/>
    </row>
    <row r="85" spans="1:13" x14ac:dyDescent="0.2">
      <c r="A85" s="210"/>
      <c r="B85" s="210"/>
      <c r="C85" s="387"/>
      <c r="D85" s="387"/>
      <c r="E85" s="387"/>
      <c r="F85" s="387"/>
      <c r="G85" s="387"/>
      <c r="H85" s="387"/>
      <c r="I85" s="387"/>
      <c r="J85" s="387"/>
      <c r="K85" s="387"/>
      <c r="L85" s="387"/>
      <c r="M85" s="387"/>
    </row>
    <row r="86" spans="1:13" x14ac:dyDescent="0.2">
      <c r="A86" s="210"/>
      <c r="B86" s="210"/>
      <c r="C86" s="387"/>
      <c r="D86" s="387"/>
      <c r="E86" s="387"/>
      <c r="F86" s="387"/>
      <c r="G86" s="387"/>
      <c r="H86" s="387"/>
      <c r="I86" s="387"/>
      <c r="J86" s="387"/>
      <c r="K86" s="387"/>
      <c r="L86" s="387"/>
      <c r="M86" s="387"/>
    </row>
    <row r="87" spans="1:13" x14ac:dyDescent="0.2">
      <c r="A87" s="210"/>
      <c r="B87" s="210"/>
      <c r="C87" s="387"/>
      <c r="D87" s="387"/>
      <c r="E87" s="387"/>
      <c r="F87" s="387"/>
      <c r="G87" s="387"/>
      <c r="H87" s="387"/>
      <c r="I87" s="387"/>
      <c r="J87" s="387"/>
      <c r="K87" s="387"/>
      <c r="L87" s="387"/>
      <c r="M87" s="387"/>
    </row>
    <row r="88" spans="1:13" x14ac:dyDescent="0.2">
      <c r="A88" s="210"/>
      <c r="B88" s="210"/>
      <c r="C88" s="387"/>
      <c r="D88" s="387"/>
      <c r="E88" s="387"/>
      <c r="F88" s="387"/>
      <c r="G88" s="387"/>
      <c r="H88" s="387"/>
      <c r="I88" s="387"/>
      <c r="J88" s="387"/>
      <c r="K88" s="387"/>
      <c r="L88" s="387"/>
      <c r="M88" s="387"/>
    </row>
    <row r="89" spans="1:13" x14ac:dyDescent="0.2">
      <c r="A89" s="210"/>
      <c r="B89" s="210"/>
      <c r="C89" s="387"/>
      <c r="D89" s="387"/>
      <c r="E89" s="387"/>
      <c r="F89" s="387"/>
      <c r="G89" s="387"/>
      <c r="H89" s="387"/>
      <c r="I89" s="387"/>
      <c r="J89" s="387"/>
      <c r="K89" s="387"/>
      <c r="L89" s="387"/>
      <c r="M89" s="387"/>
    </row>
    <row r="90" spans="1:13" x14ac:dyDescent="0.2">
      <c r="A90" s="210"/>
      <c r="B90" s="210"/>
      <c r="C90" s="387"/>
      <c r="D90" s="387"/>
      <c r="E90" s="387"/>
      <c r="F90" s="387"/>
      <c r="G90" s="387"/>
      <c r="H90" s="387"/>
      <c r="I90" s="387"/>
      <c r="J90" s="387"/>
      <c r="K90" s="387"/>
      <c r="L90" s="387"/>
      <c r="M90" s="387"/>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213</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64</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214</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f>IF('School Level Expenditures'!$B$2='School Tables'!W67,'School Tables'!AD67,"")</f>
        <v>64</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f>IF('School Level Expenditures'!$B$2=A216,'School Tables'!H216,"")</f>
        <v>213</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f>IF('School Level Expenditures'!$B$2=A217,'School Tables'!H217,"")</f>
        <v>214</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2022-08-15T16:59:43Z</cp:lastPrinted>
  <dcterms:created xsi:type="dcterms:W3CDTF">1997-12-04T19:04:30Z</dcterms:created>
  <dcterms:modified xsi:type="dcterms:W3CDTF">2022-12-19T19:22:31Z</dcterms:modified>
</cp:coreProperties>
</file>