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42C3861F-842D-49F4-98CA-A04769D61DE9}"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4" l="1"/>
  <c r="E6" i="14"/>
  <c r="E7" i="14"/>
  <c r="D7" i="14"/>
  <c r="D38" i="14" l="1"/>
  <c r="J469" i="1"/>
  <c r="I208" i="1" l="1"/>
  <c r="H605" i="1" l="1"/>
  <c r="H596" i="1"/>
  <c r="H595" i="1"/>
  <c r="H593" i="1"/>
  <c r="H592" i="1"/>
  <c r="I612" i="1"/>
  <c r="G612" i="1"/>
  <c r="F612" i="1"/>
  <c r="J359" i="1"/>
  <c r="I359" i="1"/>
  <c r="H359" i="1"/>
  <c r="F369" i="1"/>
  <c r="I522" i="1"/>
  <c r="H522" i="1"/>
  <c r="G522" i="1"/>
  <c r="F522" i="1"/>
  <c r="H527" i="1"/>
  <c r="G527" i="1"/>
  <c r="F527" i="1"/>
  <c r="K532" i="1"/>
  <c r="H532" i="1"/>
  <c r="G532" i="1"/>
  <c r="F532" i="1"/>
  <c r="H542" i="1"/>
  <c r="F287" i="1"/>
  <c r="H288" i="1"/>
  <c r="G287" i="1"/>
  <c r="H283" i="1"/>
  <c r="G283" i="1"/>
  <c r="F283" i="1"/>
  <c r="I282" i="1"/>
  <c r="G282" i="1"/>
  <c r="F282" i="1"/>
  <c r="J277" i="1"/>
  <c r="I280" i="1"/>
  <c r="G280" i="1"/>
  <c r="F280" i="1"/>
  <c r="K203" i="1"/>
  <c r="H209" i="1" l="1"/>
  <c r="H208" i="1"/>
  <c r="G208" i="1"/>
  <c r="F208" i="1"/>
  <c r="K206" i="1"/>
  <c r="I206" i="1"/>
  <c r="H206" i="1"/>
  <c r="G206" i="1"/>
  <c r="F206" i="1"/>
  <c r="K205" i="1"/>
  <c r="I205" i="1"/>
  <c r="H205" i="1"/>
  <c r="G205" i="1"/>
  <c r="F205" i="1"/>
  <c r="I204" i="1"/>
  <c r="G204" i="1"/>
  <c r="F204" i="1"/>
  <c r="G203" i="1"/>
  <c r="I203" i="1"/>
  <c r="J203" i="1"/>
  <c r="H203" i="1"/>
  <c r="F203" i="1"/>
  <c r="I201" i="1"/>
  <c r="H201" i="1"/>
  <c r="G201" i="1"/>
  <c r="F201" i="1"/>
  <c r="I199" i="1"/>
  <c r="H199" i="1"/>
  <c r="G199" i="1"/>
  <c r="F199" i="1"/>
  <c r="J198" i="1"/>
  <c r="I198" i="1"/>
  <c r="H198" i="1"/>
  <c r="G198" i="1"/>
  <c r="F198" i="1"/>
  <c r="B39" i="12" l="1"/>
  <c r="B38" i="12"/>
  <c r="C39" i="12"/>
  <c r="C38" i="12"/>
  <c r="C21" i="12"/>
  <c r="C20" i="12"/>
  <c r="C19" i="12"/>
  <c r="B21" i="12"/>
  <c r="B20" i="12"/>
  <c r="B19" i="12"/>
  <c r="C12" i="12"/>
  <c r="C10" i="12"/>
  <c r="B12" i="12"/>
  <c r="B10" i="12"/>
  <c r="C11" i="12"/>
  <c r="B11" i="12"/>
  <c r="J426" i="1" l="1"/>
  <c r="G473" i="1" l="1"/>
  <c r="G469" i="1"/>
  <c r="J361" i="1"/>
  <c r="I361" i="1"/>
  <c r="H361" i="1"/>
  <c r="J473" i="1" l="1"/>
  <c r="F12" i="1" l="1"/>
  <c r="H321" i="1" l="1"/>
  <c r="E13" i="17" l="1"/>
  <c r="E9" i="17"/>
  <c r="H245" i="1"/>
  <c r="H244" i="1"/>
  <c r="K242" i="1"/>
  <c r="I242" i="1"/>
  <c r="H242" i="1"/>
  <c r="G242" i="1"/>
  <c r="F242" i="1"/>
  <c r="H164" i="1"/>
  <c r="H161" i="1" l="1"/>
  <c r="H159" i="1"/>
  <c r="H157" i="1"/>
  <c r="H155" i="1"/>
  <c r="H162" i="1"/>
  <c r="G158" i="1"/>
  <c r="F96" i="1" l="1"/>
  <c r="G22" i="1"/>
  <c r="H22" i="1"/>
  <c r="F30"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H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19" i="2"/>
  <c r="E120" i="2"/>
  <c r="E124" i="2"/>
  <c r="C125"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C12" i="10" l="1"/>
  <c r="D144" i="2"/>
  <c r="H102" i="2"/>
  <c r="H101" i="2"/>
  <c r="H100" i="2"/>
  <c r="H99" i="2"/>
  <c r="H98" i="2"/>
  <c r="H97" i="2"/>
  <c r="H89" i="2"/>
  <c r="H79" i="2"/>
  <c r="H76" i="2"/>
  <c r="H73" i="2"/>
  <c r="H58" i="2"/>
  <c r="H23" i="2"/>
  <c r="H21" i="2"/>
  <c r="H15" i="2"/>
  <c r="H11" i="2"/>
  <c r="H135" i="2"/>
  <c r="H132" i="2"/>
  <c r="C110" i="2"/>
  <c r="H36" i="2"/>
  <c r="H38" i="2"/>
  <c r="H43" i="2"/>
  <c r="H44" i="2"/>
  <c r="H47" i="2"/>
  <c r="H48" i="2"/>
  <c r="H85" i="2"/>
  <c r="H69" i="2"/>
  <c r="H12" i="2"/>
  <c r="H125" i="2"/>
  <c r="H93" i="2"/>
  <c r="H87" i="2"/>
  <c r="H80" i="2"/>
  <c r="H26" i="2"/>
  <c r="H22" i="2"/>
  <c r="H143" i="2"/>
  <c r="H17" i="2"/>
  <c r="F409" i="1"/>
  <c r="H644" i="1" s="1"/>
  <c r="H96" i="2"/>
  <c r="H59" i="2"/>
  <c r="H35" i="2"/>
  <c r="H34" i="2"/>
  <c r="H9" i="2"/>
  <c r="H30" i="2"/>
  <c r="C120" i="2"/>
  <c r="G662" i="1"/>
  <c r="H8" i="2"/>
  <c r="G646" i="1"/>
  <c r="J646" i="1" s="1"/>
  <c r="J652" i="1"/>
  <c r="H477" i="1"/>
  <c r="H625" i="1" s="1"/>
  <c r="G477" i="1"/>
  <c r="E121" i="2"/>
  <c r="H120" i="2"/>
  <c r="E112" i="2"/>
  <c r="D15" i="13"/>
  <c r="C15" i="13" s="1"/>
  <c r="C121" i="2"/>
  <c r="H121" i="2" s="1"/>
  <c r="D6" i="13"/>
  <c r="C6" i="13" s="1"/>
  <c r="C112" i="2"/>
  <c r="A40" i="12"/>
  <c r="C13" i="10"/>
  <c r="D78" i="2"/>
  <c r="H77" i="2"/>
  <c r="H61" i="2"/>
  <c r="H13"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78" i="2" l="1"/>
  <c r="H57" i="2"/>
  <c r="H134" i="2"/>
  <c r="H16" i="2"/>
  <c r="H109" i="2"/>
  <c r="H112" i="2"/>
  <c r="H103" i="2"/>
  <c r="G50" i="2"/>
  <c r="G51" i="2" s="1"/>
  <c r="H42" i="2"/>
  <c r="H118" i="2"/>
  <c r="D128" i="2"/>
  <c r="D145" i="2" s="1"/>
  <c r="H127" i="2"/>
  <c r="H123" i="2"/>
  <c r="E128" i="2"/>
  <c r="H114" i="2"/>
  <c r="E115" i="2"/>
  <c r="G24" i="14"/>
  <c r="H24" i="14" s="1"/>
  <c r="I24" i="14" s="1"/>
  <c r="F661" i="1"/>
  <c r="F665" i="1" s="1"/>
  <c r="F668" i="1" s="1"/>
  <c r="I663" i="1"/>
  <c r="H91" i="2"/>
  <c r="H62" i="2"/>
  <c r="F194" i="1"/>
  <c r="G628" i="1" s="1"/>
  <c r="J628" i="1" s="1"/>
  <c r="C81" i="2"/>
  <c r="H81" i="2" s="1"/>
  <c r="H3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0" i="2" l="1"/>
  <c r="H51" i="2"/>
  <c r="H115" i="2"/>
  <c r="E145" i="2"/>
  <c r="H128" i="2"/>
  <c r="C144" i="2"/>
  <c r="H144"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<sst xmlns="http://schemas.openxmlformats.org/spreadsheetml/2006/main" count="6531" uniqueCount="1803">
  <si>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</si>
  <si>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</si>
  <si>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</si>
  <si>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</si>
  <si>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</si>
  <si>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</si>
  <si>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</si>
  <si>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</si>
  <si>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</si>
  <si>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</si>
  <si>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</si>
  <si>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</si>
  <si>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</si>
  <si>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</si>
  <si>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</si>
  <si>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</si>
  <si>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</si>
  <si>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</si>
  <si>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</si>
  <si>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</si>
  <si>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</si>
  <si>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</si>
  <si>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</si>
  <si>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</si>
  <si>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</si>
  <si>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</si>
  <si>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</si>
  <si>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</si>
  <si>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</si>
  <si>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</si>
  <si>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</si>
  <si>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</si>
  <si>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</si>
  <si>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</si>
  <si>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</si>
  <si>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</si>
  <si>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</si>
  <si>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</si>
  <si>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</si>
  <si>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</si>
  <si>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</si>
  <si>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</si>
  <si>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</si>
  <si>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</si>
  <si>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</si>
  <si>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</si>
  <si>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</si>
  <si>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</si>
  <si>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</si>
  <si>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</si>
  <si>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</si>
  <si>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</si>
  <si>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</si>
  <si>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</si>
  <si>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</si>
  <si>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</si>
  <si>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</si>
  <si>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</si>
  <si>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</si>
  <si>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</si>
  <si>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</si>
  <si>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</si>
  <si>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</si>
  <si>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</si>
  <si>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</si>
  <si>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</si>
  <si>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</si>
  <si>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</si>
  <si>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</si>
  <si>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</si>
  <si>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</si>
  <si>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</si>
  <si>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</si>
  <si>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</si>
  <si>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</si>
  <si>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</si>
  <si>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</si>
  <si>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</si>
  <si>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</si>
  <si>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</si>
  <si>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</si>
  <si>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</si>
  <si>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</si>
  <si>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</si>
  <si>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</si>
  <si>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</si>
  <si>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</si>
  <si>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</si>
  <si>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</si>
  <si>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</si>
  <si>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</si>
  <si>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</si>
  <si>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</si>
  <si>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</si>
  <si>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</si>
  <si>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</si>
  <si>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</si>
  <si>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</si>
  <si>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</si>
  <si>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</si>
  <si>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</si>
  <si>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</si>
  <si>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</si>
  <si>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</si>
  <si>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</si>
  <si>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</si>
  <si>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</si>
  <si>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</si>
  <si>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</si>
  <si>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</si>
  <si>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</si>
  <si>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</si>
  <si>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</si>
  <si>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</si>
  <si>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</si>
  <si>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</si>
  <si>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</si>
  <si>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</si>
  <si>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</si>
  <si>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</si>
  <si>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</si>
  <si>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</si>
  <si>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</si>
  <si>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</si>
  <si>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</si>
  <si>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</si>
  <si>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</si>
  <si>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</si>
  <si>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</si>
  <si>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</si>
  <si>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</si>
  <si>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</si>
  <si>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</si>
  <si>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</si>
  <si>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</si>
  <si>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</si>
  <si>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</si>
  <si>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</si>
  <si>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</si>
  <si>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</si>
  <si>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</si>
  <si>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</si>
  <si>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</si>
  <si>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</si>
  <si>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</si>
  <si>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</si>
  <si>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</si>
  <si>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</si>
  <si>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</si>
  <si>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</si>
  <si>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</si>
  <si>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</si>
  <si>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</si>
  <si>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</si>
  <si>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</si>
  <si>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</si>
  <si>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</si>
  <si>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</si>
  <si>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</si>
  <si>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</si>
  <si>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</si>
  <si>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</si>
  <si>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</si>
  <si>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</si>
  <si>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</si>
  <si>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</si>
  <si>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</si>
  <si>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</si>
  <si>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</si>
  <si>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</si>
  <si>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</si>
  <si>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</si>
  <si>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</si>
  <si>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</si>
  <si>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</si>
  <si>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</si>
  <si>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</si>
  <si>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</si>
  <si>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</si>
  <si>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</si>
  <si>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</si>
  <si>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</si>
  <si>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</si>
  <si>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</si>
  <si>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</si>
  <si>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</si>
  <si>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</si>
  <si>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</si>
  <si>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</si>
  <si>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</si>
  <si>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</si>
  <si>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</si>
  <si>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</si>
  <si>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</si>
  <si>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</si>
  <si>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</si>
  <si>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</si>
  <si>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</si>
  <si>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</si>
  <si>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</si>
  <si>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</si>
  <si>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</si>
  <si>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</si>
  <si>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</si>
  <si>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</si>
  <si>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</si>
  <si>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</si>
  <si>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</si>
  <si>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</si>
  <si>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</si>
  <si>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</si>
  <si>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</si>
  <si>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</si>
  <si>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</si>
  <si>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</si>
  <si>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</si>
  <si>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</si>
  <si>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</si>
  <si>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</si>
  <si>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</si>
  <si>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</si>
  <si>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</si>
  <si>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</si>
  <si>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</si>
  <si>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</si>
  <si>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</si>
  <si>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</si>
  <si>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</si>
  <si>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</si>
  <si>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</si>
  <si>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</si>
  <si>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</si>
  <si>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</si>
  <si>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</si>
  <si>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</si>
  <si>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</si>
  <si>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</si>
  <si>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</si>
  <si>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</si>
  <si>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</si>
  <si>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</si>
  <si>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</si>
  <si>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</si>
  <si>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</si>
  <si>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</si>
  <si>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</si>
  <si>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</si>
  <si>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</si>
  <si>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</si>
  <si>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</si>
  <si>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</si>
  <si>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</si>
  <si>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</si>
  <si>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</si>
  <si>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</si>
  <si>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</si>
  <si>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</si>
  <si>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</si>
  <si>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</si>
  <si>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</si>
  <si>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</si>
  <si>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</si>
  <si>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</si>
  <si>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</si>
  <si>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</si>
  <si>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</si>
  <si>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</si>
  <si>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</si>
  <si>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</si>
  <si>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</si>
  <si>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</si>
  <si>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</si>
  <si>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</si>
  <si>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</si>
  <si>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</si>
  <si>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</si>
  <si>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</si>
  <si>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</si>
  <si>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</si>
  <si>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</si>
  <si>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</si>
  <si>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</si>
  <si>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</si>
  <si>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</si>
  <si>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</si>
  <si>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</si>
  <si>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</si>
  <si>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</si>
  <si>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</si>
  <si>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</si>
  <si>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</si>
  <si>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</si>
  <si>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</si>
  <si>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</si>
  <si>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</si>
  <si>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</si>
  <si>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</si>
  <si>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</si>
  <si>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</si>
  <si>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</si>
  <si>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</si>
  <si>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</si>
  <si>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</si>
  <si>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</si>
  <si>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</si>
  <si>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</si>
  <si>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</si>
  <si>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</si>
  <si>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</si>
  <si>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</si>
  <si>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</si>
  <si>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</si>
  <si>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</si>
  <si>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</si>
  <si>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</si>
  <si>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</si>
  <si>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</si>
  <si>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</si>
  <si>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</si>
  <si>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</si>
  <si>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</si>
  <si>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</si>
  <si>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</si>
  <si>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</si>
  <si>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</si>
  <si>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</si>
  <si>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</si>
  <si>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</si>
  <si>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</si>
  <si>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</si>
  <si>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</si>
  <si>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</si>
  <si>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</si>
  <si>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</si>
  <si>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</si>
  <si>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</si>
  <si>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</si>
  <si>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</si>
  <si>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</si>
  <si>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</si>
  <si>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</si>
  <si>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</si>
  <si>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</si>
  <si>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</si>
  <si>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</si>
  <si>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</si>
  <si>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</si>
  <si>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</si>
  <si>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</si>
  <si>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</si>
  <si>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</si>
  <si>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</si>
  <si>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</si>
  <si>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</si>
  <si>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</si>
  <si>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</si>
  <si>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</si>
  <si>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</si>
  <si>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</si>
  <si>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</si>
  <si>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</si>
  <si>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</si>
  <si>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</si>
  <si>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</si>
  <si>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</si>
  <si>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</si>
  <si>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</si>
  <si>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</si>
  <si>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</si>
  <si>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</si>
  <si>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</si>
  <si>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</si>
  <si>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</si>
  <si>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</si>
  <si>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</si>
  <si>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</si>
  <si>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</si>
  <si>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</si>
  <si>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</si>
  <si>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</si>
  <si>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</si>
  <si>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</si>
  <si>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</si>
  <si>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</si>
  <si>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</si>
  <si>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</si>
  <si>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</si>
  <si>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</si>
  <si>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</si>
  <si>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</si>
  <si>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</si>
  <si>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</si>
  <si>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</si>
  <si>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</si>
  <si>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</si>
  <si>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</si>
  <si>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</si>
  <si>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</si>
  <si>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</si>
  <si>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</si>
  <si>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</si>
  <si>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</si>
  <si>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</si>
  <si>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</si>
  <si>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</si>
  <si>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</si>
  <si>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</si>
  <si>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</si>
  <si>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</si>
  <si>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</si>
  <si>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</si>
  <si>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</si>
  <si>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</si>
  <si>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</si>
  <si>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</si>
  <si>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</si>
  <si>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</si>
  <si>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</si>
  <si>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</si>
  <si>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</si>
  <si>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</si>
  <si>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</si>
  <si>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</si>
  <si>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</si>
  <si>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</si>
  <si>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</si>
  <si>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</si>
  <si>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</si>
  <si>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</si>
  <si>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</si>
  <si>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</si>
  <si>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</si>
  <si>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</si>
  <si>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</si>
  <si>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</si>
  <si>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</si>
  <si>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</si>
  <si>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</si>
  <si>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</si>
  <si>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</si>
  <si>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</si>
  <si>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</si>
  <si>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</si>
  <si>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</si>
  <si>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</si>
  <si>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</si>
  <si>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</si>
  <si>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</si>
  <si>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</si>
  <si>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</si>
  <si>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</si>
  <si>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</si>
  <si>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</si>
  <si>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</si>
  <si>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</si>
  <si>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</si>
  <si>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</si>
  <si>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</si>
  <si>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</si>
  <si>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</si>
  <si>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</si>
  <si>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</si>
  <si>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</si>
  <si>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</si>
  <si>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</si>
  <si>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</si>
  <si>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</si>
  <si>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</si>
  <si>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</si>
  <si>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</si>
  <si>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</si>
  <si>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</si>
  <si>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</si>
  <si>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</si>
  <si>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</si>
  <si>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</si>
  <si>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</si>
  <si>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</si>
  <si>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</si>
  <si>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</si>
  <si>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</si>
  <si>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</si>
  <si>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</si>
  <si>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</si>
  <si>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</si>
  <si>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</si>
  <si>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</si>
  <si>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</si>
  <si>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</si>
  <si>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</si>
  <si>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</si>
  <si>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</si>
  <si>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</si>
  <si>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</si>
  <si>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</si>
  <si>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</si>
  <si>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</si>
  <si>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</si>
  <si>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</si>
  <si>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</si>
  <si>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</si>
  <si>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</si>
  <si>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</si>
  <si>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</si>
  <si>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</si>
  <si>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</si>
  <si>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</si>
  <si>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</si>
  <si>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</si>
  <si>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</si>
  <si>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</si>
  <si>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</si>
  <si>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</si>
  <si>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</si>
  <si>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</si>
  <si>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</si>
  <si>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</si>
  <si>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</si>
  <si>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</si>
  <si>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</si>
  <si>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</si>
  <si>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</si>
  <si>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</si>
  <si>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</si>
  <si>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</si>
  <si>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</si>
  <si>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</si>
  <si>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</si>
  <si>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</si>
  <si>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</si>
  <si>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</si>
  <si>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</si>
  <si>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</si>
  <si>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</si>
  <si>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</si>
  <si>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</si>
  <si>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</si>
  <si>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</si>
  <si>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</si>
  <si>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</si>
  <si>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</si>
  <si>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</si>
  <si>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</si>
  <si>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</si>
  <si>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</si>
  <si>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</si>
  <si>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</si>
  <si>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</si>
  <si>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</si>
  <si>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</si>
  <si>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</si>
  <si>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</si>
  <si>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</si>
  <si>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</si>
  <si>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</si>
  <si>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</si>
  <si>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</si>
  <si>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</si>
  <si>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</si>
  <si>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</si>
  <si>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</si>
  <si>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</si>
  <si>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</si>
  <si>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</si>
  <si>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</si>
  <si>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</si>
  <si>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</si>
  <si>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</si>
  <si>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</si>
  <si>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</si>
  <si>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</si>
  <si>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</si>
  <si>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</si>
  <si>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</si>
  <si>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</si>
  <si>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</si>
  <si>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</si>
  <si>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</si>
  <si>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</si>
  <si>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</si>
  <si>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</si>
  <si>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</si>
  <si>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</si>
  <si>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</si>
  <si>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</si>
  <si>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</si>
  <si>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</si>
  <si>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</si>
  <si>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</si>
  <si>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</si>
  <si>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</si>
  <si>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</si>
  <si>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</si>
  <si>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</si>
  <si>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</si>
  <si>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</si>
  <si>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</si>
  <si>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</si>
  <si>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</si>
  <si>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</si>
  <si>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</si>
  <si>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</si>
  <si>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</si>
  <si>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</si>
  <si>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</si>
  <si>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</si>
  <si>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</si>
  <si>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</si>
  <si>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</si>
  <si>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</si>
  <si>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</si>
  <si>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</si>
  <si>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</si>
  <si>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</si>
  <si>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</si>
  <si>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</si>
  <si>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</si>
  <si>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</si>
  <si>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</si>
  <si>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</si>
  <si>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</si>
  <si>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</si>
  <si>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</si>
  <si>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</si>
  <si>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</si>
  <si>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</si>
  <si>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</si>
  <si>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</si>
  <si>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</si>
  <si>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</si>
  <si>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</si>
  <si>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</si>
  <si>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</si>
  <si>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</si>
  <si>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</si>
  <si>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</si>
  <si>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</si>
  <si>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</si>
  <si>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</si>
  <si>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</si>
  <si>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</si>
  <si>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</si>
  <si>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</si>
  <si>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</si>
  <si>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</si>
  <si>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</si>
  <si>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</si>
  <si>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</si>
  <si>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</si>
  <si>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</si>
  <si>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</si>
  <si>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</si>
  <si>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</si>
  <si>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</si>
  <si>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</si>
  <si>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</si>
  <si>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</si>
  <si>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</si>
  <si>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</si>
  <si>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</si>
  <si>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</si>
  <si>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</si>
  <si>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</si>
  <si>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</si>
  <si>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</si>
  <si>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</si>
  <si>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</si>
  <si>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</si>
  <si>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</si>
  <si>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</si>
  <si>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</si>
  <si>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</si>
  <si>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</si>
  <si>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</si>
  <si>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</si>
  <si>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</si>
  <si>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</si>
  <si>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</si>
  <si>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</si>
  <si>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</si>
  <si>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</si>
  <si>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</si>
  <si>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</si>
  <si>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</si>
  <si>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</si>
  <si>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</si>
  <si>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</si>
  <si>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</si>
  <si>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</si>
  <si>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</si>
  <si>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</si>
  <si>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</si>
  <si>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</si>
  <si>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</si>
  <si>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</si>
  <si>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</si>
  <si>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</si>
  <si>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</si>
  <si>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</si>
  <si>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</si>
  <si>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</si>
  <si>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</si>
  <si>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</si>
  <si>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</si>
  <si>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</si>
  <si>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</si>
  <si>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</si>
  <si>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</si>
  <si>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</si>
  <si>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</si>
  <si>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</si>
  <si>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</si>
  <si>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</si>
  <si>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</si>
  <si>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</si>
  <si>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</si>
  <si>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</si>
  <si>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</si>
  <si>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</si>
  <si>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</si>
  <si>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</si>
  <si>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</si>
  <si>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</si>
  <si>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</si>
  <si>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</si>
  <si>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</si>
  <si>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</si>
  <si>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</si>
  <si>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</si>
  <si>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</si>
  <si>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</si>
  <si>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</si>
  <si>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</si>
  <si>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</si>
  <si>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</si>
  <si>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</si>
  <si>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</si>
  <si>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</si>
  <si>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</si>
  <si>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</si>
  <si>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</si>
  <si>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</si>
  <si>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</si>
  <si>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</si>
  <si>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</si>
  <si>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</si>
  <si>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</si>
  <si>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</si>
  <si>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</si>
  <si>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</si>
  <si>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</si>
  <si>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</si>
  <si>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</si>
  <si>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</si>
  <si>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</si>
  <si>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</si>
  <si>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</si>
  <si>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</si>
  <si>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</si>
  <si>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</si>
  <si>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</si>
  <si>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</si>
  <si>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</si>
  <si>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</si>
  <si>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</si>
  <si>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</si>
  <si>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</si>
  <si>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</si>
  <si>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</si>
  <si>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</si>
  <si>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</si>
  <si>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</si>
  <si>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</si>
  <si>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</si>
  <si>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</si>
  <si>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</si>
  <si>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</si>
  <si>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</si>
  <si>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</si>
  <si>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</si>
  <si>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</si>
  <si>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</si>
  <si>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</si>
  <si>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</si>
  <si>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</si>
  <si>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</si>
  <si>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</si>
  <si>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</si>
  <si>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</si>
  <si>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</si>
  <si>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</si>
  <si>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</si>
  <si>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</si>
  <si>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</si>
  <si>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</si>
  <si>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</si>
  <si>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</si>
  <si>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</si>
  <si>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</si>
  <si>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</si>
  <si>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</si>
  <si>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</si>
  <si>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</si>
  <si>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</si>
  <si>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</si>
  <si>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</si>
  <si>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</si>
  <si>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</si>
  <si>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</si>
  <si>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</si>
  <si>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</si>
  <si>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</si>
  <si>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</si>
  <si>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</si>
  <si>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</si>
  <si>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</si>
  <si>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</si>
  <si>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</si>
  <si>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</si>
  <si>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</si>
  <si>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</si>
  <si>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</si>
  <si>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</si>
  <si>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</si>
  <si>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</si>
  <si>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</si>
  <si>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</si>
  <si>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</si>
  <si>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</si>
  <si>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</si>
  <si>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</si>
  <si>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</si>
  <si>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</si>
  <si>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</si>
  <si>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</si>
  <si>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</si>
  <si>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</si>
  <si>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</si>
  <si>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</si>
  <si>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</si>
  <si>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</si>
  <si>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</si>
  <si>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</si>
  <si>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</si>
  <si>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</si>
  <si>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</si>
  <si>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</si>
  <si>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</si>
  <si>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</si>
  <si>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</si>
  <si>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</si>
  <si>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</si>
  <si>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</si>
  <si>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</si>
  <si>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</si>
  <si>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</si>
  <si>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</si>
  <si>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</si>
  <si>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</si>
  <si>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</si>
  <si>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</si>
  <si>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</si>
  <si>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</si>
  <si>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</si>
  <si>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</si>
  <si>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</si>
  <si>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</si>
  <si>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</si>
  <si>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</si>
  <si>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</si>
  <si>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</si>
  <si>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</si>
  <si>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</si>
  <si>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</si>
  <si>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</si>
  <si>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</si>
  <si>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</si>
  <si>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</si>
  <si>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</si>
  <si>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</si>
  <si>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</si>
  <si>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</si>
  <si>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</si>
  <si>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</si>
  <si>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</si>
  <si>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</si>
  <si>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</si>
  <si>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</si>
  <si>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</si>
  <si>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</si>
  <si>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</si>
  <si>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</si>
  <si>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</si>
  <si>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</si>
  <si>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</si>
  <si>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</si>
  <si>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</si>
  <si>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</si>
  <si>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</si>
  <si>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</si>
  <si>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</si>
  <si>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</si>
  <si>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</si>
  <si>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</si>
  <si>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</si>
  <si>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</si>
  <si>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</si>
  <si>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</si>
  <si>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</si>
  <si>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</si>
  <si>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</si>
  <si>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</si>
  <si>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</si>
  <si>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</si>
  <si>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</si>
  <si>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</si>
  <si>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</si>
  <si>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</si>
  <si>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</si>
  <si>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</si>
  <si>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</si>
  <si>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</si>
  <si>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</si>
  <si>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</si>
  <si>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</si>
  <si>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</si>
  <si>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</si>
  <si>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</si>
  <si>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</si>
  <si>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</si>
  <si>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</si>
  <si>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</si>
  <si>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</si>
  <si>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</si>
  <si>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</si>
  <si>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</si>
  <si>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</si>
  <si>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</si>
  <si>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</si>
  <si>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</si>
  <si>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</si>
  <si>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</si>
  <si>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</si>
  <si>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</si>
  <si>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</si>
  <si>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</si>
  <si>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</si>
  <si>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</si>
  <si>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</si>
  <si>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</si>
  <si>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</si>
  <si>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</si>
  <si>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</si>
  <si>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</si>
  <si>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</si>
  <si>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</si>
  <si>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</si>
  <si>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</si>
  <si>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</si>
  <si>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</si>
  <si>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</si>
  <si>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</si>
  <si>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</si>
  <si>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</si>
  <si>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</si>
  <si>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</si>
  <si>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</si>
  <si>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</si>
  <si>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</si>
  <si>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</si>
  <si>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</si>
  <si>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</si>
  <si>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</si>
  <si>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</si>
  <si>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</si>
  <si>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</si>
  <si>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</si>
  <si>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</si>
  <si>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</si>
  <si>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</si>
  <si>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</si>
  <si>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</si>
  <si>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</si>
  <si>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</si>
  <si>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</si>
  <si>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</si>
  <si>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</si>
  <si>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</si>
  <si>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</si>
  <si>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</si>
  <si>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</si>
  <si>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</si>
  <si>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</si>
  <si>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</si>
  <si>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</si>
  <si>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</si>
  <si>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</si>
  <si>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</si>
  <si>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</si>
  <si>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</si>
  <si>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</si>
  <si>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</si>
  <si>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</si>
  <si>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</si>
  <si>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</si>
  <si>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</si>
  <si>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</si>
  <si>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</si>
  <si>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</si>
  <si>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</si>
  <si>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</si>
  <si>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</si>
  <si>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</si>
  <si>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</si>
  <si>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</si>
  <si>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</si>
  <si>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</si>
  <si>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</si>
  <si>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</si>
  <si>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</si>
  <si>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</si>
  <si>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</si>
  <si>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</si>
  <si>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</si>
  <si>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</si>
  <si>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</si>
  <si>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</si>
  <si>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</si>
  <si>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</si>
  <si>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</si>
  <si>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</si>
  <si>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</si>
  <si>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</si>
  <si>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</si>
  <si>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</si>
  <si>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</si>
  <si>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</si>
  <si>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</si>
  <si>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</si>
  <si>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</si>
  <si>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</si>
  <si>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</si>
  <si>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</si>
  <si>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</si>
  <si>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</si>
  <si>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</si>
  <si>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</si>
  <si>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</si>
  <si>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</si>
  <si>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</si>
  <si>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</si>
  <si>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</si>
  <si>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</si>
  <si>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</si>
  <si>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</si>
  <si>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</si>
  <si>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</si>
  <si>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</si>
  <si>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</si>
  <si>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</si>
  <si>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</si>
  <si>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</si>
  <si>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</si>
  <si>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</si>
  <si>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</si>
  <si>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</si>
  <si>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</si>
  <si>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</si>
  <si>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</si>
  <si>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</si>
  <si>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</si>
  <si>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</si>
  <si>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</si>
  <si>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</si>
  <si>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</si>
  <si>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</si>
  <si>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</si>
  <si>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</si>
  <si>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</si>
  <si>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</si>
  <si>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</si>
  <si>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</si>
  <si>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</si>
  <si>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</si>
  <si>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</si>
  <si>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</si>
  <si>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</si>
  <si>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</si>
  <si>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</si>
  <si>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</si>
  <si>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</si>
  <si>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</si>
  <si>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</si>
  <si>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</si>
  <si>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</si>
  <si>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</si>
  <si>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</si>
  <si>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</si>
  <si>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</si>
  <si>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</si>
  <si>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</si>
  <si>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</si>
  <si>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</si>
  <si>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</si>
  <si>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</si>
  <si>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</si>
  <si>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</si>
  <si>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</si>
  <si>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</si>
  <si>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</si>
  <si>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</si>
  <si>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</si>
  <si>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</si>
  <si>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</si>
  <si>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</si>
  <si>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</si>
  <si>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</si>
  <si>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</si>
  <si>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</si>
  <si>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</si>
  <si>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</si>
  <si>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</si>
  <si>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</si>
  <si>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</si>
  <si>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</si>
  <si>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</si>
  <si>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</si>
  <si>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</si>
  <si>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</si>
  <si>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</si>
  <si>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</si>
  <si>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</si>
  <si>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</si>
  <si>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</si>
  <si>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</si>
  <si>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</si>
  <si>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</si>
  <si>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</si>
  <si>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</si>
  <si>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</si>
  <si>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</si>
  <si>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</si>
  <si>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</si>
  <si>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</si>
  <si>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</si>
  <si>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</si>
  <si>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</si>
  <si>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</si>
  <si>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</si>
  <si>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</si>
  <si>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</si>
  <si>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</si>
  <si>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</si>
  <si>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</si>
  <si>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</si>
  <si>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</si>
  <si>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</si>
  <si>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</si>
  <si>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</si>
  <si>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</si>
  <si>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</si>
  <si>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</si>
  <si>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</si>
  <si>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</si>
  <si>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</si>
  <si>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</si>
  <si>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</si>
  <si>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</si>
  <si>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</si>
  <si>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</si>
  <si>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</si>
  <si>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</si>
  <si>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</si>
  <si>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</si>
  <si>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</si>
  <si>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</si>
  <si>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</si>
  <si>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</si>
  <si>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</si>
  <si>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</si>
  <si>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</si>
  <si>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</si>
  <si>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</si>
  <si>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</si>
  <si>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</si>
  <si>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</si>
  <si>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</si>
  <si>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</si>
  <si>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</si>
  <si>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</si>
  <si>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</si>
  <si>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</si>
  <si>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</si>
  <si>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</si>
  <si>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</si>
  <si>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</si>
  <si>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</si>
  <si>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</si>
  <si>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</si>
  <si>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</si>
  <si>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</si>
  <si>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</si>
  <si>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</si>
  <si>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</si>
  <si>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</si>
  <si>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</si>
  <si>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</si>
  <si>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</si>
  <si>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</si>
  <si>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</si>
  <si>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</si>
  <si>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</si>
  <si>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</si>
  <si>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</si>
  <si>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</si>
  <si>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</si>
  <si>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</si>
  <si>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</si>
  <si>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</si>
  <si>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</si>
  <si>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</si>
  <si>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</si>
  <si>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</si>
  <si>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</si>
  <si>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</si>
  <si>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</si>
  <si>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</si>
  <si>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</si>
  <si>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</si>
  <si>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</si>
  <si>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</si>
  <si>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</si>
  <si>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</si>
  <si>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</si>
  <si>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</si>
  <si>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</si>
  <si>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</si>
  <si>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</si>
  <si>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</si>
  <si>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</si>
  <si>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</si>
  <si>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</si>
  <si>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</si>
  <si>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</si>
  <si>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</si>
  <si>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</si>
  <si>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</si>
  <si>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</si>
  <si>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</si>
  <si>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</si>
  <si>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</si>
  <si>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</si>
  <si>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</si>
  <si>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</si>
  <si>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</si>
  <si>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</si>
  <si>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</si>
  <si>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</si>
  <si>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</si>
  <si>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</si>
  <si>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</si>
  <si>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</si>
  <si>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</si>
  <si>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</si>
  <si>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</si>
  <si>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</si>
  <si>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</si>
  <si>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</si>
  <si>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</si>
  <si>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</si>
  <si>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</si>
  <si>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</si>
  <si>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</si>
  <si>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</si>
  <si>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</si>
  <si>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</si>
  <si>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</si>
  <si>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</si>
  <si>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</si>
  <si>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</si>
  <si>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</si>
  <si>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</si>
  <si>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</si>
  <si>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</si>
  <si>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</si>
  <si>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</si>
  <si>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</si>
  <si>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</si>
  <si>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</si>
  <si>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</si>
  <si>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</si>
  <si>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</si>
  <si>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</si>
  <si>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</si>
  <si>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</si>
  <si>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</si>
  <si>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</si>
  <si>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</si>
  <si>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</si>
  <si>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</si>
  <si>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</si>
  <si>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</si>
  <si>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</si>
  <si>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</si>
  <si>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</si>
  <si>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</si>
  <si>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</si>
  <si>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</si>
  <si>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</si>
  <si>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</si>
  <si>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</si>
  <si>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</si>
  <si>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</si>
  <si>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</si>
  <si>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</si>
  <si>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</si>
  <si>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</si>
  <si>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</si>
  <si>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</si>
  <si>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</si>
  <si>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</si>
  <si>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</si>
  <si>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</si>
  <si>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</si>
  <si>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</si>
  <si>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</si>
  <si>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</si>
  <si>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</si>
  <si>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</si>
  <si>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</si>
  <si>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</si>
  <si>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</si>
  <si>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</si>
  <si>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</si>
  <si>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</si>
  <si>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</si>
  <si>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</si>
  <si>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</si>
  <si>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</si>
  <si>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</si>
  <si>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</si>
  <si>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</si>
  <si>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</si>
  <si>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</si>
  <si>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</si>
  <si>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</si>
  <si>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</si>
  <si>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</si>
  <si>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</si>
  <si>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</si>
  <si>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</si>
  <si>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</si>
  <si>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</si>
  <si>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</si>
  <si>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</si>
  <si>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</si>
  <si>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</si>
  <si>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</si>
  <si>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</si>
  <si>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</si>
  <si>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</si>
  <si>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</si>
  <si>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</si>
  <si>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</si>
  <si>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</si>
  <si>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</si>
  <si>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</si>
  <si>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</si>
  <si>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</si>
  <si>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</si>
  <si>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</si>
  <si>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</si>
  <si>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</si>
  <si>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</si>
  <si>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</si>
  <si>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</si>
  <si>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</si>
  <si>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</si>
  <si>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</si>
  <si>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</si>
  <si>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</si>
  <si>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</si>
  <si>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</si>
  <si>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</si>
  <si>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</si>
  <si>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</si>
  <si>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</si>
  <si>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</si>
  <si>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</si>
  <si>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</si>
  <si>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</si>
  <si>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</si>
  <si>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</si>
  <si>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</si>
  <si>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</si>
  <si>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</si>
  <si>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</si>
  <si>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</si>
  <si>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</si>
  <si>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</si>
  <si>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</si>
  <si>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</si>
  <si>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</si>
  <si>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</si>
  <si>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</si>
  <si>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</si>
  <si>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</si>
  <si>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</si>
  <si>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</si>
  <si>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</si>
  <si>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</si>
  <si>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</si>
  <si>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</si>
  <si>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</si>
  <si>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</si>
  <si>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</si>
  <si>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</si>
  <si>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</si>
  <si>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</si>
  <si>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</si>
  <si>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</si>
  <si>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</si>
  <si>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</si>
  <si>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</si>
  <si>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</si>
  <si>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</si>
  <si>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</si>
  <si>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</si>
  <si>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</si>
  <si>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</si>
  <si>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</si>
  <si>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</si>
  <si>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</si>
  <si>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</si>
  <si>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</si>
  <si>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</si>
  <si>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</si>
  <si>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</si>
  <si>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</si>
  <si>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</si>
  <si>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</si>
  <si>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</si>
  <si>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</si>
  <si>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</si>
  <si>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</si>
  <si>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</si>
  <si>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</si>
  <si>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</si>
  <si>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</si>
  <si>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</si>
  <si>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</si>
  <si>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</si>
  <si>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</si>
  <si>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</si>
  <si>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</si>
  <si>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</si>
  <si>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</si>
  <si>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</si>
  <si>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</si>
  <si>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</si>
  <si>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</si>
  <si>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</si>
  <si>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</si>
  <si>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</si>
  <si>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</si>
  <si>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</si>
  <si>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</si>
  <si>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</si>
  <si>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</si>
  <si>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</si>
  <si>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</si>
  <si>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</si>
  <si>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</si>
  <si>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</si>
  <si>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</si>
  <si>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</si>
  <si>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</si>
  <si>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</si>
  <si>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</si>
  <si>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</si>
  <si>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</si>
  <si>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</si>
  <si>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</si>
  <si>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</si>
  <si>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</si>
  <si>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</si>
  <si>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</si>
  <si>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</si>
  <si>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</si>
  <si>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</si>
  <si>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</si>
  <si>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</si>
  <si>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</si>
  <si>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</si>
  <si>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</si>
  <si>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</si>
  <si>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</si>
  <si>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</si>
  <si>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</si>
  <si>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</si>
  <si>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</si>
  <si>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</si>
  <si>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</si>
  <si>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</si>
  <si>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</si>
  <si>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</si>
  <si>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</si>
  <si>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</si>
  <si>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</si>
  <si>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</si>
  <si>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</si>
  <si>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</si>
  <si>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</si>
  <si>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</si>
  <si>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</si>
  <si>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</si>
  <si>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</si>
  <si>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</si>
  <si>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</si>
  <si>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</si>
  <si>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</si>
  <si>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</si>
  <si>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</si>
  <si>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</si>
  <si>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</si>
  <si>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</si>
  <si>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</si>
  <si>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</si>
  <si>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</si>
  <si>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</si>
  <si>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</si>
  <si>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</si>
  <si>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</si>
  <si>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</si>
  <si>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</si>
  <si>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</si>
  <si>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</si>
  <si>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</si>
  <si>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</si>
  <si>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</si>
  <si>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</si>
  <si>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</si>
  <si>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</si>
  <si>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</si>
  <si>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</si>
  <si>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</si>
  <si>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</si>
  <si>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</si>
  <si>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</si>
  <si>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</si>
  <si>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</si>
  <si>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</si>
  <si>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</si>
  <si>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</si>
  <si>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</si>
  <si>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</si>
  <si>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</si>
  <si>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</si>
  <si>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</si>
  <si>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</si>
  <si>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</si>
  <si>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</si>
  <si>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</si>
  <si>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</si>
  <si>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</si>
  <si>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</si>
  <si>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</si>
  <si>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</si>
  <si>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</si>
  <si>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</si>
  <si>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</si>
  <si>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</si>
  <si>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</si>
  <si>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</si>
  <si>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</si>
  <si>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</si>
  <si>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</si>
  <si>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</si>
  <si>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</si>
  <si>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</si>
  <si>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</si>
  <si>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</si>
  <si>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</si>
  <si>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</si>
  <si>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</si>
  <si>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</si>
  <si>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</si>
  <si>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</si>
  <si>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</si>
  <si>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</si>
  <si>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</si>
  <si>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</si>
  <si>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</si>
  <si>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</si>
  <si>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</si>
  <si>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</si>
  <si>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</si>
  <si>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</si>
  <si>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</si>
  <si>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</si>
  <si>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</si>
  <si>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</si>
  <si>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</si>
  <si>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</si>
  <si>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</si>
  <si>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</si>
  <si>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</si>
  <si>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</si>
  <si>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</si>
  <si>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</si>
  <si>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</si>
  <si>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</si>
  <si>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</si>
  <si>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</si>
  <si>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</si>
  <si>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</si>
  <si>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</si>
  <si>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</si>
  <si>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</si>
  <si>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</si>
  <si>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</si>
  <si>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</si>
  <si>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</si>
  <si>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</si>
  <si>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</si>
  <si>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</si>
  <si>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</si>
  <si>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</si>
  <si>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</si>
  <si>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</si>
  <si>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</si>
  <si>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</si>
  <si>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</si>
  <si>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</si>
  <si>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</si>
  <si>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</si>
  <si>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</si>
  <si>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</si>
  <si>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</si>
  <si>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</si>
  <si>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</si>
  <si>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</si>
  <si>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</si>
  <si>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</si>
  <si>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</si>
  <si>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</si>
  <si>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</si>
  <si>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</si>
  <si>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</si>
  <si>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</si>
  <si>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</si>
  <si>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</si>
  <si>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</si>
  <si>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</si>
  <si>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</si>
  <si>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</si>
  <si>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</si>
  <si>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</si>
  <si>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</si>
  <si>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</si>
  <si>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</si>
  <si>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</si>
  <si>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</si>
  <si>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</si>
  <si>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</si>
  <si>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</si>
  <si>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</si>
  <si>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</si>
  <si>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</si>
  <si>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</si>
  <si>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</si>
  <si>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</si>
  <si>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</si>
  <si>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</si>
  <si>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</si>
  <si>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</si>
  <si>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</si>
  <si>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</si>
  <si>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</si>
  <si>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</si>
  <si>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</si>
  <si>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</si>
  <si>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</si>
  <si>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</si>
  <si>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</si>
  <si>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</si>
  <si>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</si>
  <si>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</si>
  <si>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</si>
  <si>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</si>
  <si>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</si>
  <si>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</si>
  <si>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</si>
  <si>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</si>
  <si>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</si>
  <si>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</si>
  <si>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</si>
  <si>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</si>
  <si>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</si>
  <si>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</si>
  <si>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</si>
  <si>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</si>
  <si>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</si>
  <si>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</si>
  <si>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</si>
  <si>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</si>
  <si>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</si>
  <si>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</si>
  <si>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</si>
  <si>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</si>
  <si>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</si>
  <si>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</si>
  <si>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</si>
  <si>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</si>
  <si>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</si>
  <si>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</si>
  <si>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</si>
  <si>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</si>
  <si>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</si>
  <si>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</si>
  <si>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</si>
  <si>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</si>
  <si>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</si>
  <si>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</si>
  <si>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</si>
  <si>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</si>
  <si>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</si>
  <si>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</si>
  <si>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</si>
  <si>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</si>
  <si>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</si>
  <si>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</si>
  <si>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</si>
  <si>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</si>
  <si>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</si>
  <si>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</si>
  <si>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</si>
  <si>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</si>
  <si>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</si>
  <si>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</si>
  <si>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</si>
  <si>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</si>
  <si>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</si>
  <si>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</si>
  <si>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</si>
  <si>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</si>
  <si>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</si>
  <si>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</si>
  <si>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</si>
  <si>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</si>
  <si>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</si>
  <si>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</si>
  <si>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</si>
  <si>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</si>
  <si>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</si>
  <si>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</si>
  <si>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</si>
  <si>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</si>
  <si>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</si>
  <si>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</si>
  <si>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</si>
  <si>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</si>
  <si>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</si>
  <si>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</si>
  <si>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</si>
  <si>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</si>
  <si>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</si>
  <si>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</si>
  <si>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</si>
  <si>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</si>
  <si>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</si>
  <si>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</si>
  <si>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</si>
  <si>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</si>
  <si>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</si>
  <si>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</si>
  <si>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</si>
  <si>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</si>
  <si>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</si>
  <si>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</si>
  <si>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</si>
  <si>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</si>
  <si>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</si>
  <si>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</si>
  <si>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</si>
  <si>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</si>
  <si>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</si>
  <si>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</si>
  <si>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</si>
  <si>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</si>
  <si>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</si>
  <si>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</si>
  <si>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</si>
  <si>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</si>
  <si>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</si>
  <si>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</si>
  <si>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</si>
  <si>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</si>
  <si>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</si>
  <si>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</si>
  <si>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</si>
  <si>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</si>
  <si>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Interest earned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</si>
</sst>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15"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125" zoomScaleNormal="125"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1327</v>
      </c>
      <c r="B2" s="126">
        <f>INDEX('School Tables'!$AH$3:$AH$208,MATCH('DOE25'!A2,'School Tables'!$AJ$3:$AJ$208,0))</f>
        <v>407</v>
      </c>
      <c r="C2" s="126">
        <f>INDEX('School Tables'!$AI$3:$AI$208,MATCH('DOE25'!A2,'School Tables'!$AJ$3:$AJ$208,0))</f>
        <v>407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224299.47</v>
      </c>
      <c r="G9" s="18"/>
      <c r="H9" s="18"/>
      <c r="I9" s="18"/>
      <c r="J9" s="67">
        <f>SUM(I440)</f>
        <v>596145.22</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58943.68+174463.53</f>
        <v>233407.21</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16334.42</v>
      </c>
      <c r="G14" s="18">
        <v>58943.68</v>
      </c>
      <c r="H14" s="18">
        <v>174463.53</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474041.1</v>
      </c>
      <c r="G19" s="41">
        <f>SUM(G9:G18)</f>
        <v>58943.68</v>
      </c>
      <c r="H19" s="41">
        <f>SUM(H9:H18)</f>
        <v>174463.53</v>
      </c>
      <c r="I19" s="41">
        <f>SUM(I9:I18)</f>
        <v>0</v>
      </c>
      <c r="J19" s="41">
        <f>SUM(J9:J18)</f>
        <v>596145.22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f>24764.5+7905.23+11357.83</f>
        <v>44027.56</v>
      </c>
      <c r="H22" s="18">
        <f>128693.41+36714.27+9055.85</f>
        <v>174463.53</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37420.51</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6156.38</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f>9055.85+11357.83</f>
        <v>20413.68</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14921.72</v>
      </c>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78912.289999999994</v>
      </c>
      <c r="G32" s="41">
        <f>SUM(G22:G31)</f>
        <v>44027.56</v>
      </c>
      <c r="H32" s="41">
        <f>SUM(H22:H31)</f>
        <v>174463.53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14916.12</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596145.22</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96618.7</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298510.11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395128.81</v>
      </c>
      <c r="G51" s="41">
        <f>SUM(G35:G50)</f>
        <v>14916.12</v>
      </c>
      <c r="H51" s="41">
        <f>SUM(H35:H50)</f>
        <v>0</v>
      </c>
      <c r="I51" s="41">
        <f>SUM(I35:I50)</f>
        <v>0</v>
      </c>
      <c r="J51" s="41">
        <f>SUM(J35:J50)</f>
        <v>596145.22</v>
      </c>
      <c r="K51" s="45" t="s">
        <v>288</v>
      </c>
      <c r="L51" s="45" t="s">
        <v>288</v>
      </c>
      <c r="N51" s="263"/>
    </row>
    <row r="52" spans="1:14" s="3" customFormat="1" ht="12.2" customHeight="1" thickTop="1" x14ac:dyDescent="0.15">
      <c r="A52" s="38" t="s">
        <v>455</v>
      </c>
      <c r="B52" s="39" t="s">
        <v>289</v>
      </c>
      <c r="C52" s="6">
        <v>37</v>
      </c>
      <c r="D52" s="39" t="s">
        <v>653</v>
      </c>
      <c r="E52" s="39"/>
      <c r="F52" s="41">
        <f>F51+F32</f>
        <v>474041.1</v>
      </c>
      <c r="G52" s="41">
        <f>G51+G32</f>
        <v>58943.68</v>
      </c>
      <c r="H52" s="41">
        <f>H51+H32</f>
        <v>174463.53</v>
      </c>
      <c r="I52" s="41">
        <f>I51+I32</f>
        <v>0</v>
      </c>
      <c r="J52" s="41">
        <f>J51+J32</f>
        <v>596145.22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1764027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1764027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799327.14</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189411.51</v>
      </c>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988738.65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f>1273.67</f>
        <v>1273.67</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5525.9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10000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18259.240000000002</v>
      </c>
      <c r="G110" s="18">
        <v>7950.4</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29532.910000000003</v>
      </c>
      <c r="G111" s="41">
        <f>SUM(G96:G110)</f>
        <v>13476.3</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2782298.56</v>
      </c>
      <c r="G112" s="41">
        <f>G60+G111</f>
        <v>13476.3</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2784250.41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168347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2952597.41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7413.2</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2921.44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7413.2</v>
      </c>
      <c r="G136" s="41">
        <f>SUM(G123:G135)</f>
        <v>2921.44</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2960010.6100000003</v>
      </c>
      <c r="G140" s="41">
        <f>G121+SUM(G136:G137)</f>
        <v>2921.44</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180827.23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1990.24+4416.15+5045.8+5650+10880.86</f>
        <v>27983.05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f>2942.41+135574.13</f>
        <v>138516.54</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198336.4+9743.38</f>
        <v>208079.78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104419.59+19303.79+1821.14</f>
        <v>125544.52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22303.62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624.29+9941.44</f>
        <v>10565.73</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266163.42+480143.61+5263.72</f>
        <v>751570.75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22303.62</v>
      </c>
      <c r="G163" s="41">
        <f>SUM(G150:G162)</f>
        <v>208079.78</v>
      </c>
      <c r="H163" s="41">
        <f>SUM(H150:H162)</f>
        <v>1235007.82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f>2500+1700+2079.71+3000+5068.82+1958.93+48514.44+40500</f>
        <v>105321.9</v>
      </c>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7586.27</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29889.89</v>
      </c>
      <c r="G170" s="41">
        <f>G147+G163+SUM(G164:G169)</f>
        <v>208079.78</v>
      </c>
      <c r="H170" s="41">
        <f>H147+H163+SUM(H164:H169)</f>
        <v>1340329.72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98369</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v>7501.07</v>
      </c>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7501.07</v>
      </c>
      <c r="H184" s="41">
        <f>SUM(H180:H183)</f>
        <v>0</v>
      </c>
      <c r="I184" s="41">
        <f>SUM(I180:I183)</f>
        <v>0</v>
      </c>
      <c r="J184" s="41">
        <f>SUM(J180:J183)</f>
        <v>98369</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7501.07</v>
      </c>
      <c r="H193" s="41">
        <f>+H184+SUM(H189:H192)</f>
        <v>0</v>
      </c>
      <c r="I193" s="41">
        <f>I178+I184+SUM(I189:I192)</f>
        <v>0</v>
      </c>
      <c r="J193" s="41">
        <f>J184</f>
        <v>98369</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5772199.0599999996</v>
      </c>
      <c r="G194" s="47">
        <f>G112+G140+G170+G193</f>
        <v>231978.59</v>
      </c>
      <c r="H194" s="47">
        <f>H112+H140+H170+H193</f>
        <v>1340329.72</v>
      </c>
      <c r="I194" s="47">
        <f>I112+I140+I170+I193</f>
        <v>0</v>
      </c>
      <c r="J194" s="47">
        <f>J112+J140+J193</f>
        <v>98369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422498.16+288391.67</f>
        <v>710889.83</v>
      </c>
      <c r="G198" s="18">
        <f>153412.54+151336.27</f>
        <v>304748.81</v>
      </c>
      <c r="H198" s="18">
        <f>7002.57+1894.8</f>
        <v>8897.369999999999</v>
      </c>
      <c r="I198" s="18">
        <f>31092.77+9554.65</f>
        <v>40647.42</v>
      </c>
      <c r="J198" s="18">
        <f>5160.24+2073.34</f>
        <v>7233.58</v>
      </c>
      <c r="K198" s="18">
        <v>150</v>
      </c>
      <c r="L198" s="19">
        <f>SUM(F198:K198)</f>
        <v>1072567.01</v>
      </c>
      <c r="M198" s="8"/>
      <c r="N198" s="265"/>
    </row>
    <row r="199" spans="1:14" s="3" customFormat="1" ht="12.2" customHeight="1" x14ac:dyDescent="0.15">
      <c r="A199" s="1" t="s">
        <v>439</v>
      </c>
      <c r="B199" s="2" t="s">
        <v>341</v>
      </c>
      <c r="C199" s="2" t="s">
        <v>291</v>
      </c>
      <c r="D199" s="2" t="s">
        <v>431</v>
      </c>
      <c r="E199" s="6">
        <v>1200</v>
      </c>
      <c r="F199" s="18">
        <f>229356.49+121993.11</f>
        <v>351349.6</v>
      </c>
      <c r="G199" s="18">
        <f>59671.75+32863.1</f>
        <v>92534.85</v>
      </c>
      <c r="H199" s="18">
        <f>47150+36370.8</f>
        <v>83520.800000000003</v>
      </c>
      <c r="I199" s="18">
        <f>1413.67+1018.68</f>
        <v>2432.35</v>
      </c>
      <c r="J199" s="18">
        <v>0</v>
      </c>
      <c r="K199" s="18"/>
      <c r="L199" s="19">
        <f>SUM(F199:K199)</f>
        <v>529837.6</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11880+6163.05</f>
        <v>18043.05</v>
      </c>
      <c r="G201" s="18">
        <f>3431.59+1102.15</f>
        <v>4533.74</v>
      </c>
      <c r="H201" s="18">
        <f>1986+1700</f>
        <v>3686</v>
      </c>
      <c r="I201" s="18">
        <f>178.23+2429.7</f>
        <v>2607.9299999999998</v>
      </c>
      <c r="J201" s="18">
        <v>0</v>
      </c>
      <c r="K201" s="18">
        <v>470</v>
      </c>
      <c r="L201" s="19">
        <f>SUM(F201:K201)</f>
        <v>29340.720000000001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170065.49+76061.89</f>
        <v>246127.38</v>
      </c>
      <c r="G203" s="18">
        <f>42446.43+28420.44</f>
        <v>70866.87</v>
      </c>
      <c r="H203" s="18">
        <f>24279.44+8865.14</f>
        <v>33144.58</v>
      </c>
      <c r="I203" s="18">
        <f>1817.27+1086.84</f>
        <v>2904.1099999999997</v>
      </c>
      <c r="J203" s="18">
        <f>409.5+424.5</f>
        <v>834</v>
      </c>
      <c r="K203" s="18">
        <f>449+106</f>
        <v>555</v>
      </c>
      <c r="L203" s="19">
        <f t="shared" ref="L203:L209" si="0">SUM(F203:K203)</f>
        <v>354431.94</v>
      </c>
      <c r="M203" s="8"/>
      <c r="N203" s="265"/>
    </row>
    <row r="204" spans="1:14" s="3" customFormat="1" ht="12.2" customHeight="1" x14ac:dyDescent="0.15">
      <c r="A204" s="1" t="s">
        <v>443</v>
      </c>
      <c r="B204" s="2" t="s">
        <v>341</v>
      </c>
      <c r="C204" s="2" t="s">
        <v>295</v>
      </c>
      <c r="D204" s="2" t="s">
        <v>431</v>
      </c>
      <c r="E204" s="6">
        <v>2200</v>
      </c>
      <c r="F204" s="18">
        <f>44412.64+9593.55</f>
        <v>54006.19</v>
      </c>
      <c r="G204" s="18">
        <f>21513.57+5100.81</f>
        <v>26614.38</v>
      </c>
      <c r="H204" s="18">
        <v>2945.15</v>
      </c>
      <c r="I204" s="18">
        <f>3489.5+580.31</f>
        <v>4069.81</v>
      </c>
      <c r="J204" s="18"/>
      <c r="K204" s="18"/>
      <c r="L204" s="19">
        <f t="shared" si="0"/>
        <v>87635.53</v>
      </c>
      <c r="M204" s="8"/>
      <c r="N204" s="265"/>
    </row>
    <row r="205" spans="1:14" s="3" customFormat="1" ht="12.2" customHeight="1" x14ac:dyDescent="0.15">
      <c r="A205" s="1" t="s">
        <v>444</v>
      </c>
      <c r="B205" s="2" t="s">
        <v>341</v>
      </c>
      <c r="C205" s="2" t="s">
        <v>296</v>
      </c>
      <c r="D205" s="2" t="s">
        <v>431</v>
      </c>
      <c r="E205" s="6">
        <v>2300</v>
      </c>
      <c r="F205" s="18">
        <f>2886.4+1619.2</f>
        <v>4505.6000000000004</v>
      </c>
      <c r="G205" s="18">
        <f>291.84+163.72</f>
        <v>455.55999999999995</v>
      </c>
      <c r="H205" s="18">
        <f>192872.75+108196.91</f>
        <v>301069.66000000003</v>
      </c>
      <c r="I205" s="18">
        <f>1041.4+584.2</f>
        <v>1625.6000000000001</v>
      </c>
      <c r="J205" s="18"/>
      <c r="K205" s="18">
        <f>1862.53+1044.83</f>
        <v>2907.3599999999997</v>
      </c>
      <c r="L205" s="19">
        <f t="shared" si="0"/>
        <v>310563.77999999997</v>
      </c>
      <c r="M205" s="8"/>
      <c r="N205" s="265"/>
    </row>
    <row r="206" spans="1:14" s="3" customFormat="1" ht="12.2" customHeight="1" x14ac:dyDescent="0.15">
      <c r="A206" s="1" t="s">
        <v>445</v>
      </c>
      <c r="B206" s="2" t="s">
        <v>341</v>
      </c>
      <c r="C206" s="2" t="s">
        <v>297</v>
      </c>
      <c r="D206" s="2" t="s">
        <v>431</v>
      </c>
      <c r="E206" s="6">
        <v>2400</v>
      </c>
      <c r="F206" s="18">
        <f>118063.46+31042.66+89278.62</f>
        <v>238384.74</v>
      </c>
      <c r="G206" s="18">
        <f>50302.5+19246.21+43980.98</f>
        <v>113529.69</v>
      </c>
      <c r="H206" s="18">
        <f>1199.53+427.42+1726.48</f>
        <v>3353.4300000000003</v>
      </c>
      <c r="I206" s="18">
        <f>18136.46+449.13+9960.67</f>
        <v>28546.260000000002</v>
      </c>
      <c r="J206" s="18">
        <v>79.989999999999995</v>
      </c>
      <c r="K206" s="18">
        <f>4255.64+2155.56+3909.78</f>
        <v>10320.980000000001</v>
      </c>
      <c r="L206" s="19">
        <f t="shared" si="0"/>
        <v>394215.08999999997</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f>55974.67+42519.06</f>
        <v>98493.73</v>
      </c>
      <c r="G208" s="18">
        <f>15820.56+15305.76</f>
        <v>31126.32</v>
      </c>
      <c r="H208" s="18">
        <f>1041.4+75858.35+33596.08</f>
        <v>110495.83</v>
      </c>
      <c r="I208" s="18">
        <f>60301.29+40658.45</f>
        <v>100959.73999999999</v>
      </c>
      <c r="J208" s="18">
        <v>309.95999999999998</v>
      </c>
      <c r="K208" s="18"/>
      <c r="L208" s="19">
        <f t="shared" si="0"/>
        <v>341385.58</v>
      </c>
      <c r="M208" s="8"/>
      <c r="N208" s="265"/>
    </row>
    <row r="209" spans="1:14" s="3" customFormat="1" ht="12.2" customHeight="1" x14ac:dyDescent="0.15">
      <c r="A209" s="1" t="s">
        <v>448</v>
      </c>
      <c r="B209" s="2" t="s">
        <v>341</v>
      </c>
      <c r="C209" s="2" t="s">
        <v>300</v>
      </c>
      <c r="D209" s="2" t="s">
        <v>431</v>
      </c>
      <c r="E209" s="6">
        <v>2700</v>
      </c>
      <c r="F209" s="18"/>
      <c r="G209" s="18"/>
      <c r="H209" s="18">
        <f>56363.38+11008.97+4258.67+3495.25+45792.51</f>
        <v>120918.78</v>
      </c>
      <c r="I209" s="18"/>
      <c r="J209" s="18"/>
      <c r="K209" s="18"/>
      <c r="L209" s="19">
        <f t="shared" si="0"/>
        <v>120918.78</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1721800.1199999999</v>
      </c>
      <c r="G212" s="41">
        <f t="shared" si="1"/>
        <v>644410.22</v>
      </c>
      <c r="H212" s="41">
        <f t="shared" si="1"/>
        <v>668031.60000000009</v>
      </c>
      <c r="I212" s="41">
        <f t="shared" si="1"/>
        <v>183793.21999999997</v>
      </c>
      <c r="J212" s="41">
        <f t="shared" si="1"/>
        <v>8457.5299999999988</v>
      </c>
      <c r="K212" s="41">
        <f t="shared" si="1"/>
        <v>14403.34</v>
      </c>
      <c r="L212" s="41">
        <f t="shared" si="1"/>
        <v>3240896.0299999993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720958.62</v>
      </c>
      <c r="G234" s="18">
        <v>299102.23</v>
      </c>
      <c r="H234" s="18">
        <v>28873.17</v>
      </c>
      <c r="I234" s="18">
        <v>40874.519999999997</v>
      </c>
      <c r="J234" s="18">
        <v>3075.08</v>
      </c>
      <c r="K234" s="18">
        <v>3709</v>
      </c>
      <c r="L234" s="19">
        <f>SUM(F234:K234)</f>
        <v>1096592.6200000001</v>
      </c>
      <c r="M234" s="8"/>
      <c r="N234" s="265"/>
    </row>
    <row r="235" spans="1:14" s="3" customFormat="1" ht="12.2" customHeight="1" x14ac:dyDescent="0.15">
      <c r="A235" s="1" t="s">
        <v>439</v>
      </c>
      <c r="B235" s="2" t="s">
        <v>350</v>
      </c>
      <c r="C235" s="2" t="s">
        <v>291</v>
      </c>
      <c r="D235" s="2" t="s">
        <v>431</v>
      </c>
      <c r="E235" s="6">
        <v>1200</v>
      </c>
      <c r="F235" s="18">
        <v>110936.33</v>
      </c>
      <c r="G235" s="18">
        <v>13924.74</v>
      </c>
      <c r="H235" s="18">
        <v>724.02</v>
      </c>
      <c r="I235" s="18">
        <v>790.58</v>
      </c>
      <c r="J235" s="18"/>
      <c r="K235" s="18"/>
      <c r="L235" s="19">
        <f>SUM(F235:K235)</f>
        <v>126375.67000000001</v>
      </c>
      <c r="M235" s="8"/>
      <c r="N235" s="265"/>
    </row>
    <row r="236" spans="1:14" s="3" customFormat="1" ht="12.2" customHeight="1" x14ac:dyDescent="0.15">
      <c r="A236" s="1" t="s">
        <v>440</v>
      </c>
      <c r="B236" s="2" t="s">
        <v>350</v>
      </c>
      <c r="C236" s="2" t="s">
        <v>292</v>
      </c>
      <c r="D236" s="2" t="s">
        <v>431</v>
      </c>
      <c r="E236" s="6">
        <v>1300</v>
      </c>
      <c r="F236" s="18"/>
      <c r="G236" s="18"/>
      <c r="H236" s="18">
        <v>14865.17</v>
      </c>
      <c r="I236" s="18"/>
      <c r="J236" s="18"/>
      <c r="K236" s="18"/>
      <c r="L236" s="19">
        <f>SUM(F236:K236)</f>
        <v>14865.17</v>
      </c>
      <c r="M236" s="8"/>
      <c r="N236" s="265"/>
    </row>
    <row r="237" spans="1:14" s="3" customFormat="1" ht="12.2" customHeight="1" x14ac:dyDescent="0.15">
      <c r="A237" s="1" t="s">
        <v>441</v>
      </c>
      <c r="B237" s="2" t="s">
        <v>350</v>
      </c>
      <c r="C237" s="2" t="s">
        <v>293</v>
      </c>
      <c r="D237" s="2" t="s">
        <v>431</v>
      </c>
      <c r="E237" s="6">
        <v>1400</v>
      </c>
      <c r="F237" s="18">
        <v>30580.45</v>
      </c>
      <c r="G237" s="18">
        <v>4481.8100000000004</v>
      </c>
      <c r="H237" s="18">
        <v>11686.33</v>
      </c>
      <c r="I237" s="18">
        <v>7093.92</v>
      </c>
      <c r="J237" s="18"/>
      <c r="K237" s="18">
        <v>1335.72</v>
      </c>
      <c r="L237" s="19">
        <f>SUM(F237:K237)</f>
        <v>55178.23</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89657.91</v>
      </c>
      <c r="G239" s="18">
        <v>33775.699999999997</v>
      </c>
      <c r="H239" s="18">
        <v>12627.06</v>
      </c>
      <c r="I239" s="18">
        <v>3298.73</v>
      </c>
      <c r="J239" s="18">
        <v>692.25</v>
      </c>
      <c r="K239" s="18">
        <v>1243</v>
      </c>
      <c r="L239" s="19">
        <f t="shared" ref="L239:L245" si="4">SUM(F239:K239)</f>
        <v>141294.65000000002</v>
      </c>
      <c r="M239" s="8"/>
      <c r="N239" s="265"/>
    </row>
    <row r="240" spans="1:14" s="3" customFormat="1" ht="12.2" customHeight="1" x14ac:dyDescent="0.15">
      <c r="A240" s="1" t="s">
        <v>443</v>
      </c>
      <c r="B240" s="2" t="s">
        <v>350</v>
      </c>
      <c r="C240" s="2" t="s">
        <v>295</v>
      </c>
      <c r="D240" s="2" t="s">
        <v>431</v>
      </c>
      <c r="E240" s="6">
        <v>2200</v>
      </c>
      <c r="F240" s="18">
        <v>15387.83</v>
      </c>
      <c r="G240" s="18">
        <v>8228.48</v>
      </c>
      <c r="H240" s="18">
        <v>574</v>
      </c>
      <c r="I240" s="18">
        <v>1103.06</v>
      </c>
      <c r="J240" s="18"/>
      <c r="K240" s="18">
        <v>523.11</v>
      </c>
      <c r="L240" s="19">
        <f t="shared" si="4"/>
        <v>25816.48</v>
      </c>
      <c r="M240" s="8"/>
      <c r="N240" s="265"/>
    </row>
    <row r="241" spans="1:14" s="3" customFormat="1" ht="12.2" customHeight="1" x14ac:dyDescent="0.15">
      <c r="A241" s="1" t="s">
        <v>444</v>
      </c>
      <c r="B241" s="2" t="s">
        <v>350</v>
      </c>
      <c r="C241" s="2" t="s">
        <v>296</v>
      </c>
      <c r="D241" s="2" t="s">
        <v>431</v>
      </c>
      <c r="E241" s="6">
        <v>2300</v>
      </c>
      <c r="F241" s="18">
        <v>2534.4</v>
      </c>
      <c r="G241" s="18">
        <v>256.25</v>
      </c>
      <c r="H241" s="18">
        <v>169351.69</v>
      </c>
      <c r="I241" s="18">
        <v>914.4</v>
      </c>
      <c r="J241" s="18"/>
      <c r="K241" s="18">
        <v>1635.39</v>
      </c>
      <c r="L241" s="19">
        <f t="shared" si="4"/>
        <v>174692.13</v>
      </c>
      <c r="M241" s="8"/>
      <c r="N241" s="265"/>
    </row>
    <row r="242" spans="1:14" s="3" customFormat="1" ht="12.2" customHeight="1" x14ac:dyDescent="0.15">
      <c r="A242" s="1" t="s">
        <v>445</v>
      </c>
      <c r="B242" s="2" t="s">
        <v>350</v>
      </c>
      <c r="C242" s="2" t="s">
        <v>297</v>
      </c>
      <c r="D242" s="2" t="s">
        <v>431</v>
      </c>
      <c r="E242" s="6">
        <v>2400</v>
      </c>
      <c r="F242" s="18">
        <f>114213.85+30247.62</f>
        <v>144461.47</v>
      </c>
      <c r="G242" s="18">
        <f>52632.83+18515.62</f>
        <v>71148.45</v>
      </c>
      <c r="H242" s="18">
        <f>836.39+268.1</f>
        <v>1104.49</v>
      </c>
      <c r="I242" s="18">
        <f>12205.67+487.86</f>
        <v>12693.53</v>
      </c>
      <c r="J242" s="18">
        <v>1096.1400000000001</v>
      </c>
      <c r="K242" s="18">
        <f>3815.94+992.34</f>
        <v>4808.28</v>
      </c>
      <c r="L242" s="19">
        <f t="shared" si="4"/>
        <v>235312.36</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v>62196.82</v>
      </c>
      <c r="G244" s="18">
        <v>22019.39</v>
      </c>
      <c r="H244" s="18">
        <f>914.4+51625.93</f>
        <v>52540.33</v>
      </c>
      <c r="I244" s="18">
        <v>62251.49</v>
      </c>
      <c r="J244" s="18"/>
      <c r="K244" s="18"/>
      <c r="L244" s="19">
        <f t="shared" si="4"/>
        <v>199008.02999999997</v>
      </c>
      <c r="M244" s="8"/>
      <c r="N244" s="265"/>
    </row>
    <row r="245" spans="1:14" s="3" customFormat="1" ht="12.2" customHeight="1" x14ac:dyDescent="0.15">
      <c r="A245" s="1" t="s">
        <v>448</v>
      </c>
      <c r="B245" s="2" t="s">
        <v>350</v>
      </c>
      <c r="C245" s="2" t="s">
        <v>300</v>
      </c>
      <c r="D245" s="2" t="s">
        <v>431</v>
      </c>
      <c r="E245" s="6">
        <v>2700</v>
      </c>
      <c r="F245" s="18"/>
      <c r="G245" s="18"/>
      <c r="H245" s="18">
        <f>49489.79+14348.84+293.75</f>
        <v>64132.380000000005</v>
      </c>
      <c r="I245" s="18"/>
      <c r="J245" s="18"/>
      <c r="K245" s="18"/>
      <c r="L245" s="19">
        <f t="shared" si="4"/>
        <v>64132.380000000005</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1176713.83</v>
      </c>
      <c r="G248" s="41">
        <f t="shared" si="5"/>
        <v>452937.05</v>
      </c>
      <c r="H248" s="41">
        <f t="shared" si="5"/>
        <v>356478.64</v>
      </c>
      <c r="I248" s="41">
        <f t="shared" si="5"/>
        <v>129020.23000000001</v>
      </c>
      <c r="J248" s="41">
        <f t="shared" si="5"/>
        <v>4863.47</v>
      </c>
      <c r="K248" s="41">
        <f t="shared" si="5"/>
        <v>13254.5</v>
      </c>
      <c r="L248" s="41">
        <f t="shared" si="5"/>
        <v>2133267.7199999997</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710.38</v>
      </c>
      <c r="G252" s="18">
        <v>162.21</v>
      </c>
      <c r="H252" s="18">
        <v>15000</v>
      </c>
      <c r="I252" s="18"/>
      <c r="J252" s="18"/>
      <c r="K252" s="18"/>
      <c r="L252" s="19">
        <f t="shared" si="6"/>
        <v>15872.59</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710.38</v>
      </c>
      <c r="G257" s="41">
        <f t="shared" si="7"/>
        <v>162.21</v>
      </c>
      <c r="H257" s="41">
        <f t="shared" si="7"/>
        <v>15000</v>
      </c>
      <c r="I257" s="41">
        <f t="shared" si="7"/>
        <v>0</v>
      </c>
      <c r="J257" s="41">
        <f t="shared" si="7"/>
        <v>0</v>
      </c>
      <c r="K257" s="41">
        <f t="shared" si="7"/>
        <v>0</v>
      </c>
      <c r="L257" s="41">
        <f>SUM(F257:K257)</f>
        <v>15872.59</v>
      </c>
      <c r="M257" s="8"/>
      <c r="N257" s="265"/>
    </row>
    <row r="258" spans="1:14" s="3" customFormat="1" ht="12.2" customHeight="1" thickTop="1" x14ac:dyDescent="0.15">
      <c r="A258" s="38" t="s">
        <v>462</v>
      </c>
      <c r="B258" s="40">
        <v>10</v>
      </c>
      <c r="C258" s="40">
        <v>8</v>
      </c>
      <c r="D258" s="39" t="s">
        <v>431</v>
      </c>
      <c r="E258" s="40"/>
      <c r="F258" s="41">
        <f t="shared" ref="F258:L258" si="8">F212+F230+F248+F257</f>
        <v>2899224.33</v>
      </c>
      <c r="G258" s="41">
        <f t="shared" si="8"/>
        <v>1097509.48</v>
      </c>
      <c r="H258" s="41">
        <f t="shared" si="8"/>
        <v>1039510.2400000001</v>
      </c>
      <c r="I258" s="41">
        <f t="shared" si="8"/>
        <v>312813.44999999995</v>
      </c>
      <c r="J258" s="41">
        <f t="shared" si="8"/>
        <v>13321</v>
      </c>
      <c r="K258" s="41">
        <f t="shared" si="8"/>
        <v>27657.84</v>
      </c>
      <c r="L258" s="41">
        <f t="shared" si="8"/>
        <v>5390036.3399999989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98369</v>
      </c>
      <c r="L267" s="19">
        <f t="shared" si="9"/>
        <v>98369</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98369</v>
      </c>
      <c r="L271" s="41">
        <f t="shared" si="9"/>
        <v>98369</v>
      </c>
      <c r="M271" s="8"/>
      <c r="N271" s="265"/>
    </row>
    <row r="272" spans="1:14" s="34" customFormat="1" ht="12.2" customHeight="1" thickTop="1" x14ac:dyDescent="0.2">
      <c r="A272" s="43" t="s">
        <v>464</v>
      </c>
      <c r="B272" s="40">
        <v>10</v>
      </c>
      <c r="C272" s="40">
        <v>18</v>
      </c>
      <c r="D272" s="39" t="s">
        <v>431</v>
      </c>
      <c r="E272" s="40"/>
      <c r="F272" s="42">
        <f t="shared" ref="F272:L272" si="11">F258+F271</f>
        <v>2899224.33</v>
      </c>
      <c r="G272" s="42">
        <f t="shared" si="11"/>
        <v>1097509.48</v>
      </c>
      <c r="H272" s="42">
        <f t="shared" si="11"/>
        <v>1039510.2400000001</v>
      </c>
      <c r="I272" s="42">
        <f t="shared" si="11"/>
        <v>312813.44999999995</v>
      </c>
      <c r="J272" s="42">
        <f t="shared" si="11"/>
        <v>13321</v>
      </c>
      <c r="K272" s="42">
        <f t="shared" si="11"/>
        <v>126026.84</v>
      </c>
      <c r="L272" s="42">
        <f t="shared" si="11"/>
        <v>5488405.3399999989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221429.94</v>
      </c>
      <c r="G277" s="18">
        <v>108470.31</v>
      </c>
      <c r="H277" s="18"/>
      <c r="I277" s="18">
        <v>65472.2</v>
      </c>
      <c r="J277" s="18">
        <f>2500+2760.55+1289.05</f>
        <v>6549.6</v>
      </c>
      <c r="K277" s="18">
        <v>3100</v>
      </c>
      <c r="L277" s="19">
        <f>SUM(F277:K277)</f>
        <v>405022.05</v>
      </c>
      <c r="M277" s="8"/>
      <c r="N277" s="265"/>
    </row>
    <row r="278" spans="1:14" s="3" customFormat="1" ht="12.2" customHeight="1" x14ac:dyDescent="0.15">
      <c r="A278" s="1" t="s">
        <v>439</v>
      </c>
      <c r="B278" s="2" t="s">
        <v>357</v>
      </c>
      <c r="C278" s="2" t="s">
        <v>291</v>
      </c>
      <c r="D278" s="2" t="s">
        <v>431</v>
      </c>
      <c r="E278" s="6">
        <v>1200</v>
      </c>
      <c r="F278" s="18"/>
      <c r="G278" s="18"/>
      <c r="H278" s="18">
        <v>4500</v>
      </c>
      <c r="I278" s="18">
        <v>398</v>
      </c>
      <c r="J278" s="18">
        <v>4946.8900000000003</v>
      </c>
      <c r="K278" s="18"/>
      <c r="L278" s="19">
        <f>SUM(F278:K278)</f>
        <v>9844.89</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8760+8180</f>
        <v>16940</v>
      </c>
      <c r="G280" s="18">
        <f>1981.81+1518.98</f>
        <v>3500.79</v>
      </c>
      <c r="H280" s="18"/>
      <c r="I280" s="18">
        <f>1560.22+1566.56</f>
        <v>3126.7799999999997</v>
      </c>
      <c r="J280" s="18"/>
      <c r="K280" s="18"/>
      <c r="L280" s="19">
        <f>SUM(F280:K280)</f>
        <v>23567.57</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73310.04+24574.2</f>
        <v>97884.239999999991</v>
      </c>
      <c r="G282" s="18">
        <f>25195.94+12071.38</f>
        <v>37267.32</v>
      </c>
      <c r="H282" s="18"/>
      <c r="I282" s="18">
        <f>3781.36+1625</f>
        <v>5406.3600000000006</v>
      </c>
      <c r="J282" s="18">
        <v>6550</v>
      </c>
      <c r="K282" s="18"/>
      <c r="L282" s="19">
        <f t="shared" ref="L282:L288" si="12">SUM(F282:K282)</f>
        <v>147107.91999999998</v>
      </c>
      <c r="M282" s="8"/>
      <c r="N282" s="265"/>
    </row>
    <row r="283" spans="1:14" s="3" customFormat="1" ht="12.2" customHeight="1" x14ac:dyDescent="0.15">
      <c r="A283" s="1" t="s">
        <v>443</v>
      </c>
      <c r="B283" s="2" t="s">
        <v>357</v>
      </c>
      <c r="C283" s="2" t="s">
        <v>295</v>
      </c>
      <c r="D283" s="2" t="s">
        <v>431</v>
      </c>
      <c r="E283" s="6">
        <v>2200</v>
      </c>
      <c r="F283" s="18">
        <f>2000+1200</f>
        <v>3200</v>
      </c>
      <c r="G283" s="18">
        <f>571.14+342.71</f>
        <v>913.84999999999991</v>
      </c>
      <c r="H283" s="18">
        <f>1051.21+1230+690</f>
        <v>2971.21</v>
      </c>
      <c r="I283" s="18">
        <v>0</v>
      </c>
      <c r="J283" s="18"/>
      <c r="K283" s="18"/>
      <c r="L283" s="19">
        <f t="shared" si="12"/>
        <v>7085.06</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f>10801.6+1999.12</f>
        <v>12800.720000000001</v>
      </c>
      <c r="G287" s="18">
        <f>826.39+152.9</f>
        <v>979.29</v>
      </c>
      <c r="H287" s="18"/>
      <c r="I287" s="18">
        <v>3033.43</v>
      </c>
      <c r="J287" s="18"/>
      <c r="K287" s="18"/>
      <c r="L287" s="19">
        <f t="shared" si="12"/>
        <v>16813.440000000002</v>
      </c>
      <c r="M287" s="8"/>
      <c r="N287" s="265"/>
    </row>
    <row r="288" spans="1:14" s="3" customFormat="1" ht="12.2" customHeight="1" x14ac:dyDescent="0.15">
      <c r="A288" s="1" t="s">
        <v>448</v>
      </c>
      <c r="B288" s="2" t="s">
        <v>357</v>
      </c>
      <c r="C288" s="2" t="s">
        <v>300</v>
      </c>
      <c r="D288" s="2" t="s">
        <v>431</v>
      </c>
      <c r="E288" s="6">
        <v>2700</v>
      </c>
      <c r="F288" s="18"/>
      <c r="G288" s="18"/>
      <c r="H288" s="18">
        <f>3345.24+1345.75</f>
        <v>4690.99</v>
      </c>
      <c r="I288" s="18"/>
      <c r="J288" s="18"/>
      <c r="K288" s="18"/>
      <c r="L288" s="19">
        <f t="shared" si="12"/>
        <v>4690.99</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352254.9</v>
      </c>
      <c r="G291" s="42">
        <f t="shared" si="13"/>
        <v>151131.56</v>
      </c>
      <c r="H291" s="42">
        <f t="shared" si="13"/>
        <v>12162.2</v>
      </c>
      <c r="I291" s="42">
        <f t="shared" si="13"/>
        <v>77436.76999999999</v>
      </c>
      <c r="J291" s="42">
        <f t="shared" si="13"/>
        <v>18046.490000000002</v>
      </c>
      <c r="K291" s="42">
        <f t="shared" si="13"/>
        <v>3100</v>
      </c>
      <c r="L291" s="41">
        <f t="shared" si="13"/>
        <v>614131.91999999993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18355.43</v>
      </c>
      <c r="G315" s="18">
        <v>4477.6499999999996</v>
      </c>
      <c r="H315" s="18">
        <v>1257.8399999999999</v>
      </c>
      <c r="I315" s="18">
        <v>8631.4699999999993</v>
      </c>
      <c r="J315" s="18">
        <v>2592.41</v>
      </c>
      <c r="K315" s="18"/>
      <c r="L315" s="19">
        <f>SUM(F315:K315)</f>
        <v>35314.800000000003</v>
      </c>
      <c r="M315" s="8"/>
      <c r="N315" s="265"/>
    </row>
    <row r="316" spans="1:14" s="3" customFormat="1" ht="12.2" customHeight="1" x14ac:dyDescent="0.15">
      <c r="A316" s="1" t="s">
        <v>439</v>
      </c>
      <c r="B316" s="2" t="s">
        <v>359</v>
      </c>
      <c r="C316" s="2" t="s">
        <v>291</v>
      </c>
      <c r="D316" s="2" t="s">
        <v>431</v>
      </c>
      <c r="E316" s="6">
        <v>1200</v>
      </c>
      <c r="F316" s="18"/>
      <c r="G316" s="18"/>
      <c r="H316" s="18">
        <v>1821.14</v>
      </c>
      <c r="I316" s="18"/>
      <c r="J316" s="18"/>
      <c r="K316" s="18"/>
      <c r="L316" s="19">
        <f>SUM(F316:K316)</f>
        <v>1821.14</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v>2079.71</v>
      </c>
      <c r="J318" s="18"/>
      <c r="K318" s="18"/>
      <c r="L318" s="19">
        <f>SUM(F318:K318)</f>
        <v>2079.71</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57528.46</v>
      </c>
      <c r="G320" s="18">
        <v>28238.82</v>
      </c>
      <c r="H320" s="18">
        <v>0</v>
      </c>
      <c r="I320" s="18">
        <v>925.4</v>
      </c>
      <c r="J320" s="18">
        <v>6900</v>
      </c>
      <c r="K320" s="18"/>
      <c r="L320" s="19">
        <f t="shared" ref="L320:L326" si="16">SUM(F320:K320)</f>
        <v>93592.68</v>
      </c>
      <c r="M320" s="8"/>
      <c r="N320" s="265"/>
    </row>
    <row r="321" spans="1:14" s="3" customFormat="1" ht="12.2" customHeight="1" x14ac:dyDescent="0.15">
      <c r="A321" s="1" t="s">
        <v>443</v>
      </c>
      <c r="B321" s="2" t="s">
        <v>359</v>
      </c>
      <c r="C321" s="2" t="s">
        <v>295</v>
      </c>
      <c r="D321" s="2" t="s">
        <v>431</v>
      </c>
      <c r="E321" s="6">
        <v>2200</v>
      </c>
      <c r="F321" s="18">
        <v>11740</v>
      </c>
      <c r="G321" s="18">
        <v>7522.19</v>
      </c>
      <c r="H321" s="18">
        <f>32226.45+1080</f>
        <v>33306.449999999997</v>
      </c>
      <c r="I321" s="18">
        <v>15245</v>
      </c>
      <c r="J321" s="18"/>
      <c r="K321" s="18"/>
      <c r="L321" s="19">
        <f t="shared" si="16"/>
        <v>67813.64</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v>410.73</v>
      </c>
      <c r="L322" s="19">
        <f t="shared" si="16"/>
        <v>410.73</v>
      </c>
      <c r="M322" s="8"/>
      <c r="N322" s="265"/>
    </row>
    <row r="323" spans="1:14" s="3" customFormat="1" ht="12.2" customHeight="1" x14ac:dyDescent="0.15">
      <c r="A323" s="1" t="s">
        <v>445</v>
      </c>
      <c r="B323" s="2" t="s">
        <v>359</v>
      </c>
      <c r="C323" s="2" t="s">
        <v>297</v>
      </c>
      <c r="D323" s="2" t="s">
        <v>431</v>
      </c>
      <c r="E323" s="6">
        <v>2400</v>
      </c>
      <c r="F323" s="18">
        <v>5019.07</v>
      </c>
      <c r="G323" s="18">
        <v>1383.79</v>
      </c>
      <c r="H323" s="18"/>
      <c r="I323" s="18"/>
      <c r="J323" s="18"/>
      <c r="K323" s="18"/>
      <c r="L323" s="19">
        <f t="shared" si="16"/>
        <v>6402.86</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v>5478.93</v>
      </c>
      <c r="G325" s="18">
        <v>902.22</v>
      </c>
      <c r="H325" s="18"/>
      <c r="I325" s="18">
        <v>9169.33</v>
      </c>
      <c r="J325" s="18"/>
      <c r="K325" s="18"/>
      <c r="L325" s="19">
        <f t="shared" si="16"/>
        <v>15550.48</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98121.889999999985</v>
      </c>
      <c r="G329" s="42">
        <f t="shared" si="17"/>
        <v>42524.670000000006</v>
      </c>
      <c r="H329" s="42">
        <f t="shared" si="17"/>
        <v>36385.43</v>
      </c>
      <c r="I329" s="42">
        <f t="shared" si="17"/>
        <v>36050.910000000003</v>
      </c>
      <c r="J329" s="42">
        <f t="shared" si="17"/>
        <v>9492.41</v>
      </c>
      <c r="K329" s="42">
        <f t="shared" si="17"/>
        <v>410.73</v>
      </c>
      <c r="L329" s="41">
        <f t="shared" si="17"/>
        <v>222986.03999999998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v>27603.52</v>
      </c>
      <c r="G334" s="18">
        <v>7778.46</v>
      </c>
      <c r="H334" s="18">
        <v>9148.6299999999992</v>
      </c>
      <c r="I334" s="18">
        <v>3754.35</v>
      </c>
      <c r="J334" s="18">
        <v>69901.240000000005</v>
      </c>
      <c r="K334" s="18">
        <v>3290.49</v>
      </c>
      <c r="L334" s="19">
        <f t="shared" si="18"/>
        <v>121476.69000000002</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v>374234</v>
      </c>
      <c r="K337" s="18"/>
      <c r="L337" s="19">
        <f t="shared" si="18"/>
        <v>374234</v>
      </c>
      <c r="M337" s="8"/>
      <c r="N337" s="265"/>
    </row>
    <row r="338" spans="1:43" s="3" customFormat="1" ht="12.2" customHeight="1" thickTop="1" thickBot="1" x14ac:dyDescent="0.2">
      <c r="A338" s="50" t="s">
        <v>467</v>
      </c>
      <c r="B338" s="40">
        <v>14</v>
      </c>
      <c r="C338" s="51">
        <v>6</v>
      </c>
      <c r="D338" s="48" t="s">
        <v>431</v>
      </c>
      <c r="E338" s="51"/>
      <c r="F338" s="41">
        <f t="shared" ref="F338:K338" si="19">SUM(F333:F337)</f>
        <v>27603.52</v>
      </c>
      <c r="G338" s="41">
        <f t="shared" si="19"/>
        <v>7778.46</v>
      </c>
      <c r="H338" s="41">
        <f t="shared" si="19"/>
        <v>9148.6299999999992</v>
      </c>
      <c r="I338" s="41">
        <f t="shared" si="19"/>
        <v>3754.35</v>
      </c>
      <c r="J338" s="41">
        <f t="shared" si="19"/>
        <v>444135.24</v>
      </c>
      <c r="K338" s="41">
        <f t="shared" si="19"/>
        <v>3290.49</v>
      </c>
      <c r="L338" s="41">
        <f t="shared" si="18"/>
        <v>495710.69</v>
      </c>
      <c r="M338" s="8"/>
      <c r="N338" s="265"/>
    </row>
    <row r="339" spans="1:43" s="3" customFormat="1" ht="12.2" customHeight="1" thickTop="1" x14ac:dyDescent="0.15">
      <c r="A339" s="38" t="s">
        <v>468</v>
      </c>
      <c r="B339" s="40">
        <v>14</v>
      </c>
      <c r="C339" s="40">
        <v>7</v>
      </c>
      <c r="D339" s="39" t="s">
        <v>431</v>
      </c>
      <c r="E339" s="40"/>
      <c r="F339" s="41">
        <f t="shared" ref="F339:L339" si="20">F291+F310+F329+F338</f>
        <v>477980.31000000006</v>
      </c>
      <c r="G339" s="41">
        <f t="shared" si="20"/>
        <v>201434.69</v>
      </c>
      <c r="H339" s="41">
        <f t="shared" si="20"/>
        <v>57696.26</v>
      </c>
      <c r="I339" s="41">
        <f t="shared" si="20"/>
        <v>117242.03</v>
      </c>
      <c r="J339" s="41">
        <f t="shared" si="20"/>
        <v>471674.14</v>
      </c>
      <c r="K339" s="41">
        <f t="shared" si="20"/>
        <v>6801.2199999999993</v>
      </c>
      <c r="L339" s="41">
        <f t="shared" si="20"/>
        <v>1332828.6499999999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7501.07</v>
      </c>
      <c r="L346" s="19">
        <f t="shared" si="21"/>
        <v>7501.07</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7501.07</v>
      </c>
      <c r="L352" s="41">
        <f>SUM(L342:L351)</f>
        <v>7501.07</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477980.31000000006</v>
      </c>
      <c r="G353" s="41">
        <f>G339</f>
        <v>201434.69</v>
      </c>
      <c r="H353" s="41">
        <f>H339</f>
        <v>57696.26</v>
      </c>
      <c r="I353" s="41">
        <f>I339</f>
        <v>117242.03</v>
      </c>
      <c r="J353" s="41">
        <f>J339</f>
        <v>471674.14</v>
      </c>
      <c r="K353" s="47">
        <f>K339+K352</f>
        <v>14302.289999999999</v>
      </c>
      <c r="L353" s="41">
        <f>L339+L352</f>
        <v>1340329.72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82130.55+730+46073.24</f>
        <v>128933.79000000001</v>
      </c>
      <c r="I359" s="18">
        <f>139.57+867.43+58.56</f>
        <v>1065.56</v>
      </c>
      <c r="J359" s="18">
        <f>2844.15+940.72</f>
        <v>3784.87</v>
      </c>
      <c r="K359" s="18"/>
      <c r="L359" s="13">
        <f>SUM(F359:K359)</f>
        <v>133784.22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f>72114.63+3031.07</f>
        <v>75145.700000000012</v>
      </c>
      <c r="I361" s="18">
        <f>87.83+459.58+1732.06</f>
        <v>2279.4699999999998</v>
      </c>
      <c r="J361" s="18">
        <f>4442+1411.08</f>
        <v>5853.08</v>
      </c>
      <c r="K361" s="18"/>
      <c r="L361" s="19">
        <f>SUM(F361:K361)</f>
        <v>83278.250000000015</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204079.49000000002</v>
      </c>
      <c r="I363" s="47">
        <f t="shared" si="22"/>
        <v>3345.0299999999997</v>
      </c>
      <c r="J363" s="47">
        <f t="shared" si="22"/>
        <v>9637.9500000000007</v>
      </c>
      <c r="K363" s="47">
        <f t="shared" si="22"/>
        <v>0</v>
      </c>
      <c r="L363" s="47">
        <f t="shared" si="22"/>
        <v>217062.47000000003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117.24+867.43+65.77</f>
        <v>1050.44</v>
      </c>
      <c r="G369" s="63"/>
      <c r="H369" s="63">
        <v>2294.59</v>
      </c>
      <c r="I369" s="56">
        <f>SUM(F369:H369)</f>
        <v>3345.03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1050.44</v>
      </c>
      <c r="G370" s="47">
        <f>SUM(G368:G369)</f>
        <v>0</v>
      </c>
      <c r="H370" s="47">
        <f>SUM(H368:H369)</f>
        <v>2294.59</v>
      </c>
      <c r="I370" s="47">
        <f>SUM(I368:I369)</f>
        <v>3345.03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v>98369</v>
      </c>
      <c r="H400" s="18"/>
      <c r="I400" s="18"/>
      <c r="J400" s="24" t="s">
        <v>288</v>
      </c>
      <c r="K400" s="24" t="s">
        <v>288</v>
      </c>
      <c r="L400" s="56">
        <f t="shared" si="26"/>
        <v>98369</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98369</v>
      </c>
      <c r="H402" s="47">
        <f>SUM(H396:H401)</f>
        <v>0</v>
      </c>
      <c r="I402" s="47">
        <f>SUM(I396:I401)</f>
        <v>0</v>
      </c>
      <c r="J402" s="45" t="s">
        <v>288</v>
      </c>
      <c r="K402" s="45" t="s">
        <v>288</v>
      </c>
      <c r="L402" s="47">
        <f>SUM(L396:L401)</f>
        <v>98369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98369</v>
      </c>
      <c r="H409" s="47">
        <f>H394+H402+H408</f>
        <v>0</v>
      </c>
      <c r="I409" s="47">
        <f>I394+I402+I408</f>
        <v>0</v>
      </c>
      <c r="J409" s="24" t="s">
        <v>288</v>
      </c>
      <c r="K409" s="24" t="s">
        <v>288</v>
      </c>
      <c r="L409" s="47">
        <f>L394+L402+L408</f>
        <v>98369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170000</v>
      </c>
      <c r="I423" s="18"/>
      <c r="J423" s="18"/>
      <c r="K423" s="18"/>
      <c r="L423" s="56">
        <f t="shared" si="29"/>
        <v>170000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f>11937.81+17235.05+527.55</f>
        <v>29700.41</v>
      </c>
      <c r="K426" s="18"/>
      <c r="L426" s="56">
        <f t="shared" si="29"/>
        <v>29700.41</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170000</v>
      </c>
      <c r="I428" s="47">
        <f t="shared" si="30"/>
        <v>0</v>
      </c>
      <c r="J428" s="47">
        <f t="shared" si="30"/>
        <v>29700.41</v>
      </c>
      <c r="K428" s="47">
        <f t="shared" si="30"/>
        <v>0</v>
      </c>
      <c r="L428" s="47">
        <f t="shared" si="30"/>
        <v>199700.41</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170000</v>
      </c>
      <c r="I435" s="47">
        <f t="shared" si="32"/>
        <v>0</v>
      </c>
      <c r="J435" s="47">
        <f t="shared" si="32"/>
        <v>29700.41</v>
      </c>
      <c r="K435" s="47">
        <f t="shared" si="32"/>
        <v>0</v>
      </c>
      <c r="L435" s="47">
        <f t="shared" si="32"/>
        <v>199700.41</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596145.22</v>
      </c>
      <c r="H440" s="18"/>
      <c r="I440" s="56">
        <f t="shared" ref="I440:I446" si="33">SUM(F440:H440)</f>
        <v>596145.22</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596145.22</v>
      </c>
      <c r="H447" s="13">
        <f>SUM(H440:H446)</f>
        <v>0</v>
      </c>
      <c r="I447" s="13">
        <f>SUM(I440:I446)</f>
        <v>596145.22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v>596145.22</v>
      </c>
      <c r="H457" s="18"/>
      <c r="I457" s="56">
        <f t="shared" si="34"/>
        <v>596145.22</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596145.22</v>
      </c>
      <c r="H461" s="83">
        <f>SUM(H455:H460)</f>
        <v>0</v>
      </c>
      <c r="I461" s="83">
        <f>SUM(I455:I460)</f>
        <v>596145.22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596145.22</v>
      </c>
      <c r="H462" s="42">
        <f>H453+H461</f>
        <v>0</v>
      </c>
      <c r="I462" s="42">
        <f>I453+I461</f>
        <v>596145.22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111335.09</v>
      </c>
      <c r="G466" s="18"/>
      <c r="H466" s="18"/>
      <c r="I466" s="18"/>
      <c r="J466" s="18">
        <v>696044.2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5772199.0599999996</v>
      </c>
      <c r="G469" s="18">
        <f>224477.52+7501.07</f>
        <v>231978.59</v>
      </c>
      <c r="H469" s="18">
        <v>1340329.72</v>
      </c>
      <c r="I469" s="18"/>
      <c r="J469" s="18">
        <f>98369</f>
        <v>98369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1432.43</v>
      </c>
      <c r="K470" s="24" t="s">
        <v>288</v>
      </c>
      <c r="L470" s="24" t="s">
        <v>288</v>
      </c>
      <c r="N470" s="264"/>
    </row>
    <row r="471" spans="1:14" s="52" customFormat="1" ht="12.2" customHeight="1" x14ac:dyDescent="0.2">
      <c r="A471" s="92" t="s">
        <v>425</v>
      </c>
      <c r="B471" s="75">
        <v>19</v>
      </c>
      <c r="C471" s="80">
        <v>4</v>
      </c>
      <c r="D471" s="2" t="s">
        <v>432</v>
      </c>
      <c r="E471" s="80"/>
      <c r="F471" s="53">
        <f>SUM(F469:F470)</f>
        <v>5772199.0599999996</v>
      </c>
      <c r="G471" s="53">
        <f>SUM(G469:G470)</f>
        <v>231978.59</v>
      </c>
      <c r="H471" s="53">
        <f>SUM(H469:H470)</f>
        <v>1340329.72</v>
      </c>
      <c r="I471" s="53">
        <f>SUM(I469:I470)</f>
        <v>0</v>
      </c>
      <c r="J471" s="53">
        <f>SUM(J469:J470)</f>
        <v>99801.43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5488405.3399999999</v>
      </c>
      <c r="G473" s="18">
        <f>209561.4+7501.07</f>
        <v>217062.47</v>
      </c>
      <c r="H473" s="18">
        <v>1340329.72</v>
      </c>
      <c r="I473" s="18"/>
      <c r="J473" s="18">
        <f>170000+17235.05+527.55+11937.81</f>
        <v>199700.40999999997</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5488405.3399999999</v>
      </c>
      <c r="G475" s="53">
        <f>SUM(G473:G474)</f>
        <v>217062.47</v>
      </c>
      <c r="H475" s="53">
        <f>SUM(H473:H474)</f>
        <v>1340329.72</v>
      </c>
      <c r="I475" s="53">
        <f>SUM(I473:I474)</f>
        <v>0</v>
      </c>
      <c r="J475" s="53">
        <f>SUM(J473:J474)</f>
        <v>199700.40999999997</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395128.80999999959</v>
      </c>
      <c r="G477" s="53">
        <f>(G466+G471)- G475</f>
        <v>14916.119999999995</v>
      </c>
      <c r="H477" s="53">
        <f>(H466+H471)- H475</f>
        <v>0</v>
      </c>
      <c r="I477" s="53">
        <f>(I466+I471)- I475</f>
        <v>0</v>
      </c>
      <c r="J477" s="53">
        <f>(J466+J471)- J475</f>
        <v>596145.22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229356.49+121993.11</f>
        <v>351349.6</v>
      </c>
      <c r="G522" s="18">
        <f>59671.75+32863.1</f>
        <v>92534.85</v>
      </c>
      <c r="H522" s="18">
        <f>51650-60+36370.8</f>
        <v>87960.8</v>
      </c>
      <c r="I522" s="18">
        <f>11270.57+2061.23</f>
        <v>13331.8</v>
      </c>
      <c r="J522" s="18">
        <v>4946.8900000000003</v>
      </c>
      <c r="K522" s="18"/>
      <c r="L522" s="88">
        <f>SUM(F522:K522)</f>
        <v>550123.94000000006</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110936.33</v>
      </c>
      <c r="G524" s="18">
        <v>13924.74</v>
      </c>
      <c r="H524" s="18">
        <v>724.02</v>
      </c>
      <c r="I524" s="18">
        <v>790.58</v>
      </c>
      <c r="J524" s="18"/>
      <c r="K524" s="18"/>
      <c r="L524" s="88">
        <f>SUM(F524:K524)</f>
        <v>126375.67000000001</v>
      </c>
      <c r="N524" s="264"/>
    </row>
    <row r="525" spans="1:14" s="52" customFormat="1" ht="12.2" customHeight="1" thickTop="1" x14ac:dyDescent="0.2">
      <c r="A525" s="139" t="s">
        <v>63</v>
      </c>
      <c r="B525" s="107">
        <v>21</v>
      </c>
      <c r="C525" s="194">
        <v>4</v>
      </c>
      <c r="D525" s="195" t="s">
        <v>432</v>
      </c>
      <c r="E525" s="194"/>
      <c r="F525" s="108">
        <f>SUM(F522:F524)</f>
        <v>462285.93</v>
      </c>
      <c r="G525" s="108">
        <f t="shared" ref="G525:L525" si="36">SUM(G522:G524)</f>
        <v>106459.59000000001</v>
      </c>
      <c r="H525" s="108">
        <f t="shared" si="36"/>
        <v>88684.82</v>
      </c>
      <c r="I525" s="108">
        <f t="shared" si="36"/>
        <v>14122.38</v>
      </c>
      <c r="J525" s="108">
        <f t="shared" si="36"/>
        <v>4946.8900000000003</v>
      </c>
      <c r="K525" s="108">
        <f t="shared" si="36"/>
        <v>0</v>
      </c>
      <c r="L525" s="89">
        <f t="shared" si="36"/>
        <v>676499.6100000001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111648.31+39216.94</f>
        <v>150865.25</v>
      </c>
      <c r="G527" s="18">
        <f>40829.02+18065.7</f>
        <v>58894.720000000001</v>
      </c>
      <c r="H527" s="18">
        <f>354+297</f>
        <v>651</v>
      </c>
      <c r="I527" s="18">
        <v>916.39</v>
      </c>
      <c r="J527" s="18"/>
      <c r="K527" s="18"/>
      <c r="L527" s="88">
        <f>SUM(F527:K527)</f>
        <v>211327.36000000002</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v>24524.880000000001</v>
      </c>
      <c r="G529" s="18">
        <v>12778.81</v>
      </c>
      <c r="H529" s="18">
        <v>145</v>
      </c>
      <c r="I529" s="18">
        <v>484.6</v>
      </c>
      <c r="J529" s="18"/>
      <c r="K529" s="18"/>
      <c r="L529" s="88">
        <f>SUM(F529:K529)</f>
        <v>37933.29</v>
      </c>
      <c r="M529" s="8"/>
      <c r="N529" s="265"/>
    </row>
    <row r="530" spans="1:14" s="3" customFormat="1" ht="12.2" customHeight="1" thickTop="1" x14ac:dyDescent="0.15">
      <c r="A530" s="139" t="s">
        <v>65</v>
      </c>
      <c r="B530" s="107">
        <v>21</v>
      </c>
      <c r="C530" s="107">
        <v>8</v>
      </c>
      <c r="D530" s="158" t="s">
        <v>432</v>
      </c>
      <c r="E530" s="107"/>
      <c r="F530" s="89">
        <f>SUM(F527:F529)</f>
        <v>175390.13</v>
      </c>
      <c r="G530" s="89">
        <f t="shared" ref="G530:L530" si="37">SUM(G527:G529)</f>
        <v>71673.53</v>
      </c>
      <c r="H530" s="89">
        <f t="shared" si="37"/>
        <v>796</v>
      </c>
      <c r="I530" s="89">
        <f t="shared" si="37"/>
        <v>1400.99</v>
      </c>
      <c r="J530" s="89">
        <f t="shared" si="37"/>
        <v>0</v>
      </c>
      <c r="K530" s="89">
        <f t="shared" si="37"/>
        <v>0</v>
      </c>
      <c r="L530" s="89">
        <f t="shared" si="37"/>
        <v>249260.65000000002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31042.66+18324.93</f>
        <v>49367.59</v>
      </c>
      <c r="G532" s="18">
        <f>19274.24+11295.74</f>
        <v>30569.980000000003</v>
      </c>
      <c r="H532" s="18">
        <f>427.42+611.74</f>
        <v>1039.1600000000001</v>
      </c>
      <c r="I532" s="18">
        <v>449.13</v>
      </c>
      <c r="J532" s="18"/>
      <c r="K532" s="18">
        <f>2155.56+760.39</f>
        <v>2915.95</v>
      </c>
      <c r="L532" s="88">
        <f>SUM(F532:K532)</f>
        <v>84341.810000000012</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30247.62</v>
      </c>
      <c r="G534" s="18">
        <v>71950.03</v>
      </c>
      <c r="H534" s="18">
        <v>268.10000000000002</v>
      </c>
      <c r="I534" s="18">
        <v>487.86</v>
      </c>
      <c r="J534" s="18"/>
      <c r="K534" s="18">
        <v>992.34</v>
      </c>
      <c r="L534" s="88">
        <f>SUM(F534:K534)</f>
        <v>103945.95</v>
      </c>
      <c r="M534" s="8"/>
      <c r="N534" s="265"/>
    </row>
    <row r="535" spans="1:14" s="3" customFormat="1" ht="12.2" customHeight="1" thickTop="1" x14ac:dyDescent="0.15">
      <c r="A535" s="139" t="s">
        <v>67</v>
      </c>
      <c r="B535" s="107">
        <v>21</v>
      </c>
      <c r="C535" s="107">
        <v>12</v>
      </c>
      <c r="D535" s="158" t="s">
        <v>432</v>
      </c>
      <c r="E535" s="107"/>
      <c r="F535" s="89">
        <f>SUM(F532:F534)</f>
        <v>79615.209999999992</v>
      </c>
      <c r="G535" s="89">
        <f t="shared" ref="G535:L535" si="38">SUM(G532:G534)</f>
        <v>102520.01000000001</v>
      </c>
      <c r="H535" s="89">
        <f t="shared" si="38"/>
        <v>1307.2600000000002</v>
      </c>
      <c r="I535" s="89">
        <f t="shared" si="38"/>
        <v>936.99</v>
      </c>
      <c r="J535" s="89">
        <f t="shared" si="38"/>
        <v>0</v>
      </c>
      <c r="K535" s="89">
        <f t="shared" si="38"/>
        <v>3908.29</v>
      </c>
      <c r="L535" s="89">
        <f t="shared" si="38"/>
        <v>188287.76</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60</v>
      </c>
      <c r="I537" s="18"/>
      <c r="J537" s="18"/>
      <c r="K537" s="18"/>
      <c r="L537" s="88">
        <f>SUM(F537:K537)</f>
        <v>60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60</v>
      </c>
      <c r="I540" s="89">
        <f t="shared" si="39"/>
        <v>0</v>
      </c>
      <c r="J540" s="89">
        <f t="shared" si="39"/>
        <v>0</v>
      </c>
      <c r="K540" s="89">
        <f t="shared" si="39"/>
        <v>0</v>
      </c>
      <c r="L540" s="89">
        <f t="shared" si="39"/>
        <v>60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11008.97+10361.65</f>
        <v>21370.62</v>
      </c>
      <c r="I542" s="18"/>
      <c r="J542" s="18"/>
      <c r="K542" s="18"/>
      <c r="L542" s="88">
        <f>SUM(F542:K542)</f>
        <v>21370.62</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0</v>
      </c>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21370.62</v>
      </c>
      <c r="I545" s="192">
        <f t="shared" si="40"/>
        <v>0</v>
      </c>
      <c r="J545" s="192">
        <f t="shared" si="40"/>
        <v>0</v>
      </c>
      <c r="K545" s="192">
        <f t="shared" si="40"/>
        <v>0</v>
      </c>
      <c r="L545" s="192">
        <f t="shared" si="40"/>
        <v>21370.62</v>
      </c>
      <c r="M545" s="8"/>
      <c r="N545" s="265"/>
    </row>
    <row r="546" spans="1:14" s="3" customFormat="1" ht="12.2" customHeight="1" thickTop="1" x14ac:dyDescent="0.15">
      <c r="A546" s="98" t="s">
        <v>72</v>
      </c>
      <c r="B546" s="107">
        <v>21</v>
      </c>
      <c r="C546" s="107">
        <v>21</v>
      </c>
      <c r="D546" s="158" t="s">
        <v>432</v>
      </c>
      <c r="E546" s="107"/>
      <c r="F546" s="89">
        <f>F525+F530+F535+F540+F545</f>
        <v>717291.27</v>
      </c>
      <c r="G546" s="89">
        <f t="shared" ref="G546:L546" si="41">G525+G530+G535+G540+G545</f>
        <v>280653.13</v>
      </c>
      <c r="H546" s="89">
        <f t="shared" si="41"/>
        <v>112218.7</v>
      </c>
      <c r="I546" s="89">
        <f t="shared" si="41"/>
        <v>16460.36</v>
      </c>
      <c r="J546" s="89">
        <f t="shared" si="41"/>
        <v>4946.8900000000003</v>
      </c>
      <c r="K546" s="89">
        <f t="shared" si="41"/>
        <v>3908.29</v>
      </c>
      <c r="L546" s="89">
        <f t="shared" si="41"/>
        <v>1135478.6400000001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550123.94000000006</v>
      </c>
      <c r="G550" s="87">
        <f>L527</f>
        <v>211327.36000000002</v>
      </c>
      <c r="H550" s="87">
        <f>L532</f>
        <v>84341.810000000012</v>
      </c>
      <c r="I550" s="87">
        <f>L537</f>
        <v>60</v>
      </c>
      <c r="J550" s="87">
        <f>L542</f>
        <v>21370.62</v>
      </c>
      <c r="K550" s="87">
        <f>SUM(F550:J550)</f>
        <v>867223.7300000001</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126375.67000000001</v>
      </c>
      <c r="G552" s="87">
        <f>L529</f>
        <v>37933.29</v>
      </c>
      <c r="H552" s="87">
        <f>L534</f>
        <v>103945.95</v>
      </c>
      <c r="I552" s="87">
        <f>L539</f>
        <v>0</v>
      </c>
      <c r="J552" s="87">
        <f>L544</f>
        <v>0</v>
      </c>
      <c r="K552" s="87">
        <f>SUM(F552:J552)</f>
        <v>268254.91000000003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676499.6100000001</v>
      </c>
      <c r="G553" s="89">
        <f t="shared" si="42"/>
        <v>249260.65000000002</v>
      </c>
      <c r="H553" s="89">
        <f t="shared" si="42"/>
        <v>188287.76</v>
      </c>
      <c r="I553" s="89">
        <f t="shared" si="42"/>
        <v>60</v>
      </c>
      <c r="J553" s="89">
        <f t="shared" si="42"/>
        <v>21370.62</v>
      </c>
      <c r="K553" s="89">
        <f t="shared" si="42"/>
        <v>1135478.6400000001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36370.800000000003</v>
      </c>
      <c r="G583" s="18"/>
      <c r="H583" s="18"/>
      <c r="I583" s="87">
        <f t="shared" si="47"/>
        <v>36370.800000000003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14865.17</v>
      </c>
      <c r="I585" s="87">
        <f t="shared" si="47"/>
        <v>14865.17</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56363.38+31618.46</f>
        <v>87981.84</v>
      </c>
      <c r="I592" s="18"/>
      <c r="J592" s="18">
        <v>49489.79</v>
      </c>
      <c r="K592" s="104">
        <f t="shared" ref="K592:K598" si="48">SUM(H592:J592)</f>
        <v>137471.63</v>
      </c>
      <c r="L592" s="24" t="s">
        <v>288</v>
      </c>
      <c r="M592" s="8"/>
      <c r="N592" s="265"/>
    </row>
    <row r="593" spans="1:14" s="3" customFormat="1" ht="12.2" customHeight="1" x14ac:dyDescent="0.15">
      <c r="A593" s="3" t="s">
        <v>638</v>
      </c>
      <c r="B593" s="75">
        <v>23</v>
      </c>
      <c r="C593" s="75">
        <v>2</v>
      </c>
      <c r="D593" s="2" t="s">
        <v>432</v>
      </c>
      <c r="E593" s="75"/>
      <c r="F593" s="102">
        <v>2722</v>
      </c>
      <c r="G593" s="103" t="s">
        <v>97</v>
      </c>
      <c r="H593" s="18">
        <f>11008.97+10361.65</f>
        <v>21370.62</v>
      </c>
      <c r="I593" s="18"/>
      <c r="J593" s="18">
        <v>0</v>
      </c>
      <c r="K593" s="104">
        <f t="shared" si="48"/>
        <v>21370.62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f>4258.67+2789.02</f>
        <v>7047.6900000000005</v>
      </c>
      <c r="I595" s="18"/>
      <c r="J595" s="18">
        <v>14348.84</v>
      </c>
      <c r="K595" s="104">
        <f t="shared" si="48"/>
        <v>21396.53</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3495.25+1023.38</f>
        <v>4518.63</v>
      </c>
      <c r="I596" s="18"/>
      <c r="J596" s="18">
        <v>293.75</v>
      </c>
      <c r="K596" s="104">
        <f t="shared" si="48"/>
        <v>4812.38</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120918.78</v>
      </c>
      <c r="I599" s="108">
        <f>SUM(I592:I598)</f>
        <v>0</v>
      </c>
      <c r="J599" s="108">
        <f>SUM(J592:J598)</f>
        <v>64132.380000000005</v>
      </c>
      <c r="K599" s="108">
        <f>SUM(K592:K598)</f>
        <v>185051.16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22717.13+3786.89</f>
        <v>26504.02</v>
      </c>
      <c r="I605" s="18"/>
      <c r="J605" s="18">
        <v>84257.12</v>
      </c>
      <c r="K605" s="104">
        <f>SUM(H605:J605)</f>
        <v>110761.14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26504.02</v>
      </c>
      <c r="I606" s="108">
        <f>SUM(I603:I605)</f>
        <v>0</v>
      </c>
      <c r="J606" s="108">
        <f>SUM(J603:J605)</f>
        <v>84257.12</v>
      </c>
      <c r="K606" s="108">
        <f>SUM(K603:K605)</f>
        <v>110761.14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8760+7836.25</f>
        <v>16596.25</v>
      </c>
      <c r="G612" s="18">
        <f>1981.81+1604.34</f>
        <v>3586.1499999999996</v>
      </c>
      <c r="H612" s="18">
        <v>0</v>
      </c>
      <c r="I612" s="18">
        <f>1560.22+1566.56</f>
        <v>3126.7799999999997</v>
      </c>
      <c r="J612" s="18"/>
      <c r="K612" s="18"/>
      <c r="L612" s="88">
        <f>SUM(F612:K612)</f>
        <v>23309.18</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156.25</v>
      </c>
      <c r="G614" s="18">
        <v>209.65</v>
      </c>
      <c r="H614" s="18"/>
      <c r="I614" s="18"/>
      <c r="J614" s="18"/>
      <c r="K614" s="18"/>
      <c r="L614" s="88">
        <f>SUM(F614:K614)</f>
        <v>365.9</v>
      </c>
      <c r="M614" s="8"/>
      <c r="N614" s="265"/>
    </row>
    <row r="615" spans="1:14" s="3" customFormat="1" ht="12.2" customHeight="1" thickTop="1" x14ac:dyDescent="0.15">
      <c r="A615" s="98" t="s">
        <v>340</v>
      </c>
      <c r="B615" s="107">
        <v>23</v>
      </c>
      <c r="C615" s="107">
        <v>16</v>
      </c>
      <c r="D615" s="39" t="s">
        <v>432</v>
      </c>
      <c r="E615" s="107"/>
      <c r="F615" s="108">
        <f t="shared" ref="F615:L615" si="49">SUM(F612:F614)</f>
        <v>16752.5</v>
      </c>
      <c r="G615" s="108">
        <f t="shared" si="49"/>
        <v>3795.7999999999997</v>
      </c>
      <c r="H615" s="108">
        <f t="shared" si="49"/>
        <v>0</v>
      </c>
      <c r="I615" s="108">
        <f t="shared" si="49"/>
        <v>3126.7799999999997</v>
      </c>
      <c r="J615" s="108">
        <f t="shared" si="49"/>
        <v>0</v>
      </c>
      <c r="K615" s="108">
        <f t="shared" si="49"/>
        <v>0</v>
      </c>
      <c r="L615" s="89">
        <f t="shared" si="49"/>
        <v>23675.08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474041.1</v>
      </c>
      <c r="H618" s="109">
        <f>SUM(F52)</f>
        <v>474041.1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58943.68</v>
      </c>
      <c r="H619" s="109">
        <f>SUM(G52)</f>
        <v>58943.68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174463.53</v>
      </c>
      <c r="H620" s="109">
        <f>SUM(H52)</f>
        <v>174463.53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596145.22</v>
      </c>
      <c r="H622" s="109">
        <f>SUM(J52)</f>
        <v>596145.22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395128.81</v>
      </c>
      <c r="H623" s="109">
        <f>F477</f>
        <v>395128.80999999959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14916.12</v>
      </c>
      <c r="H624" s="109">
        <f>G477</f>
        <v>14916.119999999995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596145.22</v>
      </c>
      <c r="H627" s="109">
        <f>J477</f>
        <v>596145.22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5772199.0599999996</v>
      </c>
      <c r="H628" s="104">
        <f>SUM(F469)</f>
        <v>5772199.0599999996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231978.59</v>
      </c>
      <c r="H629" s="104">
        <f>SUM(G469)</f>
        <v>231978.59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1340329.72</v>
      </c>
      <c r="H630" s="104">
        <f>SUM(H469)</f>
        <v>1340329.72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98369</v>
      </c>
      <c r="H632" s="104">
        <f>SUM(J469)</f>
        <v>98369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5488405.3399999989</v>
      </c>
      <c r="H633" s="104">
        <f>SUM(F473)</f>
        <v>5488405.3399999999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1340329.72</v>
      </c>
      <c r="H634" s="104">
        <f>SUM(H473)</f>
        <v>1340329.72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3345.0299999999997</v>
      </c>
      <c r="H635" s="104">
        <f>I370</f>
        <v>3345.03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217062.47000000003</v>
      </c>
      <c r="H636" s="104">
        <f>SUM(G473)</f>
        <v>217062.47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98369</v>
      </c>
      <c r="H638" s="164">
        <f>SUM(J469)</f>
        <v>98369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199700.41</v>
      </c>
      <c r="H639" s="164">
        <f>SUM(J473)</f>
        <v>199700.40999999997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596145.22</v>
      </c>
      <c r="H641" s="104">
        <f>SUM(G462)</f>
        <v>596145.22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596145.22</v>
      </c>
      <c r="H643" s="104">
        <f>SUM(I462)</f>
        <v>596145.22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98369</v>
      </c>
      <c r="H646" s="104">
        <f>G409</f>
        <v>98369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98369</v>
      </c>
      <c r="H647" s="104">
        <f>L409</f>
        <v>98369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185051.16</v>
      </c>
      <c r="H648" s="104">
        <f>L209+L227+L245</f>
        <v>185051.16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110761.14</v>
      </c>
      <c r="H649" s="104">
        <f>(J258+J339)-(J256+J337)</f>
        <v>110761.14000000001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120918.78</v>
      </c>
      <c r="H650" s="104">
        <f>H599</f>
        <v>120918.78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64132.380000000005</v>
      </c>
      <c r="H652" s="104">
        <f>J599</f>
        <v>64132.380000000005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7501.07</v>
      </c>
      <c r="H653" s="104">
        <f>K264+K346</f>
        <v>7501.07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98369</v>
      </c>
      <c r="H656" s="104">
        <f>K267+K348</f>
        <v>98369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3988812.1699999995</v>
      </c>
      <c r="G661" s="19">
        <f>(L230+L310+L360)</f>
        <v>0</v>
      </c>
      <c r="H661" s="19">
        <f>(L248+L329+L361)</f>
        <v>2439532.0099999998</v>
      </c>
      <c r="I661" s="19">
        <f>SUM(F661:H661)</f>
        <v>6428344.1799999997</v>
      </c>
      <c r="J661" s="13"/>
      <c r="K661" s="13"/>
      <c r="L661" s="13"/>
      <c r="M661" s="9"/>
    </row>
    <row r="662" spans="1:13" s="3" customFormat="1" ht="12.2" customHeight="1" x14ac:dyDescent="0.2">
      <c r="A662" s="1" t="s">
        <v>127</v>
      </c>
      <c r="F662" s="19">
        <f>(L359/IF(SUM(L359:L361)=0,1,SUM(L359:L361))*(SUM(G97:G110)))</f>
        <v>8305.9788455645958</v>
      </c>
      <c r="G662" s="19">
        <f>(L360/IF(SUM(L359:L361)=0,1,SUM(L359:L361))*(SUM(G97:G110)))</f>
        <v>0</v>
      </c>
      <c r="H662" s="19">
        <f>(L361/IF(SUM(L359:L361)=0,1,SUM(L359:L361))*(SUM(G97:G110)))</f>
        <v>5170.3211544354026</v>
      </c>
      <c r="I662" s="19">
        <f>SUM(F662:H662)</f>
        <v>13476.3</v>
      </c>
      <c r="J662"/>
      <c r="K662" s="13"/>
      <c r="L662" s="13"/>
      <c r="M662" s="8"/>
    </row>
    <row r="663" spans="1:13" s="3" customFormat="1" ht="12.2" customHeight="1" x14ac:dyDescent="0.2">
      <c r="A663" s="1" t="s">
        <v>128</v>
      </c>
      <c r="F663" s="19">
        <f>(L209+L288)-(J209+J288)</f>
        <v>125609.77</v>
      </c>
      <c r="G663" s="19">
        <f>(L227+L307)-(J227+J307)</f>
        <v>0</v>
      </c>
      <c r="H663" s="19">
        <f>(L245+L326)-(J245+J326)</f>
        <v>64132.380000000005</v>
      </c>
      <c r="I663" s="19">
        <f>SUM(F663:H663)</f>
        <v>189742.15000000002</v>
      </c>
      <c r="J663"/>
      <c r="K663" s="13"/>
      <c r="L663" s="13"/>
      <c r="M663" s="9"/>
    </row>
    <row r="664" spans="1:13" s="3" customFormat="1" ht="12.2" customHeight="1" x14ac:dyDescent="0.15">
      <c r="A664" s="197" t="s">
        <v>129</v>
      </c>
      <c r="B664" s="169"/>
      <c r="C664" s="169"/>
      <c r="D664" s="169"/>
      <c r="E664" s="169"/>
      <c r="F664" s="198">
        <f>SUM(F576:F588)+SUM(H603:H605)+SUM(L612)</f>
        <v>86184</v>
      </c>
      <c r="G664" s="198">
        <f>SUM(G576:G588)+SUM(I603:I605)+L613</f>
        <v>0</v>
      </c>
      <c r="H664" s="198">
        <f>SUM(H576:H588)+SUM(J603:J605)+L614</f>
        <v>99488.189999999988</v>
      </c>
      <c r="I664" s="19">
        <f>SUM(F664:H664)</f>
        <v>185672.19</v>
      </c>
      <c r="J664" s="13"/>
      <c r="K664" s="13"/>
      <c r="L664" s="13"/>
      <c r="M664" s="9"/>
    </row>
    <row r="665" spans="1:13" s="3" customFormat="1" ht="12.2" customHeight="1" x14ac:dyDescent="0.15">
      <c r="A665" s="1" t="s">
        <v>130</v>
      </c>
      <c r="F665" s="19">
        <f>F661-SUM(F662:F664)</f>
        <v>3768712.4211544348</v>
      </c>
      <c r="G665" s="19">
        <f>G661-SUM(G662:G664)</f>
        <v>0</v>
      </c>
      <c r="H665" s="19">
        <f>H661-SUM(H662:H664)</f>
        <v>2270741.1188455643</v>
      </c>
      <c r="I665" s="19">
        <f>I661-SUM(I662:I664)</f>
        <v>6039453.54</v>
      </c>
      <c r="J665" s="13"/>
      <c r="K665" s="13"/>
      <c r="L665" s="13"/>
      <c r="M665" s="8"/>
    </row>
    <row r="666" spans="1:13" s="3" customFormat="1" ht="12.2" customHeight="1" x14ac:dyDescent="0.2">
      <c r="A666" s="1" t="s">
        <v>131</v>
      </c>
      <c r="F666" s="245">
        <v>189.19</v>
      </c>
      <c r="G666" s="246"/>
      <c r="H666" s="246">
        <v>122.55</v>
      </c>
      <c r="I666" s="19">
        <f>SUM(F666:H666)</f>
        <v>311.74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19920.25</v>
      </c>
      <c r="G668" s="19" t="e">
        <f>ROUND(G665/G666,2)</f>
        <v>#DIV/0!</v>
      </c>
      <c r="H668" s="19">
        <f>ROUND(H665/H666,2)</f>
        <v>18529.099999999999</v>
      </c>
      <c r="I668" s="19">
        <f>ROUND(I665/I666,2)</f>
        <v>19373.37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-3.5</v>
      </c>
      <c r="I671" s="19">
        <f>SUM(F671:H671)</f>
        <v>-3.5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19920.25</v>
      </c>
      <c r="G673" s="19" t="e">
        <f>ROUND((G665+G670)/(G666+G671),2)</f>
        <v>#DIV/0!</v>
      </c>
      <c r="H673" s="19">
        <f>ROUND((H665+H670)/(H666+H671),2)</f>
        <v>19073.84</v>
      </c>
      <c r="I673" s="19">
        <f>ROUND((I665+I670)/(I666+I671),2)</f>
        <v>19593.349999999999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27983.05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4416.15+5045.8+10880.86</f>
        <v>20342.810000000001</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f>1990.24+5650</f>
        <v>7640.24</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Northumberland</v>
      </c>
      <c r="C5" s="376"/>
      <c r="D5" s="376"/>
      <c r="E5" s="376"/>
      <c r="F5" s="376"/>
    </row>
    <row r="8" spans="1:9" ht="18" x14ac:dyDescent="0.25">
      <c r="A8" s="312" t="s">
        <v>1568</v>
      </c>
      <c r="F8" s="319" t="s">
        <v>1586</v>
      </c>
    </row>
    <row r="9" spans="1:9" ht="15" x14ac:dyDescent="0.2">
      <c r="A9" s="310" t="s">
        <v>1569</v>
      </c>
      <c r="B9" s="313">
        <f>'DOE25'!G97</f>
        <v>5525.9</v>
      </c>
      <c r="F9" s="310" t="s">
        <v>1582</v>
      </c>
    </row>
    <row r="10" spans="1:9" ht="15" x14ac:dyDescent="0.2">
      <c r="A10" s="310" t="s">
        <v>1570</v>
      </c>
      <c r="B10" s="313">
        <f>'DOE25'!G112-'DOE25'!G97</f>
        <v>7950.4</v>
      </c>
      <c r="F10" s="310" t="s">
        <v>1583</v>
      </c>
    </row>
    <row r="11" spans="1:9" ht="15" x14ac:dyDescent="0.2">
      <c r="A11" s="310" t="s">
        <v>1571</v>
      </c>
      <c r="B11" s="313">
        <f>'DOE25'!G140</f>
        <v>2921.44</v>
      </c>
      <c r="F11" s="310" t="s">
        <v>1584</v>
      </c>
    </row>
    <row r="12" spans="1:9" ht="15" x14ac:dyDescent="0.2">
      <c r="A12" s="310" t="s">
        <v>1572</v>
      </c>
      <c r="B12" s="313">
        <f>'DOE25'!G170</f>
        <v>208079.78</v>
      </c>
      <c r="F12" s="310" t="s">
        <v>1585</v>
      </c>
    </row>
    <row r="13" spans="1:9" ht="15" x14ac:dyDescent="0.2">
      <c r="A13" s="310" t="s">
        <v>1573</v>
      </c>
      <c r="B13" s="313">
        <f>'DOE25'!G193-'DOE25'!G180</f>
        <v>7501.07</v>
      </c>
      <c r="F13" s="310" t="s">
        <v>1595</v>
      </c>
    </row>
    <row r="14" spans="1:9" ht="18" x14ac:dyDescent="0.25">
      <c r="A14" s="312" t="s">
        <v>732</v>
      </c>
      <c r="B14" s="314">
        <f>SUM(B9:B13)</f>
        <v>231978.59</v>
      </c>
    </row>
    <row r="16" spans="1:9" ht="18" x14ac:dyDescent="0.25">
      <c r="A16" s="312" t="s">
        <v>786</v>
      </c>
      <c r="F16" s="319" t="s">
        <v>1587</v>
      </c>
    </row>
    <row r="17" spans="1:6" ht="15" x14ac:dyDescent="0.2">
      <c r="A17" s="310" t="s">
        <v>1574</v>
      </c>
      <c r="B17" s="313">
        <f>'DOE25'!L363-'DOE25'!L362</f>
        <v>217062.47000000003</v>
      </c>
      <c r="F17" s="310" t="s">
        <v>1588</v>
      </c>
    </row>
    <row r="18" spans="1:6" ht="15" x14ac:dyDescent="0.2">
      <c r="A18" s="310" t="s">
        <v>1575</v>
      </c>
      <c r="B18" s="323"/>
      <c r="F18" s="319" t="s">
        <v>1612</v>
      </c>
    </row>
    <row r="19" spans="1:6" ht="18" x14ac:dyDescent="0.25">
      <c r="A19" s="312" t="s">
        <v>725</v>
      </c>
      <c r="B19" s="314">
        <f>SUM(B17:B18)</f>
        <v>217062.47000000003</v>
      </c>
    </row>
    <row r="21" spans="1:6" ht="18.75" thickBot="1" x14ac:dyDescent="0.3">
      <c r="A21" s="312" t="s">
        <v>1576</v>
      </c>
    </row>
    <row r="22" spans="1:6" ht="18.75" thickTop="1" x14ac:dyDescent="0.25">
      <c r="A22" s="312" t="s">
        <v>1577</v>
      </c>
      <c r="B22" s="318">
        <f>B14-B19</f>
        <v>14916.119999999966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14916.119999999995</v>
      </c>
      <c r="F33" s="310" t="s">
        <v>1593</v>
      </c>
    </row>
    <row r="36" spans="1:6" ht="15" x14ac:dyDescent="0.2">
      <c r="A36" s="310" t="s">
        <v>1579</v>
      </c>
      <c r="B36" s="324">
        <v>14283.02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40" sqref="B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Northumberland</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1671633.8199999998</v>
      </c>
      <c r="C9" s="228">
        <f>'DOE25'!G198+'DOE25'!G216+'DOE25'!G234+'DOE25'!G277+'DOE25'!G296+'DOE25'!G315</f>
        <v>716799.00000000012</v>
      </c>
    </row>
    <row r="10" spans="1:3" x14ac:dyDescent="0.2">
      <c r="A10" t="s">
        <v>775</v>
      </c>
      <c r="B10" s="239">
        <f>394022.68+276534.03+670661.17+197169.91+14455.43</f>
        <v>1552843.2199999997</v>
      </c>
      <c r="C10" s="239">
        <f>151234.16+150429.16+295254.48+106614.42+4183.83</f>
        <v>707716.05</v>
      </c>
    </row>
    <row r="11" spans="1:3" x14ac:dyDescent="0.2">
      <c r="A11" t="s">
        <v>776</v>
      </c>
      <c r="B11" s="239">
        <f>19380.48+7225.14+29935.03+24260.03</f>
        <v>80800.679999999993</v>
      </c>
      <c r="C11" s="239">
        <f>1482.61+552.72+2290.03+1855.89</f>
        <v>6181.2500000000009</v>
      </c>
    </row>
    <row r="12" spans="1:3" x14ac:dyDescent="0.2">
      <c r="A12" t="s">
        <v>777</v>
      </c>
      <c r="B12" s="239">
        <f>9095+4632.5+20362.42+3900</f>
        <v>37989.919999999998</v>
      </c>
      <c r="C12" s="239">
        <f>695.76+354.39+1557.73+293.82</f>
        <v>2901.7000000000003</v>
      </c>
    </row>
    <row r="13" spans="1:3" x14ac:dyDescent="0.2">
      <c r="A13" t="str">
        <f>IF(B9=B13,IF(C9=C13,"Check Total OK","Check Total Error"),"Check Total Error")</f>
        <v>Check Total OK</v>
      </c>
      <c r="B13" s="230">
        <f>SUM(B10:B12)</f>
        <v>1671633.8199999996</v>
      </c>
      <c r="C13" s="230">
        <f>SUM(C10:C12)</f>
        <v>716799</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462285.93</v>
      </c>
      <c r="C18" s="228">
        <f>'DOE25'!G199+'DOE25'!G217+'DOE25'!G235+'DOE25'!G278+'DOE25'!G297+'DOE25'!G316</f>
        <v>106459.59000000001</v>
      </c>
    </row>
    <row r="19" spans="1:3" x14ac:dyDescent="0.2">
      <c r="A19" t="s">
        <v>775</v>
      </c>
      <c r="B19" s="239">
        <f>104362.84+83999+16251.75</f>
        <v>204613.59</v>
      </c>
      <c r="C19" s="239">
        <f>50109.74+29956.55+6681.37</f>
        <v>86747.659999999989</v>
      </c>
    </row>
    <row r="20" spans="1:3" x14ac:dyDescent="0.2">
      <c r="A20" t="s">
        <v>776</v>
      </c>
      <c r="B20" s="239">
        <f>115919.9+37356.61+91539.58</f>
        <v>244816.09000000003</v>
      </c>
      <c r="C20" s="239">
        <f>8867.87+2857.78+7002.78</f>
        <v>18728.43</v>
      </c>
    </row>
    <row r="21" spans="1:3" x14ac:dyDescent="0.2">
      <c r="A21" t="s">
        <v>777</v>
      </c>
      <c r="B21" s="239">
        <f>9073.75+637.5+3145</f>
        <v>12856.25</v>
      </c>
      <c r="C21" s="239">
        <f>694.14+48.77+240.59</f>
        <v>983.5</v>
      </c>
    </row>
    <row r="22" spans="1:3" x14ac:dyDescent="0.2">
      <c r="A22" t="str">
        <f>IF(B18=B22,IF(C18=C22,"Check Total OK","Check Total Error"),"Check Total Error")</f>
        <v>Check Total OK</v>
      </c>
      <c r="B22" s="230">
        <f>SUM(B19:B21)</f>
        <v>462285.93000000005</v>
      </c>
      <c r="C22" s="230">
        <f>SUM(C19:C21)</f>
        <v>106459.59</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65563.5</v>
      </c>
      <c r="C36" s="234">
        <f>'DOE25'!G201+'DOE25'!G219+'DOE25'!G237+'DOE25'!G280+'DOE25'!G299+'DOE25'!G318</f>
        <v>12516.34</v>
      </c>
    </row>
    <row r="37" spans="1:3" x14ac:dyDescent="0.2">
      <c r="A37" t="s">
        <v>775</v>
      </c>
      <c r="B37" s="239"/>
      <c r="C37" s="239"/>
    </row>
    <row r="38" spans="1:3" x14ac:dyDescent="0.2">
      <c r="A38" t="s">
        <v>776</v>
      </c>
      <c r="B38" s="239">
        <f>2520+1280</f>
        <v>3800</v>
      </c>
      <c r="C38" s="239">
        <f>192.79+97.92</f>
        <v>290.70999999999998</v>
      </c>
    </row>
    <row r="39" spans="1:3" x14ac:dyDescent="0.2">
      <c r="A39" t="s">
        <v>777</v>
      </c>
      <c r="B39" s="239">
        <f>11880+6163.05+30580.45+6240+6900</f>
        <v>61763.5</v>
      </c>
      <c r="C39" s="239">
        <f>3431.59+1102.15+4481.81+1789.02+1421.06</f>
        <v>12225.63</v>
      </c>
    </row>
    <row r="40" spans="1:3" x14ac:dyDescent="0.2">
      <c r="A40" t="str">
        <f>IF(B36=B40,IF(C36=C40,"Check Total OK","Check Total Error"),"Check Total Error")</f>
        <v>Check Total OK</v>
      </c>
      <c r="B40" s="230">
        <f>SUM(B37:B39)</f>
        <v>65563.5</v>
      </c>
      <c r="C40" s="230">
        <f>SUM(C37:C39)</f>
        <v>12516.339999999998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31" sqref="D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Northumberland</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2924757.0199999996</v>
      </c>
      <c r="D5" s="20">
        <f>SUM('DOE25'!L198:L201)+SUM('DOE25'!L216:L219)+SUM('DOE25'!L234:L237)-F5-G5-H5</f>
        <v>2908783.6399999992</v>
      </c>
      <c r="E5" s="242"/>
      <c r="F5" s="243"/>
      <c r="G5" s="53">
        <f>SUM('DOE25'!J198:J201)+SUM('DOE25'!J216:J219)+SUM('DOE25'!J234:J237)</f>
        <v>10308.66</v>
      </c>
      <c r="H5" s="53">
        <f>SUM('DOE25'!K198:K201)+SUM('DOE25'!K216:K219)+SUM('DOE25'!K234:K237)</f>
        <v>5664.72</v>
      </c>
      <c r="I5" s="255"/>
    </row>
    <row r="6" spans="1:9" x14ac:dyDescent="0.2">
      <c r="A6" s="32">
        <v>2100</v>
      </c>
      <c r="B6" t="s">
        <v>796</v>
      </c>
      <c r="C6" s="274">
        <f t="shared" si="0"/>
        <v>495726.59</v>
      </c>
      <c r="D6" s="20">
        <f>'DOE25'!L203+'DOE25'!L221+'DOE25'!L239-F6-G6-H6</f>
        <v>492402.34</v>
      </c>
      <c r="E6" s="242"/>
      <c r="F6" s="243"/>
      <c r="G6" s="53">
        <f>'DOE25'!J203+'DOE25'!J221+'DOE25'!J239</f>
        <v>1526.25</v>
      </c>
      <c r="H6" s="53">
        <f>'DOE25'!K203+'DOE25'!K221+'DOE25'!K239</f>
        <v>1798</v>
      </c>
      <c r="I6" s="255"/>
    </row>
    <row r="7" spans="1:9" x14ac:dyDescent="0.2">
      <c r="A7" s="32">
        <v>2200</v>
      </c>
      <c r="B7" t="s">
        <v>821</v>
      </c>
      <c r="C7" s="274">
        <f t="shared" si="0"/>
        <v>113452.01</v>
      </c>
      <c r="D7" s="20">
        <f>'DOE25'!L204+'DOE25'!L222+'DOE25'!L240-F7-G7-H7</f>
        <v>112928.9</v>
      </c>
      <c r="E7" s="242"/>
      <c r="F7" s="243"/>
      <c r="G7" s="53">
        <f>'DOE25'!J204+'DOE25'!J222+'DOE25'!J240</f>
        <v>0</v>
      </c>
      <c r="H7" s="53">
        <f>'DOE25'!K204+'DOE25'!K222+'DOE25'!K240</f>
        <v>523.11</v>
      </c>
      <c r="I7" s="255"/>
    </row>
    <row r="8" spans="1:9" x14ac:dyDescent="0.2">
      <c r="A8" s="32">
        <v>2300</v>
      </c>
      <c r="B8" t="s">
        <v>797</v>
      </c>
      <c r="C8" s="274">
        <f t="shared" si="0"/>
        <v>261011.77</v>
      </c>
      <c r="D8" s="242"/>
      <c r="E8" s="20">
        <f>'DOE25'!L205+'DOE25'!L223+'DOE25'!L241-F8-G8-H8-D9-D11</f>
        <v>256469.02</v>
      </c>
      <c r="F8" s="243"/>
      <c r="G8" s="53">
        <f>'DOE25'!J205+'DOE25'!J223+'DOE25'!J241</f>
        <v>0</v>
      </c>
      <c r="H8" s="53">
        <f>'DOE25'!K205+'DOE25'!K223+'DOE25'!K241</f>
        <v>4542.75</v>
      </c>
      <c r="I8" s="255"/>
    </row>
    <row r="9" spans="1:9" ht="14.25" x14ac:dyDescent="0.2">
      <c r="A9" s="32">
        <v>2310</v>
      </c>
      <c r="B9" s="184" t="s">
        <v>888</v>
      </c>
      <c r="C9" s="274">
        <f t="shared" si="0"/>
        <v>58404.91</v>
      </c>
      <c r="D9" s="243">
        <v>58404.91</v>
      </c>
      <c r="E9" s="242"/>
      <c r="F9" s="252"/>
      <c r="G9" s="252"/>
      <c r="H9" s="252"/>
      <c r="I9" s="255"/>
    </row>
    <row r="10" spans="1:9" ht="14.25" x14ac:dyDescent="0.2">
      <c r="A10" s="32">
        <v>2317</v>
      </c>
      <c r="B10" s="184" t="s">
        <v>889</v>
      </c>
      <c r="C10" s="274">
        <f t="shared" si="0"/>
        <v>11000</v>
      </c>
      <c r="D10" s="242"/>
      <c r="E10" s="243">
        <v>11000</v>
      </c>
      <c r="F10" s="252"/>
      <c r="G10" s="252"/>
      <c r="H10" s="252"/>
      <c r="I10" s="255"/>
    </row>
    <row r="11" spans="1:9" ht="14.25" x14ac:dyDescent="0.2">
      <c r="A11" s="32">
        <v>2321</v>
      </c>
      <c r="B11" s="184" t="s">
        <v>890</v>
      </c>
      <c r="C11" s="274">
        <f t="shared" si="0"/>
        <v>165839.23000000001</v>
      </c>
      <c r="D11" s="243">
        <v>165839.23000000001</v>
      </c>
      <c r="E11" s="242"/>
      <c r="F11" s="252"/>
      <c r="G11" s="252"/>
      <c r="H11" s="252"/>
      <c r="I11" s="255"/>
    </row>
    <row r="12" spans="1:9" x14ac:dyDescent="0.2">
      <c r="A12" s="32">
        <v>2400</v>
      </c>
      <c r="B12" t="s">
        <v>711</v>
      </c>
      <c r="C12" s="274">
        <f t="shared" si="0"/>
        <v>629527.44999999995</v>
      </c>
      <c r="D12" s="20">
        <f>'DOE25'!L206+'DOE25'!L224+'DOE25'!L242-F12-G12-H12</f>
        <v>613222.05999999994</v>
      </c>
      <c r="E12" s="242"/>
      <c r="F12" s="243"/>
      <c r="G12" s="53">
        <f>'DOE25'!J206+'DOE25'!J224+'DOE25'!J242</f>
        <v>1176.1300000000001</v>
      </c>
      <c r="H12" s="53">
        <f>'DOE25'!K206+'DOE25'!K224+'DOE25'!K242</f>
        <v>15129.260000000002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540393.61</v>
      </c>
      <c r="D14" s="20">
        <f>'DOE25'!L208+'DOE25'!L226+'DOE25'!L244-F14-G14-H14</f>
        <v>540083.65</v>
      </c>
      <c r="E14" s="242"/>
      <c r="F14" s="243"/>
      <c r="G14" s="53">
        <f>'DOE25'!J208+'DOE25'!J226+'DOE25'!J244</f>
        <v>309.95999999999998</v>
      </c>
      <c r="H14" s="53">
        <f>'DOE25'!K208+'DOE25'!K226+'DOE25'!K244</f>
        <v>0</v>
      </c>
      <c r="I14" s="255"/>
    </row>
    <row r="15" spans="1:9" x14ac:dyDescent="0.2">
      <c r="A15" s="32">
        <v>2700</v>
      </c>
      <c r="B15" t="s">
        <v>799</v>
      </c>
      <c r="C15" s="274">
        <f t="shared" si="0"/>
        <v>185051.16</v>
      </c>
      <c r="D15" s="20">
        <f>'DOE25'!L209+'DOE25'!L227+'DOE25'!L245-F15-G15-H15</f>
        <v>72579.53</v>
      </c>
      <c r="E15" s="242"/>
      <c r="F15" s="243">
        <v>112471.63</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15872.59</v>
      </c>
      <c r="D17" s="20">
        <f>'DOE25'!L252-F17-G17-H17</f>
        <v>15872.59</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374234</v>
      </c>
      <c r="D22" s="242"/>
      <c r="E22" s="242"/>
      <c r="F22" s="242"/>
      <c r="G22" s="53">
        <f>'DOE25'!L256+'DOE25'!L337</f>
        <v>374234</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217062.47000000003</v>
      </c>
      <c r="D29" s="282">
        <f>'DOE25'!L359+'DOE25'!L360+'DOE25'!L361-'DOE25'!I368-F29-G29-H29</f>
        <v>135881.74000000002</v>
      </c>
      <c r="E29" s="242"/>
      <c r="F29" s="243">
        <v>71542.78</v>
      </c>
      <c r="G29" s="53">
        <f>'DOE25'!J359+'DOE25'!J360+'DOE25'!J361</f>
        <v>9637.9500000000007</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958594.65</v>
      </c>
      <c r="D31" s="20">
        <f>'DOE25'!L291+'DOE25'!L310+'DOE25'!L329+'DOE25'!L334+'DOE25'!L335+'DOE25'!L336-F31-G31-H31</f>
        <v>854353.29</v>
      </c>
      <c r="E31" s="242"/>
      <c r="F31" s="243"/>
      <c r="G31" s="53">
        <f>'DOE25'!J291+'DOE25'!J310+'DOE25'!J329+'DOE25'!J334+'DOE25'!J335+'DOE25'!J336</f>
        <v>97440.140000000014</v>
      </c>
      <c r="H31" s="53">
        <f>'DOE25'!K291+'DOE25'!K310+'DOE25'!K329+'DOE25'!K334+'DOE25'!K335+'DOE25'!K336</f>
        <v>6801.2199999999993</v>
      </c>
      <c r="I31" s="255"/>
    </row>
    <row r="32" spans="1:9" ht="12" thickBot="1" x14ac:dyDescent="0.25">
      <c r="C32" s="275"/>
      <c r="G32" s="250"/>
      <c r="H32" s="250"/>
      <c r="I32" s="257"/>
    </row>
    <row r="33" spans="1:9" ht="12" thickTop="1" x14ac:dyDescent="0.2">
      <c r="B33" t="s">
        <v>809</v>
      </c>
      <c r="D33" s="244">
        <f t="shared" ref="D33:I33" si="1">SUM(D5:D31)</f>
        <v>5970351.8799999999</v>
      </c>
      <c r="E33" s="244">
        <f t="shared" si="1"/>
        <v>267469.02</v>
      </c>
      <c r="F33" s="244">
        <f t="shared" si="1"/>
        <v>184014.41</v>
      </c>
      <c r="G33" s="244">
        <f t="shared" si="1"/>
        <v>494633.09</v>
      </c>
      <c r="H33" s="244">
        <f t="shared" si="1"/>
        <v>34459.060000000005</v>
      </c>
      <c r="I33" s="244">
        <f t="shared" si="1"/>
        <v>0</v>
      </c>
    </row>
    <row r="35" spans="1:9" ht="12" thickBot="1" x14ac:dyDescent="0.25">
      <c r="B35" s="250" t="s">
        <v>831</v>
      </c>
      <c r="D35" s="251">
        <f>E33</f>
        <v>267469.02</v>
      </c>
      <c r="E35" s="247"/>
      <c r="F35" s="328" t="s">
        <v>1617</v>
      </c>
      <c r="G35" s="329"/>
      <c r="H35" s="329"/>
      <c r="I35" s="329"/>
    </row>
    <row r="36" spans="1:9" ht="12" thickTop="1" x14ac:dyDescent="0.2">
      <c r="B36" t="s">
        <v>810</v>
      </c>
      <c r="D36" s="20">
        <f>D33</f>
        <v>5970351.8799999999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Northumberland</v>
      </c>
      <c r="B2" s="126">
        <f>'DOE25'!B2</f>
        <v>407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3855027.9499999993</v>
      </c>
      <c r="G4" s="299">
        <f>'DOE25'!L212+'DOE25'!L291</f>
        <v>3855027.9499999993</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36370.800000000003</v>
      </c>
      <c r="E5" s="290"/>
      <c r="F5" s="303">
        <f>D5+E5</f>
        <v>36370.800000000003</v>
      </c>
      <c r="G5" s="293"/>
      <c r="H5" s="293"/>
      <c r="I5" s="385"/>
      <c r="N5"/>
    </row>
    <row r="6" spans="1:18" x14ac:dyDescent="0.2">
      <c r="A6" s="126" t="str" cm="1">
        <f t="array" ref="A6">IFERROR(INDEX('School Tables'!$A$4:$G$325,'School Tables'!$J4,3),"")</f>
        <v>Groveton Elementary School</v>
      </c>
      <c r="B6" s="300">
        <f>IFERROR(VLOOKUP(A6,'School Tables'!$C$3:$D$365,2,FALSE),"")</f>
        <v>22905</v>
      </c>
      <c r="C6" s="293" t="str">
        <f>IFERROR(INDEX('School Tables'!$B$3:$B$365,MATCH('School Level Expenditures'!B6,'School Tables'!$D$3:$D$365,0)),"")</f>
        <v>Northumberland</v>
      </c>
      <c r="D6" s="290">
        <f>2015277.98+1189470.91-223.66-1114006.19-111608.86</f>
        <v>1978910.1799999995</v>
      </c>
      <c r="E6" s="290">
        <f>557576.27+56555.65-51375.65</f>
        <v>562756.27</v>
      </c>
      <c r="F6" s="303">
        <f t="shared" ref="F6:F20" si="0">D6+E6</f>
        <v>2541666.4499999993</v>
      </c>
      <c r="G6" s="293"/>
      <c r="H6" s="293"/>
      <c r="I6" s="385"/>
      <c r="N6"/>
    </row>
    <row r="7" spans="1:18" x14ac:dyDescent="0.2">
      <c r="A7" s="126" t="str" cm="1">
        <f t="array" ref="A7">IFERROR(INDEX('School Tables'!$A$4:$G$325,'School Tables'!$J5,3),"")</f>
        <v>Groveton High School (Middle)</v>
      </c>
      <c r="B7" s="300">
        <f>IFERROR(VLOOKUP(A7,'School Tables'!$C$3:$D$365,2,FALSE),"")</f>
        <v>26600</v>
      </c>
      <c r="C7" s="293" t="str">
        <f>IFERROR(INDEX('School Tables'!$B$3:$B$365,MATCH('School Level Expenditures'!B7,'School Tables'!$D$3:$D$365,0)),"")</f>
        <v>Northumberland</v>
      </c>
      <c r="D7" s="372">
        <f>1114006.19+111608.86</f>
        <v>1225615.05</v>
      </c>
      <c r="E7" s="372">
        <f>50685.65+690</f>
        <v>51375.65</v>
      </c>
      <c r="F7" s="303">
        <f t="shared" si="0"/>
        <v>1276990.7</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3240896.0299999993</v>
      </c>
      <c r="E21" s="338">
        <f>SUM(E5:E20)</f>
        <v>614131.92000000004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2356253.7600000002</v>
      </c>
      <c r="G36" s="299">
        <f>'DOE25'!L248+'DOE25'!L329</f>
        <v>2356253.7599999998</v>
      </c>
      <c r="H36" s="340">
        <f>F36-G36</f>
        <v>0</v>
      </c>
      <c r="I36" s="384" t="str">
        <f>IF(H36=0,"","ISSUES!! Please review page 9 and 13 totals in comparison with total on this page")</f>
        <v/>
      </c>
      <c r="N36"/>
    </row>
    <row r="37" spans="1:14" x14ac:dyDescent="0.2">
      <c r="A37" s="126" t="s">
        <v>1548</v>
      </c>
      <c r="B37" s="300">
        <v>99999</v>
      </c>
      <c r="C37" s="293" t="s">
        <v>1548</v>
      </c>
      <c r="D37" s="290">
        <v>14865.17</v>
      </c>
      <c r="E37" s="290"/>
      <c r="F37" s="303">
        <f t="shared" ref="F37:F42" si="2">D37+E37</f>
        <v>14865.17</v>
      </c>
      <c r="G37" s="293"/>
      <c r="H37" s="293"/>
      <c r="I37" s="385"/>
      <c r="N37"/>
    </row>
    <row r="38" spans="1:14" x14ac:dyDescent="0.2">
      <c r="A38" s="126" t="str" cm="1">
        <f t="array" ref="A38">IFERROR(INDEX('School Tables'!$W$4:$AC$100,'School Tables'!$AF4,3),"")</f>
        <v>Groveton High School</v>
      </c>
      <c r="B38" s="300">
        <f>IFERROR(VLOOKUP(A38,'School Tables'!$Y$4:$Z$100,2,FALSE),"")</f>
        <v>22900</v>
      </c>
      <c r="C38" s="293" t="str">
        <f>IFERROR(INDEX('School Tables'!$X$4:$X$100,MATCH('School Level Expenditures'!A38,'School Tables'!$Y$4:$Y$100,0)),"")</f>
        <v>Northumberland</v>
      </c>
      <c r="D38" s="290">
        <f>2133603.22-14865.17-335.5</f>
        <v>2118402.5500000003</v>
      </c>
      <c r="E38" s="290">
        <v>222986.04</v>
      </c>
      <c r="F38" s="303">
        <f t="shared" si="2"/>
        <v>2341388.5900000003</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2133267.7200000002</v>
      </c>
      <c r="E43" s="339">
        <f>SUM(E37:E42)</f>
        <v>222986.04</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4"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Northumberland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224299.47</v>
      </c>
      <c r="D8" s="95">
        <f>'DOE25'!G9</f>
        <v>0</v>
      </c>
      <c r="E8" s="95">
        <f>'DOE25'!H9</f>
        <v>0</v>
      </c>
      <c r="F8" s="95">
        <f>'DOE25'!I9</f>
        <v>0</v>
      </c>
      <c r="G8" s="95">
        <f>'DOE25'!J9</f>
        <v>596145.22</v>
      </c>
      <c r="H8" s="124">
        <f>SUM(C8:G8)</f>
        <v>820444.69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233407.21</v>
      </c>
      <c r="D11" s="95">
        <f>'DOE25'!G12</f>
        <v>0</v>
      </c>
      <c r="E11" s="95">
        <f>'DOE25'!H12</f>
        <v>0</v>
      </c>
      <c r="F11" s="95">
        <f>'DOE25'!I12</f>
        <v>0</v>
      </c>
      <c r="G11" s="95">
        <f>'DOE25'!J12</f>
        <v>0</v>
      </c>
      <c r="H11" s="124">
        <f t="shared" si="0"/>
        <v>233407.21</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16334.42</v>
      </c>
      <c r="D13" s="95">
        <f>'DOE25'!G14</f>
        <v>58943.68</v>
      </c>
      <c r="E13" s="95">
        <f>'DOE25'!H14</f>
        <v>174463.53</v>
      </c>
      <c r="F13" s="95">
        <f>'DOE25'!I14</f>
        <v>0</v>
      </c>
      <c r="G13" s="95">
        <f>'DOE25'!J14</f>
        <v>0</v>
      </c>
      <c r="H13" s="124">
        <f t="shared" si="0"/>
        <v>249741.63</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474041.1</v>
      </c>
      <c r="D18" s="41">
        <f>SUM(D8:D17)</f>
        <v>58943.68</v>
      </c>
      <c r="E18" s="41">
        <f>SUM(E8:E17)</f>
        <v>174463.53</v>
      </c>
      <c r="F18" s="41">
        <f>SUM(F8:F17)</f>
        <v>0</v>
      </c>
      <c r="G18" s="41">
        <f>SUM(G8:G17)</f>
        <v>596145.22</v>
      </c>
      <c r="H18" s="41">
        <f t="shared" si="0"/>
        <v>1303593.53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44027.56</v>
      </c>
      <c r="E21" s="95">
        <f>'DOE25'!H22</f>
        <v>174463.53</v>
      </c>
      <c r="F21" s="95">
        <f>'DOE25'!I22</f>
        <v>0</v>
      </c>
      <c r="G21" s="95">
        <f>'DOE25'!J22</f>
        <v>0</v>
      </c>
      <c r="H21" s="124">
        <f t="shared" ref="H21:H31" si="1">SUM(C21:G21)</f>
        <v>218491.09</v>
      </c>
      <c r="I21" s="124"/>
    </row>
    <row r="22" spans="1:9" x14ac:dyDescent="0.2">
      <c r="A22" s="1" t="s">
        <v>151</v>
      </c>
      <c r="B22" s="6">
        <v>410</v>
      </c>
      <c r="C22" s="95">
        <f>'DOE25'!F23</f>
        <v>37420.51</v>
      </c>
      <c r="D22" s="95">
        <f>'DOE25'!G23</f>
        <v>0</v>
      </c>
      <c r="E22" s="95">
        <f>'DOE25'!H23</f>
        <v>0</v>
      </c>
      <c r="F22" s="95">
        <f>'DOE25'!I23</f>
        <v>0</v>
      </c>
      <c r="G22" s="95">
        <f>'DOE25'!J23</f>
        <v>0</v>
      </c>
      <c r="H22" s="124">
        <f t="shared" si="1"/>
        <v>37420.51</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6156.38</v>
      </c>
      <c r="D28" s="95">
        <f>'DOE25'!G29</f>
        <v>0</v>
      </c>
      <c r="E28" s="95">
        <f>'DOE25'!H29</f>
        <v>0</v>
      </c>
      <c r="F28" s="95">
        <f>'DOE25'!I29</f>
        <v>0</v>
      </c>
      <c r="G28" s="24" t="s">
        <v>288</v>
      </c>
      <c r="H28" s="124">
        <f t="shared" si="1"/>
        <v>6156.38</v>
      </c>
      <c r="I28" s="124"/>
    </row>
    <row r="29" spans="1:9" x14ac:dyDescent="0.2">
      <c r="A29" s="1" t="s">
        <v>158</v>
      </c>
      <c r="B29" s="6">
        <v>480</v>
      </c>
      <c r="C29" s="95">
        <f>'DOE25'!F30</f>
        <v>20413.68</v>
      </c>
      <c r="D29" s="95">
        <f>'DOE25'!G30</f>
        <v>0</v>
      </c>
      <c r="E29" s="95">
        <f>'DOE25'!H30</f>
        <v>0</v>
      </c>
      <c r="F29" s="95">
        <f>'DOE25'!I30</f>
        <v>0</v>
      </c>
      <c r="G29" s="24" t="s">
        <v>288</v>
      </c>
      <c r="H29" s="124">
        <f t="shared" si="1"/>
        <v>20413.68</v>
      </c>
      <c r="I29" s="124"/>
    </row>
    <row r="30" spans="1:9" ht="12" thickBot="1" x14ac:dyDescent="0.25">
      <c r="A30" s="1" t="s">
        <v>159</v>
      </c>
      <c r="B30" s="71">
        <v>490</v>
      </c>
      <c r="C30" s="95">
        <f>'DOE25'!F31</f>
        <v>14921.72</v>
      </c>
      <c r="D30" s="95">
        <f>'DOE25'!G31</f>
        <v>0</v>
      </c>
      <c r="E30" s="95">
        <f>'DOE25'!H31</f>
        <v>0</v>
      </c>
      <c r="F30" s="95">
        <f>'DOE25'!I31</f>
        <v>0</v>
      </c>
      <c r="G30" s="95">
        <f>'DOE25'!J31</f>
        <v>0</v>
      </c>
      <c r="H30" s="124">
        <f t="shared" si="1"/>
        <v>14921.72</v>
      </c>
      <c r="I30" s="124"/>
    </row>
    <row r="31" spans="1:9" ht="12" thickTop="1" x14ac:dyDescent="0.2">
      <c r="A31" s="38" t="s">
        <v>160</v>
      </c>
      <c r="B31" s="2"/>
      <c r="C31" s="41">
        <f>SUM(C21:C30)</f>
        <v>78912.289999999994</v>
      </c>
      <c r="D31" s="41">
        <f>SUM(D21:D30)</f>
        <v>44027.56</v>
      </c>
      <c r="E31" s="41">
        <f>SUM(E21:E30)</f>
        <v>174463.53</v>
      </c>
      <c r="F31" s="41">
        <f>SUM(F21:F30)</f>
        <v>0</v>
      </c>
      <c r="G31" s="41">
        <f>SUM(G21:G30)</f>
        <v>0</v>
      </c>
      <c r="H31" s="41">
        <f t="shared" si="1"/>
        <v>297403.38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14916.12</v>
      </c>
      <c r="E39" s="24" t="s">
        <v>288</v>
      </c>
      <c r="F39" s="24" t="s">
        <v>288</v>
      </c>
      <c r="G39" s="24" t="s">
        <v>288</v>
      </c>
      <c r="H39" s="124">
        <f t="shared" si="2"/>
        <v>14916.12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596145.22</v>
      </c>
      <c r="H42" s="124">
        <f t="shared" si="2"/>
        <v>596145.22</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96618.7</v>
      </c>
      <c r="D45" s="24" t="s">
        <v>288</v>
      </c>
      <c r="E45" s="24" t="s">
        <v>288</v>
      </c>
      <c r="F45" s="24" t="s">
        <v>288</v>
      </c>
      <c r="G45" s="24" t="s">
        <v>288</v>
      </c>
      <c r="H45" s="124">
        <f t="shared" si="2"/>
        <v>96618.7</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298510.11</v>
      </c>
      <c r="D49" s="24" t="s">
        <v>288</v>
      </c>
      <c r="E49" s="24" t="s">
        <v>288</v>
      </c>
      <c r="F49" s="24" t="s">
        <v>288</v>
      </c>
      <c r="G49" s="24" t="s">
        <v>288</v>
      </c>
      <c r="H49" s="124">
        <f t="shared" si="2"/>
        <v>298510.11</v>
      </c>
      <c r="I49" s="124"/>
    </row>
    <row r="50" spans="1:9" ht="12.75" thickTop="1" thickBot="1" x14ac:dyDescent="0.25">
      <c r="A50" s="38" t="s">
        <v>884</v>
      </c>
      <c r="B50" s="48"/>
      <c r="C50" s="41">
        <f>SUM(C34:C49)</f>
        <v>395128.81</v>
      </c>
      <c r="D50" s="41">
        <f>SUM(D34:D49)</f>
        <v>14916.12</v>
      </c>
      <c r="E50" s="41">
        <f>SUM(E34:E49)</f>
        <v>0</v>
      </c>
      <c r="F50" s="41">
        <f>SUM(F34:F49)</f>
        <v>0</v>
      </c>
      <c r="G50" s="41">
        <f>SUM(G34:G49)</f>
        <v>596145.22</v>
      </c>
      <c r="H50" s="41">
        <f t="shared" si="2"/>
        <v>1006190.1499999999</v>
      </c>
      <c r="I50" s="124"/>
    </row>
    <row r="51" spans="1:9" ht="12" thickTop="1" x14ac:dyDescent="0.2">
      <c r="A51" s="38" t="s">
        <v>885</v>
      </c>
      <c r="B51" s="2"/>
      <c r="C51" s="41">
        <f>C50+C31</f>
        <v>474041.1</v>
      </c>
      <c r="D51" s="41">
        <f>D50+D31</f>
        <v>58943.68</v>
      </c>
      <c r="E51" s="41">
        <f>E50+E31</f>
        <v>174463.53</v>
      </c>
      <c r="F51" s="41">
        <f>F50+F31</f>
        <v>0</v>
      </c>
      <c r="G51" s="41">
        <f>G50+G31</f>
        <v>596145.22</v>
      </c>
      <c r="H51" s="41">
        <f t="shared" si="2"/>
        <v>1303593.53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1764027</v>
      </c>
      <c r="D56" s="95">
        <f>'DOE25'!G60</f>
        <v>0</v>
      </c>
      <c r="E56" s="95">
        <f>'DOE25'!H60</f>
        <v>0</v>
      </c>
      <c r="F56" s="95">
        <f>'DOE25'!I60</f>
        <v>0</v>
      </c>
      <c r="G56" s="95">
        <f>'DOE25'!J60</f>
        <v>0</v>
      </c>
      <c r="H56" s="124">
        <f t="shared" ref="H56:H63" si="3">SUM(C56:G56)</f>
        <v>1764027</v>
      </c>
      <c r="I56"/>
    </row>
    <row r="57" spans="1:9" x14ac:dyDescent="0.2">
      <c r="A57" s="1" t="s">
        <v>164</v>
      </c>
      <c r="B57" s="6" t="s">
        <v>165</v>
      </c>
      <c r="C57" s="95">
        <f>'DOE25'!F79</f>
        <v>988738.65</v>
      </c>
      <c r="D57" s="24" t="s">
        <v>288</v>
      </c>
      <c r="E57" s="95">
        <f>'DOE25'!H79</f>
        <v>0</v>
      </c>
      <c r="F57" s="24" t="s">
        <v>288</v>
      </c>
      <c r="G57" s="24" t="s">
        <v>288</v>
      </c>
      <c r="H57" s="124">
        <f t="shared" si="3"/>
        <v>988738.65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1273.67</v>
      </c>
      <c r="D59" s="95">
        <f>'DOE25'!G96</f>
        <v>0</v>
      </c>
      <c r="E59" s="95">
        <f>'DOE25'!H96</f>
        <v>0</v>
      </c>
      <c r="F59" s="95">
        <f>'DOE25'!I96</f>
        <v>0</v>
      </c>
      <c r="G59" s="95">
        <f>'DOE25'!J96</f>
        <v>0</v>
      </c>
      <c r="H59" s="124">
        <f t="shared" si="3"/>
        <v>1273.67</v>
      </c>
      <c r="I59"/>
    </row>
    <row r="60" spans="1:9" x14ac:dyDescent="0.2">
      <c r="A60" s="1" t="s">
        <v>170</v>
      </c>
      <c r="B60" s="118" t="s">
        <v>171</v>
      </c>
      <c r="C60" s="24" t="s">
        <v>288</v>
      </c>
      <c r="D60" s="95">
        <f>'DOE25'!G97</f>
        <v>5525.9</v>
      </c>
      <c r="E60" s="24" t="s">
        <v>288</v>
      </c>
      <c r="F60" s="24" t="s">
        <v>288</v>
      </c>
      <c r="G60" s="24" t="s">
        <v>288</v>
      </c>
      <c r="H60" s="124">
        <f t="shared" si="3"/>
        <v>5525.9</v>
      </c>
      <c r="I60"/>
    </row>
    <row r="61" spans="1:9" ht="12" thickBot="1" x14ac:dyDescent="0.25">
      <c r="A61" s="1" t="s">
        <v>172</v>
      </c>
      <c r="B61" s="118" t="s">
        <v>173</v>
      </c>
      <c r="C61" s="95">
        <f>SUM('DOE25'!F98:F110)</f>
        <v>28259.24</v>
      </c>
      <c r="D61" s="95">
        <f>SUM('DOE25'!G98:G110)</f>
        <v>7950.4</v>
      </c>
      <c r="E61" s="95">
        <f>SUM('DOE25'!H98:H110)</f>
        <v>0</v>
      </c>
      <c r="F61" s="95">
        <f>SUM('DOE25'!I98:I110)</f>
        <v>0</v>
      </c>
      <c r="G61" s="95">
        <f>SUM('DOE25'!J98:J110)</f>
        <v>0</v>
      </c>
      <c r="H61" s="124">
        <f t="shared" si="3"/>
        <v>36209.64</v>
      </c>
      <c r="I61"/>
    </row>
    <row r="62" spans="1:9" ht="12.75" thickTop="1" thickBot="1" x14ac:dyDescent="0.25">
      <c r="A62" s="29" t="s">
        <v>174</v>
      </c>
      <c r="B62" s="6"/>
      <c r="C62" s="130">
        <f>SUM(C57:C61)</f>
        <v>1018271.56</v>
      </c>
      <c r="D62" s="130">
        <f>SUM(D57:D61)</f>
        <v>13476.3</v>
      </c>
      <c r="E62" s="130">
        <f>SUM(E57:E61)</f>
        <v>0</v>
      </c>
      <c r="F62" s="130">
        <f>SUM(F57:F61)</f>
        <v>0</v>
      </c>
      <c r="G62" s="130">
        <f>SUM(G57:G61)</f>
        <v>0</v>
      </c>
      <c r="H62" s="124">
        <f t="shared" si="3"/>
        <v>1031747.8600000001</v>
      </c>
      <c r="I62"/>
    </row>
    <row r="63" spans="1:9" ht="12" thickTop="1" x14ac:dyDescent="0.2">
      <c r="A63" s="29" t="s">
        <v>175</v>
      </c>
      <c r="B63" s="6"/>
      <c r="C63" s="22">
        <f>C56+C62</f>
        <v>2782298.56</v>
      </c>
      <c r="D63" s="22">
        <f>D56+D62</f>
        <v>13476.3</v>
      </c>
      <c r="E63" s="22">
        <f>E56+E62</f>
        <v>0</v>
      </c>
      <c r="F63" s="22">
        <f>F56+F62</f>
        <v>0</v>
      </c>
      <c r="G63" s="22">
        <f>G56+G62</f>
        <v>0</v>
      </c>
      <c r="H63" s="124">
        <f t="shared" si="3"/>
        <v>2795774.86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2784250.41</v>
      </c>
      <c r="D66" s="24" t="s">
        <v>288</v>
      </c>
      <c r="E66" s="24" t="s">
        <v>288</v>
      </c>
      <c r="F66" s="24" t="s">
        <v>288</v>
      </c>
      <c r="G66" s="24" t="s">
        <v>288</v>
      </c>
      <c r="H66" s="124">
        <f t="shared" ref="H66:H81" si="4">SUM(C66:G66)</f>
        <v>2784250.41</v>
      </c>
      <c r="I66"/>
    </row>
    <row r="67" spans="1:9" x14ac:dyDescent="0.2">
      <c r="A67" s="1" t="s">
        <v>770</v>
      </c>
      <c r="B67" s="6">
        <v>3112</v>
      </c>
      <c r="C67" s="95">
        <f>'DOE25'!F118</f>
        <v>168347</v>
      </c>
      <c r="D67" s="24"/>
      <c r="E67" s="24"/>
      <c r="F67" s="24"/>
      <c r="G67" s="24"/>
      <c r="H67" s="124">
        <f t="shared" si="4"/>
        <v>168347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2952597.41</v>
      </c>
      <c r="D70" s="139">
        <f>D69</f>
        <v>0</v>
      </c>
      <c r="E70" s="139">
        <f>E69</f>
        <v>0</v>
      </c>
      <c r="F70" s="139">
        <f>F69</f>
        <v>0</v>
      </c>
      <c r="G70" s="139">
        <f>G69</f>
        <v>0</v>
      </c>
      <c r="H70" s="124">
        <f t="shared" si="4"/>
        <v>2952597.41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7413.2</v>
      </c>
      <c r="D76" s="24" t="s">
        <v>288</v>
      </c>
      <c r="E76" s="95">
        <f>SUM('DOE25'!H127:H130)</f>
        <v>0</v>
      </c>
      <c r="F76" s="95">
        <f>SUM('DOE25'!I127:I130)</f>
        <v>0</v>
      </c>
      <c r="G76" s="24" t="s">
        <v>288</v>
      </c>
      <c r="H76" s="124">
        <f t="shared" si="4"/>
        <v>7413.2</v>
      </c>
      <c r="I76"/>
    </row>
    <row r="77" spans="1:9" ht="12" thickBot="1" x14ac:dyDescent="0.25">
      <c r="A77" s="1" t="s">
        <v>258</v>
      </c>
      <c r="B77" s="6" t="s">
        <v>180</v>
      </c>
      <c r="C77" s="95">
        <f>SUM('DOE25'!F131:F135)</f>
        <v>0</v>
      </c>
      <c r="D77" s="95">
        <f>SUM('DOE25'!G131:G135)</f>
        <v>2921.44</v>
      </c>
      <c r="E77" s="95">
        <f>SUM('DOE25'!H131:H135)</f>
        <v>0</v>
      </c>
      <c r="F77" s="95">
        <f>SUM('DOE25'!I131:I135)</f>
        <v>0</v>
      </c>
      <c r="G77" s="95">
        <f>SUM('DOE25'!J131:J135)</f>
        <v>0</v>
      </c>
      <c r="H77" s="124">
        <f t="shared" si="4"/>
        <v>2921.44</v>
      </c>
      <c r="I77"/>
    </row>
    <row r="78" spans="1:9" ht="12.75" thickTop="1" thickBot="1" x14ac:dyDescent="0.25">
      <c r="A78" s="29" t="s">
        <v>259</v>
      </c>
      <c r="B78" s="6"/>
      <c r="C78" s="130">
        <f>SUM(C72:C77)</f>
        <v>7413.2</v>
      </c>
      <c r="D78" s="130">
        <f>SUM(D72:D77)</f>
        <v>2921.44</v>
      </c>
      <c r="E78" s="130">
        <f>SUM(E72:E77)</f>
        <v>0</v>
      </c>
      <c r="F78" s="130">
        <f>SUM(F72:F77)</f>
        <v>0</v>
      </c>
      <c r="G78" s="130">
        <f>SUM(G72:G77)</f>
        <v>0</v>
      </c>
      <c r="H78" s="124">
        <f t="shared" si="4"/>
        <v>10334.64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2960010.6100000003</v>
      </c>
      <c r="D81" s="130">
        <f>SUM(D79:D80)+D78+D70</f>
        <v>2921.44</v>
      </c>
      <c r="E81" s="130">
        <f>SUM(E79:E80)+E78+E70</f>
        <v>0</v>
      </c>
      <c r="F81" s="130">
        <f>SUM(F79:F80)+F78+F70</f>
        <v>0</v>
      </c>
      <c r="G81" s="130">
        <f>SUM(G79:G80)+G78+G70</f>
        <v>0</v>
      </c>
      <c r="H81" s="130">
        <f t="shared" si="4"/>
        <v>2962932.0500000003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22303.62</v>
      </c>
      <c r="D88" s="326">
        <f>SUM('DOE25'!G153:G162)</f>
        <v>208079.78</v>
      </c>
      <c r="E88" s="326">
        <f>SUM('DOE25'!H153:H162)</f>
        <v>1235007.82</v>
      </c>
      <c r="F88" s="326">
        <f>SUM('DOE25'!I153:I162)</f>
        <v>0</v>
      </c>
      <c r="G88" s="24" t="s">
        <v>288</v>
      </c>
      <c r="H88" s="124">
        <f t="shared" si="5"/>
        <v>1465391.22</v>
      </c>
    </row>
    <row r="89" spans="1:9" x14ac:dyDescent="0.2">
      <c r="A89" t="s">
        <v>748</v>
      </c>
      <c r="B89" s="32" t="s">
        <v>185</v>
      </c>
      <c r="C89" s="95">
        <f>'DOE25'!F164+'DOE25'!F167+'DOE25'!F169</f>
        <v>0</v>
      </c>
      <c r="D89" s="95">
        <f>'DOE25'!G164+'DOE25'!G169</f>
        <v>0</v>
      </c>
      <c r="E89" s="95">
        <f>'DOE25'!H164+'DOE25'!H169</f>
        <v>105321.9</v>
      </c>
      <c r="F89" s="95">
        <f>'DOE25'!I164</f>
        <v>0</v>
      </c>
      <c r="G89" s="24" t="s">
        <v>288</v>
      </c>
      <c r="H89" s="124">
        <f t="shared" si="5"/>
        <v>105321.9</v>
      </c>
    </row>
    <row r="90" spans="1:9" ht="12" thickBot="1" x14ac:dyDescent="0.25">
      <c r="A90" t="s">
        <v>749</v>
      </c>
      <c r="B90" s="32">
        <v>4810</v>
      </c>
      <c r="C90" s="95">
        <f>'DOE25'!F166</f>
        <v>7586.27</v>
      </c>
      <c r="D90" s="24" t="s">
        <v>288</v>
      </c>
      <c r="E90" s="24" t="s">
        <v>288</v>
      </c>
      <c r="F90" s="24" t="s">
        <v>288</v>
      </c>
      <c r="G90" s="24" t="s">
        <v>288</v>
      </c>
      <c r="H90" s="124">
        <f t="shared" si="5"/>
        <v>7586.27</v>
      </c>
    </row>
    <row r="91" spans="1:9" ht="12.75" thickTop="1" thickBot="1" x14ac:dyDescent="0.25">
      <c r="A91" s="33" t="s">
        <v>750</v>
      </c>
      <c r="C91" s="131">
        <f>SUM(C85:C90)</f>
        <v>29889.89</v>
      </c>
      <c r="D91" s="131">
        <f>SUM(D85:D90)</f>
        <v>208079.78</v>
      </c>
      <c r="E91" s="131">
        <f>SUM(E85:E90)</f>
        <v>1340329.72</v>
      </c>
      <c r="F91" s="131">
        <f>SUM(F85:F90)</f>
        <v>0</v>
      </c>
      <c r="G91" s="24" t="s">
        <v>288</v>
      </c>
      <c r="H91" s="124">
        <f t="shared" si="5"/>
        <v>1578299.39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98369</v>
      </c>
      <c r="H96" s="124">
        <f t="shared" si="5"/>
        <v>98369</v>
      </c>
    </row>
    <row r="97" spans="1:8" x14ac:dyDescent="0.2">
      <c r="A97" t="s">
        <v>754</v>
      </c>
      <c r="B97" s="32" t="s">
        <v>188</v>
      </c>
      <c r="C97" s="95">
        <f>SUM('DOE25'!F181:F182)</f>
        <v>0</v>
      </c>
      <c r="D97" s="95">
        <f>SUM('DOE25'!G181:G182)</f>
        <v>7501.07</v>
      </c>
      <c r="E97" s="95">
        <f>SUM('DOE25'!H181:H182)</f>
        <v>0</v>
      </c>
      <c r="F97" s="95">
        <f>SUM('DOE25'!I181:I182)</f>
        <v>0</v>
      </c>
      <c r="G97" s="95">
        <f>SUM('DOE25'!J181:J182)</f>
        <v>0</v>
      </c>
      <c r="H97" s="124">
        <f t="shared" si="5"/>
        <v>7501.07</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7501.07</v>
      </c>
      <c r="E103" s="86">
        <f>SUM(E93:E102)</f>
        <v>0</v>
      </c>
      <c r="F103" s="86">
        <f>SUM(F93:F102)</f>
        <v>0</v>
      </c>
      <c r="G103" s="86">
        <f>SUM(G93:G102)</f>
        <v>98369</v>
      </c>
      <c r="H103" s="86">
        <f t="shared" si="5"/>
        <v>105870.07</v>
      </c>
    </row>
    <row r="104" spans="1:8" ht="12.75" thickTop="1" thickBot="1" x14ac:dyDescent="0.25">
      <c r="A104" s="33" t="s">
        <v>761</v>
      </c>
      <c r="C104" s="86">
        <f>C63+C81+C91+C103</f>
        <v>5772199.0599999996</v>
      </c>
      <c r="D104" s="86">
        <f>D63+D81+D91+D103</f>
        <v>231978.59</v>
      </c>
      <c r="E104" s="86">
        <f>E63+E81+E91+E103</f>
        <v>1340329.72</v>
      </c>
      <c r="F104" s="86">
        <f>F63+F81+F91+F103</f>
        <v>0</v>
      </c>
      <c r="G104" s="86">
        <f>G63+G81+G103</f>
        <v>98369</v>
      </c>
      <c r="H104" s="86">
        <f t="shared" si="5"/>
        <v>7442876.3699999992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2169159.63</v>
      </c>
      <c r="D109" s="24" t="s">
        <v>288</v>
      </c>
      <c r="E109" s="95">
        <f>('DOE25'!L277)+('DOE25'!L296)+('DOE25'!L315)</f>
        <v>440336.85</v>
      </c>
      <c r="F109" s="24" t="s">
        <v>288</v>
      </c>
      <c r="G109" s="24" t="s">
        <v>288</v>
      </c>
      <c r="H109" s="124">
        <f t="shared" ref="H109:H115" si="6">SUM(C109:G109)</f>
        <v>2609496.48</v>
      </c>
    </row>
    <row r="110" spans="1:8" x14ac:dyDescent="0.2">
      <c r="A110" t="s">
        <v>198</v>
      </c>
      <c r="B110" s="32" t="s">
        <v>199</v>
      </c>
      <c r="C110" s="95">
        <f>('DOE25'!L199)+('DOE25'!L217)+('DOE25'!L235)</f>
        <v>656213.27</v>
      </c>
      <c r="D110" s="24" t="s">
        <v>288</v>
      </c>
      <c r="E110" s="95">
        <f>('DOE25'!L278)+('DOE25'!L297)+('DOE25'!L316)</f>
        <v>11666.029999999999</v>
      </c>
      <c r="F110" s="24" t="s">
        <v>288</v>
      </c>
      <c r="G110" s="24" t="s">
        <v>288</v>
      </c>
      <c r="H110" s="124">
        <f t="shared" si="6"/>
        <v>667879.30000000005</v>
      </c>
    </row>
    <row r="111" spans="1:8" x14ac:dyDescent="0.2">
      <c r="A111" t="s">
        <v>200</v>
      </c>
      <c r="B111" s="32" t="s">
        <v>165</v>
      </c>
      <c r="C111" s="95">
        <f>('DOE25'!L200)+('DOE25'!L218)+('DOE25'!L236)</f>
        <v>14865.17</v>
      </c>
      <c r="D111" s="24" t="s">
        <v>288</v>
      </c>
      <c r="E111" s="95">
        <f>('DOE25'!L279)+('DOE25'!L298)+('DOE25'!L317)</f>
        <v>0</v>
      </c>
      <c r="F111" s="24" t="s">
        <v>288</v>
      </c>
      <c r="G111" s="24" t="s">
        <v>288</v>
      </c>
      <c r="H111" s="124">
        <f t="shared" si="6"/>
        <v>14865.17</v>
      </c>
    </row>
    <row r="112" spans="1:8" x14ac:dyDescent="0.2">
      <c r="A112" t="s">
        <v>201</v>
      </c>
      <c r="B112" s="32" t="s">
        <v>167</v>
      </c>
      <c r="C112" s="95">
        <f>('DOE25'!L201)+('DOE25'!L219)+('DOE25'!L237)</f>
        <v>84518.950000000012</v>
      </c>
      <c r="D112" s="24" t="s">
        <v>288</v>
      </c>
      <c r="E112" s="95">
        <f>+('DOE25'!L280)+('DOE25'!L299)+('DOE25'!L318)</f>
        <v>25647.279999999999</v>
      </c>
      <c r="F112" s="24" t="s">
        <v>288</v>
      </c>
      <c r="G112" s="24" t="s">
        <v>288</v>
      </c>
      <c r="H112" s="124">
        <f t="shared" si="6"/>
        <v>110166.23000000001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15872.59</v>
      </c>
      <c r="D114" s="24" t="s">
        <v>288</v>
      </c>
      <c r="E114" s="95">
        <f>+ SUM('DOE25'!L334:L336)</f>
        <v>121476.69000000002</v>
      </c>
      <c r="F114" s="24" t="s">
        <v>288</v>
      </c>
      <c r="G114" s="24" t="s">
        <v>288</v>
      </c>
      <c r="H114" s="124">
        <f t="shared" si="6"/>
        <v>137349.28000000003</v>
      </c>
    </row>
    <row r="115" spans="1:8" ht="12.75" thickTop="1" thickBot="1" x14ac:dyDescent="0.25">
      <c r="A115" s="33" t="s">
        <v>205</v>
      </c>
      <c r="C115" s="86">
        <f>SUM(C109:C114)</f>
        <v>2940629.61</v>
      </c>
      <c r="D115" s="86">
        <f>SUM(D109:D114)</f>
        <v>0</v>
      </c>
      <c r="E115" s="86">
        <f>SUM(E109:E114)</f>
        <v>599126.85000000009</v>
      </c>
      <c r="F115" s="86">
        <f>SUM(F109:F114)</f>
        <v>0</v>
      </c>
      <c r="G115" s="86">
        <f>SUM(G109:G114)</f>
        <v>0</v>
      </c>
      <c r="H115" s="86">
        <f t="shared" si="6"/>
        <v>3539756.46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495726.59</v>
      </c>
      <c r="D118" s="24" t="s">
        <v>288</v>
      </c>
      <c r="E118" s="95">
        <f>+('DOE25'!L282)+('DOE25'!L301)+('DOE25'!L320)</f>
        <v>240700.59999999998</v>
      </c>
      <c r="F118" s="24" t="s">
        <v>288</v>
      </c>
      <c r="G118" s="24" t="s">
        <v>288</v>
      </c>
      <c r="H118" s="124">
        <f t="shared" ref="H118:H145" si="7">SUM(C118:G118)</f>
        <v>736427.19</v>
      </c>
    </row>
    <row r="119" spans="1:8" x14ac:dyDescent="0.2">
      <c r="A119" t="s">
        <v>208</v>
      </c>
      <c r="B119" s="32" t="s">
        <v>209</v>
      </c>
      <c r="C119" s="95">
        <f>('DOE25'!L204)+('DOE25'!L222)+('DOE25'!L240)</f>
        <v>113452.01</v>
      </c>
      <c r="D119" s="24" t="s">
        <v>288</v>
      </c>
      <c r="E119" s="95">
        <f>+('DOE25'!L283)+('DOE25'!L302)+('DOE25'!L321)</f>
        <v>74898.7</v>
      </c>
      <c r="F119" s="24" t="s">
        <v>288</v>
      </c>
      <c r="G119" s="24" t="s">
        <v>288</v>
      </c>
      <c r="H119" s="124">
        <f t="shared" si="7"/>
        <v>188350.71</v>
      </c>
    </row>
    <row r="120" spans="1:8" x14ac:dyDescent="0.2">
      <c r="A120" t="s">
        <v>210</v>
      </c>
      <c r="B120" s="32" t="s">
        <v>211</v>
      </c>
      <c r="C120" s="95">
        <f>('DOE25'!L205)+('DOE25'!L223)+('DOE25'!L241)</f>
        <v>485255.91</v>
      </c>
      <c r="D120" s="24" t="s">
        <v>288</v>
      </c>
      <c r="E120" s="95">
        <f>+('DOE25'!L284)+('DOE25'!L303)+('DOE25'!L322)</f>
        <v>410.73</v>
      </c>
      <c r="F120" s="24" t="s">
        <v>288</v>
      </c>
      <c r="G120" s="24" t="s">
        <v>288</v>
      </c>
      <c r="H120" s="124">
        <f t="shared" si="7"/>
        <v>485666.63999999996</v>
      </c>
    </row>
    <row r="121" spans="1:8" x14ac:dyDescent="0.2">
      <c r="A121" t="s">
        <v>212</v>
      </c>
      <c r="B121" s="32" t="s">
        <v>213</v>
      </c>
      <c r="C121" s="95">
        <f>('DOE25'!L206)+('DOE25'!L224)+('DOE25'!L242)</f>
        <v>629527.44999999995</v>
      </c>
      <c r="D121" s="24" t="s">
        <v>288</v>
      </c>
      <c r="E121" s="95">
        <f>+('DOE25'!L285)+('DOE25'!L304)+('DOE25'!L323)</f>
        <v>6402.86</v>
      </c>
      <c r="F121" s="24" t="s">
        <v>288</v>
      </c>
      <c r="G121" s="24" t="s">
        <v>288</v>
      </c>
      <c r="H121" s="124">
        <f t="shared" si="7"/>
        <v>635930.30999999994</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540393.61</v>
      </c>
      <c r="D123" s="24" t="s">
        <v>288</v>
      </c>
      <c r="E123" s="95">
        <f>+('DOE25'!L287)+('DOE25'!L306)+('DOE25'!L325)</f>
        <v>32363.920000000002</v>
      </c>
      <c r="F123" s="24" t="s">
        <v>288</v>
      </c>
      <c r="G123" s="24" t="s">
        <v>288</v>
      </c>
      <c r="H123" s="124">
        <f t="shared" si="7"/>
        <v>572757.53</v>
      </c>
    </row>
    <row r="124" spans="1:8" x14ac:dyDescent="0.2">
      <c r="A124" t="s">
        <v>218</v>
      </c>
      <c r="B124" s="32" t="s">
        <v>219</v>
      </c>
      <c r="C124" s="95">
        <f>('DOE25'!L209)+('DOE25'!L227)+('DOE25'!L245+'DOE25'!L255)</f>
        <v>185051.16</v>
      </c>
      <c r="D124" s="24" t="s">
        <v>288</v>
      </c>
      <c r="E124" s="95">
        <f>+('DOE25'!L288)+('DOE25'!L307)+('DOE25'!L326)</f>
        <v>4690.99</v>
      </c>
      <c r="F124" s="24" t="s">
        <v>288</v>
      </c>
      <c r="G124" s="24" t="s">
        <v>288</v>
      </c>
      <c r="H124" s="124">
        <f t="shared" si="7"/>
        <v>189742.15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217062.47000000003</v>
      </c>
      <c r="E127" s="24" t="s">
        <v>288</v>
      </c>
      <c r="F127" s="24" t="s">
        <v>288</v>
      </c>
      <c r="G127" s="24" t="s">
        <v>288</v>
      </c>
      <c r="H127" s="124">
        <f t="shared" si="7"/>
        <v>217062.47000000003</v>
      </c>
    </row>
    <row r="128" spans="1:8" ht="12.75" thickTop="1" thickBot="1" x14ac:dyDescent="0.25">
      <c r="A128" s="33" t="s">
        <v>226</v>
      </c>
      <c r="C128" s="86">
        <f>SUM(C118:C127)</f>
        <v>2449406.73</v>
      </c>
      <c r="D128" s="86">
        <f>SUM(D118:D127)</f>
        <v>217062.47000000003</v>
      </c>
      <c r="E128" s="86">
        <f>SUM(E118:E127)</f>
        <v>359467.79999999993</v>
      </c>
      <c r="F128" s="86">
        <f>SUM(F118:F127)</f>
        <v>0</v>
      </c>
      <c r="G128" s="86">
        <f>SUM(G118:G127)</f>
        <v>0</v>
      </c>
      <c r="H128" s="86">
        <f t="shared" si="7"/>
        <v>3025937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374234</v>
      </c>
      <c r="F130" s="129">
        <f>SUM('DOE25'!L375:'DOE25'!L381)</f>
        <v>0</v>
      </c>
      <c r="G130" s="24" t="s">
        <v>288</v>
      </c>
      <c r="H130" s="124">
        <f t="shared" si="7"/>
        <v>374234</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7501.07</v>
      </c>
      <c r="F135" s="24" t="s">
        <v>288</v>
      </c>
      <c r="G135" s="24" t="s">
        <v>288</v>
      </c>
      <c r="H135" s="124">
        <f t="shared" si="7"/>
        <v>7501.07</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98369</v>
      </c>
      <c r="D139" s="24" t="s">
        <v>288</v>
      </c>
      <c r="E139" s="24" t="s">
        <v>288</v>
      </c>
      <c r="F139" s="24" t="s">
        <v>288</v>
      </c>
      <c r="G139" s="24" t="s">
        <v>288</v>
      </c>
      <c r="H139" s="124">
        <f t="shared" si="7"/>
        <v>98369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98369</v>
      </c>
      <c r="D144" s="141">
        <f>SUM(D130:D143)</f>
        <v>0</v>
      </c>
      <c r="E144" s="141">
        <f>SUM(E130:E143)</f>
        <v>381735.07</v>
      </c>
      <c r="F144" s="141">
        <f>SUM(F130:F143)</f>
        <v>0</v>
      </c>
      <c r="G144" s="141">
        <f>SUM(G130:G143)</f>
        <v>0</v>
      </c>
      <c r="H144" s="141">
        <f t="shared" si="7"/>
        <v>480104.07</v>
      </c>
    </row>
    <row r="145" spans="1:9" ht="12.75" thickTop="1" thickBot="1" x14ac:dyDescent="0.25">
      <c r="A145" s="33" t="s">
        <v>244</v>
      </c>
      <c r="C145" s="86">
        <f>(C115+C128+C144)</f>
        <v>5488405.3399999999</v>
      </c>
      <c r="D145" s="86">
        <f>(D115+D128+D144)</f>
        <v>217062.47000000003</v>
      </c>
      <c r="E145" s="86">
        <f>(E115+E128+E144)</f>
        <v>1340329.72</v>
      </c>
      <c r="F145" s="86">
        <f>(F115+F128+F144)</f>
        <v>0</v>
      </c>
      <c r="G145" s="86">
        <f>(G115+G128+G144)</f>
        <v>0</v>
      </c>
      <c r="H145" s="86">
        <f t="shared" si="7"/>
        <v>7045797.5299999993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Northumberland</v>
      </c>
    </row>
    <row r="3" spans="1:4" x14ac:dyDescent="0.2">
      <c r="B3" s="187" t="s">
        <v>1799</v>
      </c>
    </row>
    <row r="4" spans="1:4" x14ac:dyDescent="0.2">
      <c r="B4" t="s">
        <v>61</v>
      </c>
      <c r="C4" s="178">
        <f>IF('DOE25'!F666+'DOE25'!F671=0,0,ROUND('DOE25'!F673,0))</f>
        <v>19920</v>
      </c>
    </row>
    <row r="5" spans="1:4" x14ac:dyDescent="0.2">
      <c r="B5" t="s">
        <v>700</v>
      </c>
      <c r="C5" s="178">
        <f>IF('DOE25'!G666+'DOE25'!G671=0,0,ROUND('DOE25'!G673,0))</f>
        <v>0</v>
      </c>
    </row>
    <row r="6" spans="1:4" x14ac:dyDescent="0.2">
      <c r="B6" t="s">
        <v>62</v>
      </c>
      <c r="C6" s="178">
        <f>IF('DOE25'!H666+'DOE25'!H671=0,0,ROUND('DOE25'!H673,0))</f>
        <v>19074</v>
      </c>
    </row>
    <row r="7" spans="1:4" x14ac:dyDescent="0.2">
      <c r="B7" t="s">
        <v>701</v>
      </c>
      <c r="C7" s="178">
        <f>IF('DOE25'!I666+'DOE25'!I671=0,0,ROUND('DOE25'!I673,0))</f>
        <v>19593</v>
      </c>
    </row>
    <row r="9" spans="1:4" x14ac:dyDescent="0.2">
      <c r="A9" s="186" t="s">
        <v>94</v>
      </c>
      <c r="B9" s="187" t="s">
        <v>1800</v>
      </c>
      <c r="C9" s="180" t="s">
        <v>720</v>
      </c>
      <c r="D9" s="180" t="s">
        <v>721</v>
      </c>
    </row>
    <row r="10" spans="1:4" x14ac:dyDescent="0.2">
      <c r="A10">
        <v>1100</v>
      </c>
      <c r="B10" t="s">
        <v>702</v>
      </c>
      <c r="C10" s="178">
        <f>ROUND('DOE25'!L198+'DOE25'!L216+'DOE25'!L234+'DOE25'!L277+'DOE25'!L296+'DOE25'!L315,0)</f>
        <v>2609496</v>
      </c>
      <c r="D10" s="181">
        <f>ROUND((C10/$C$28)*100,1)</f>
        <v>39.799999999999997</v>
      </c>
    </row>
    <row r="11" spans="1:4" x14ac:dyDescent="0.2">
      <c r="A11">
        <v>1200</v>
      </c>
      <c r="B11" t="s">
        <v>703</v>
      </c>
      <c r="C11" s="178">
        <f>ROUND('DOE25'!L199+'DOE25'!L217+'DOE25'!L235+'DOE25'!L278+'DOE25'!L297+'DOE25'!L316,0)</f>
        <v>667879</v>
      </c>
      <c r="D11" s="181">
        <f>ROUND((C11/$C$28)*100,1)</f>
        <v>10.199999999999999</v>
      </c>
    </row>
    <row r="12" spans="1:4" x14ac:dyDescent="0.2">
      <c r="A12">
        <v>1300</v>
      </c>
      <c r="B12" t="s">
        <v>704</v>
      </c>
      <c r="C12" s="178">
        <f>ROUND('DOE25'!L200+'DOE25'!L218+'DOE25'!L236+'DOE25'!L279+'DOE25'!L298+'DOE25'!L317,0)</f>
        <v>14865</v>
      </c>
      <c r="D12" s="181">
        <f>ROUND((C12/$C$28)*100,1)</f>
        <v>0.2</v>
      </c>
    </row>
    <row r="13" spans="1:4" x14ac:dyDescent="0.2">
      <c r="A13">
        <v>1400</v>
      </c>
      <c r="B13" t="s">
        <v>705</v>
      </c>
      <c r="C13" s="178">
        <f>ROUND('DOE25'!L201+'DOE25'!L219+'DOE25'!L237+'DOE25'!L280+'DOE25'!L299+'DOE25'!L318,0)</f>
        <v>110166</v>
      </c>
      <c r="D13" s="181">
        <f>ROUND((C13/$C$28)*100,1)</f>
        <v>1.7</v>
      </c>
    </row>
    <row r="14" spans="1:4" x14ac:dyDescent="0.2">
      <c r="D14" s="181"/>
    </row>
    <row r="15" spans="1:4" x14ac:dyDescent="0.2">
      <c r="A15">
        <v>2100</v>
      </c>
      <c r="B15" t="s">
        <v>706</v>
      </c>
      <c r="C15" s="178">
        <f>ROUND('DOE25'!L203+'DOE25'!L221+'DOE25'!L239+'DOE25'!L282+'DOE25'!L301+'DOE25'!L320,0)</f>
        <v>736427</v>
      </c>
      <c r="D15" s="181">
        <f t="shared" ref="D15:D27" si="0">ROUND((C15/$C$28)*100,1)</f>
        <v>11.2</v>
      </c>
    </row>
    <row r="16" spans="1:4" x14ac:dyDescent="0.2">
      <c r="A16">
        <v>2200</v>
      </c>
      <c r="B16" t="s">
        <v>707</v>
      </c>
      <c r="C16" s="178">
        <f>ROUND('DOE25'!L204+'DOE25'!L222+'DOE25'!L240+'DOE25'!L283+'DOE25'!L302+'DOE25'!L321,0)</f>
        <v>188351</v>
      </c>
      <c r="D16" s="181">
        <f t="shared" si="0"/>
        <v>2.9</v>
      </c>
    </row>
    <row r="17" spans="1:4" x14ac:dyDescent="0.2">
      <c r="A17" s="182" t="s">
        <v>723</v>
      </c>
      <c r="B17" t="s">
        <v>738</v>
      </c>
      <c r="C17" s="178">
        <f>ROUND('DOE25'!L205+'DOE25'!L210+'DOE25'!L223+'DOE25'!L228+'DOE25'!L241+'DOE25'!L246+'DOE25'!L284+'DOE25'!L289+'DOE25'!L303+'DOE25'!L308+'DOE25'!L322+'DOE25'!L327,0)</f>
        <v>485667</v>
      </c>
      <c r="D17" s="181">
        <f t="shared" si="0"/>
        <v>7.4</v>
      </c>
    </row>
    <row r="18" spans="1:4" x14ac:dyDescent="0.2">
      <c r="A18">
        <v>2400</v>
      </c>
      <c r="B18" t="s">
        <v>711</v>
      </c>
      <c r="C18" s="178">
        <f>ROUND('DOE25'!L206+'DOE25'!L224+'DOE25'!L242+'DOE25'!L285+'DOE25'!L304+'DOE25'!L323,0)</f>
        <v>635930</v>
      </c>
      <c r="D18" s="181">
        <f t="shared" si="0"/>
        <v>9.6999999999999993</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572758</v>
      </c>
      <c r="D20" s="181">
        <f t="shared" si="0"/>
        <v>8.6999999999999993</v>
      </c>
    </row>
    <row r="21" spans="1:4" x14ac:dyDescent="0.2">
      <c r="A21">
        <v>2700</v>
      </c>
      <c r="B21" t="s">
        <v>710</v>
      </c>
      <c r="C21" s="178">
        <f>ROUND('DOE25'!L209+'DOE25'!L227+'DOE25'!L245+'DOE25'!L288+'DOE25'!L307+'DOE25'!L326,0)</f>
        <v>189742</v>
      </c>
      <c r="D21" s="181">
        <f t="shared" si="0"/>
        <v>2.9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137349</v>
      </c>
      <c r="D24" s="181">
        <f t="shared" si="0"/>
        <v>2.1</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203585.7</v>
      </c>
      <c r="D27" s="181">
        <f t="shared" si="0"/>
        <v>3.1</v>
      </c>
    </row>
    <row r="28" spans="1:4" x14ac:dyDescent="0.2">
      <c r="B28" s="186" t="s">
        <v>719</v>
      </c>
      <c r="C28" s="179">
        <f>SUM(C10:C27)</f>
        <v>6552215.7000000002</v>
      </c>
      <c r="D28" s="183">
        <f>ROUND(SUM(D10:D27),0)</f>
        <v>100</v>
      </c>
    </row>
    <row r="29" spans="1:4" x14ac:dyDescent="0.2">
      <c r="A29">
        <v>4000</v>
      </c>
      <c r="B29" t="s">
        <v>724</v>
      </c>
      <c r="C29" s="178">
        <f>ROUND('DOE25'!L256+'DOE25'!L337+'DOE25'!L375+'DOE25'!L376+'DOE25'!L377+'DOE25'!L378+'DOE25'!L379+'DOE25'!L380+'DOE25'!L381,0)</f>
        <v>374234</v>
      </c>
    </row>
    <row r="30" spans="1:4" x14ac:dyDescent="0.2">
      <c r="B30" s="186" t="s">
        <v>725</v>
      </c>
      <c r="C30" s="179">
        <f>SUM(C28:C29)</f>
        <v>6926449.7000000002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1764027</v>
      </c>
      <c r="D35" s="181">
        <f t="shared" ref="D35:D40" si="1">ROUND((C35/$C$41)*100,1)</f>
        <v>24.1</v>
      </c>
    </row>
    <row r="36" spans="1:4" x14ac:dyDescent="0.2">
      <c r="B36" s="184" t="s">
        <v>739</v>
      </c>
      <c r="C36" s="178">
        <f>SUM('DOE25'!F112:J112)-SUM('DOE25'!G97:G110)+('DOE25'!F175+'DOE25'!F176+'DOE25'!I175+'DOE25'!I176)-C35</f>
        <v>1018271.56</v>
      </c>
      <c r="D36" s="181">
        <f t="shared" si="1"/>
        <v>13.9</v>
      </c>
    </row>
    <row r="37" spans="1:4" x14ac:dyDescent="0.2">
      <c r="A37" s="182" t="s">
        <v>835</v>
      </c>
      <c r="B37" s="184" t="s">
        <v>728</v>
      </c>
      <c r="C37" s="178">
        <f>ROUND('DOE25'!F117+'DOE25'!F118,0)</f>
        <v>2952597</v>
      </c>
      <c r="D37" s="181">
        <f t="shared" si="1"/>
        <v>40.299999999999997</v>
      </c>
    </row>
    <row r="38" spans="1:4" x14ac:dyDescent="0.2">
      <c r="A38" s="182" t="s">
        <v>734</v>
      </c>
      <c r="B38" s="184" t="s">
        <v>729</v>
      </c>
      <c r="C38" s="178">
        <f>ROUND(SUM('DOE25'!F140:J140)-SUM('DOE25'!F117:F119),0)</f>
        <v>10335</v>
      </c>
      <c r="D38" s="181">
        <f t="shared" si="1"/>
        <v>0.1</v>
      </c>
    </row>
    <row r="39" spans="1:4" x14ac:dyDescent="0.2">
      <c r="A39">
        <v>4000</v>
      </c>
      <c r="B39" s="184" t="s">
        <v>730</v>
      </c>
      <c r="C39" s="178">
        <f>ROUND('DOE25'!F170+'DOE25'!G170+'DOE25'!H170+'DOE25'!I170,0)</f>
        <v>1578299</v>
      </c>
      <c r="D39" s="181">
        <f t="shared" si="1"/>
        <v>21.6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7323529.5600000005</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6"/>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Northumberland</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109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28</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110</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f>IF('School Level Expenditures'!$B$2='School Tables'!W31,'School Tables'!AD31,"")</f>
        <v>28</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f>IF('School Level Expenditures'!$B$2=A112,'School Tables'!H112,"")</f>
        <v>109</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f>IF('School Level Expenditures'!$B$2=A113,'School Tables'!H113,"")</f>
        <v>110</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2022-12-19T19:27:38Z</dcterms:modified>
</cp:coreProperties>
</file>