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8331707-E8A4-4D41-B5D3-E4B87BE9DA9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73" i="1" l="1"/>
  <c r="G208" i="1"/>
  <c r="G206" i="1"/>
  <c r="G203" i="1"/>
  <c r="G199" i="1"/>
  <c r="G198" i="1"/>
  <c r="F207" i="1"/>
  <c r="G226" i="1"/>
  <c r="G224" i="1"/>
  <c r="G221" i="1"/>
  <c r="G217" i="1"/>
  <c r="G216" i="1"/>
  <c r="F225" i="1"/>
  <c r="G244" i="1"/>
  <c r="G242" i="1"/>
  <c r="G239" i="1"/>
  <c r="G235" i="1"/>
  <c r="G234" i="1"/>
  <c r="F243" i="1"/>
  <c r="G460" i="1" l="1"/>
  <c r="D38" i="14"/>
  <c r="E38" i="14"/>
  <c r="D26" i="14"/>
  <c r="D7" i="14"/>
  <c r="D6" i="14"/>
  <c r="H135" i="2" l="1"/>
  <c r="H136" i="2"/>
  <c r="H137" i="2"/>
  <c r="H140" i="2"/>
  <c r="H142" i="2"/>
  <c r="H143" i="2"/>
  <c r="H113" i="2"/>
  <c r="H114" i="2"/>
  <c r="H97" i="2"/>
  <c r="H98" i="2"/>
  <c r="H99" i="2"/>
  <c r="H101" i="2"/>
  <c r="H102" i="2"/>
  <c r="H94" i="2"/>
  <c r="H89" i="2"/>
  <c r="H90" i="2"/>
  <c r="H87" i="2"/>
  <c r="H73" i="2"/>
  <c r="H74" i="2"/>
  <c r="H79" i="2"/>
  <c r="H80" i="2"/>
  <c r="H69" i="2"/>
  <c r="H58" i="2"/>
  <c r="H48" i="2"/>
  <c r="H42" i="2"/>
  <c r="H38" i="2"/>
  <c r="H36" i="2"/>
  <c r="H34" i="2"/>
  <c r="H22" i="2"/>
  <c r="H24" i="2"/>
  <c r="H25" i="2"/>
  <c r="H26" i="2"/>
  <c r="H30" i="2"/>
  <c r="H10" i="2"/>
  <c r="H12" i="2"/>
  <c r="H14" i="2"/>
  <c r="H15"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H131" i="2" s="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H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D29" i="2"/>
  <c r="H29" i="2" s="1"/>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C75" i="2"/>
  <c r="H75" i="2" s="1"/>
  <c r="C76" i="2"/>
  <c r="H76" i="2" s="1"/>
  <c r="E76" i="2"/>
  <c r="F76" i="2"/>
  <c r="C77" i="2"/>
  <c r="D77" i="2"/>
  <c r="D78" i="2" s="1"/>
  <c r="E77" i="2"/>
  <c r="F77" i="2"/>
  <c r="G77" i="2"/>
  <c r="G78" i="2" s="1"/>
  <c r="C79" i="2"/>
  <c r="D79" i="2"/>
  <c r="E79" i="2"/>
  <c r="C80" i="2"/>
  <c r="E80" i="2"/>
  <c r="C85" i="2"/>
  <c r="H85" i="2" s="1"/>
  <c r="F85" i="2"/>
  <c r="C87" i="2"/>
  <c r="E87" i="2"/>
  <c r="F87" i="2"/>
  <c r="C89" i="2"/>
  <c r="D89" i="2"/>
  <c r="E89" i="2"/>
  <c r="F89" i="2"/>
  <c r="C90" i="2"/>
  <c r="C93" i="2"/>
  <c r="F93" i="2"/>
  <c r="H93" i="2" s="1"/>
  <c r="C94" i="2"/>
  <c r="F94" i="2"/>
  <c r="D96" i="2"/>
  <c r="E96" i="2"/>
  <c r="F96" i="2"/>
  <c r="G96" i="2"/>
  <c r="H96" i="2" s="1"/>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E111" i="2"/>
  <c r="C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J652" i="1" s="1"/>
  <c r="H653" i="1"/>
  <c r="G654" i="1"/>
  <c r="H654" i="1"/>
  <c r="H655" i="1"/>
  <c r="H656" i="1"/>
  <c r="I170" i="1"/>
  <c r="D6" i="13" l="1"/>
  <c r="C6" i="13" s="1"/>
  <c r="C110" i="2"/>
  <c r="C121" i="2"/>
  <c r="H121" i="2" s="1"/>
  <c r="G62" i="2"/>
  <c r="H59" i="2"/>
  <c r="G409" i="1"/>
  <c r="H646" i="1" s="1"/>
  <c r="H47" i="2"/>
  <c r="G477" i="1"/>
  <c r="H477" i="1"/>
  <c r="H625" i="1" s="1"/>
  <c r="J625" i="1" s="1"/>
  <c r="H112" i="2"/>
  <c r="A40" i="12"/>
  <c r="H125" i="2"/>
  <c r="H77" i="2"/>
  <c r="G662" i="1"/>
  <c r="H61" i="2"/>
  <c r="H23" i="2"/>
  <c r="H11" i="2"/>
  <c r="H13" i="2"/>
  <c r="C32" i="10"/>
  <c r="E13" i="13"/>
  <c r="C13" i="13" s="1"/>
  <c r="C12" i="10"/>
  <c r="C120" i="2"/>
  <c r="H120" i="2" s="1"/>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34" i="2" l="1"/>
  <c r="H21" i="2"/>
  <c r="E128" i="2"/>
  <c r="F661" i="1"/>
  <c r="H109" i="2"/>
  <c r="E51" i="2"/>
  <c r="H103" i="2"/>
  <c r="H62" i="2"/>
  <c r="H50" i="2"/>
  <c r="H18" i="2"/>
  <c r="D128" i="2"/>
  <c r="D145" i="2" s="1"/>
  <c r="H127" i="2"/>
  <c r="H91" i="2"/>
  <c r="H31" i="2"/>
  <c r="I663" i="1"/>
  <c r="C81" i="2"/>
  <c r="H81" i="2" s="1"/>
  <c r="H78" i="2"/>
  <c r="F194" i="1"/>
  <c r="G628" i="1" s="1"/>
  <c r="J628" i="1" s="1"/>
  <c r="F144" i="2"/>
  <c r="H130" i="2"/>
  <c r="H661" i="1"/>
  <c r="H665" i="1" s="1"/>
  <c r="H668" i="1" s="1"/>
  <c r="H194" i="1"/>
  <c r="G630" i="1" s="1"/>
  <c r="J630" i="1" s="1"/>
  <c r="H649" i="1"/>
  <c r="J649" i="1" s="1"/>
  <c r="C141" i="2"/>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H128" i="2"/>
  <c r="C144" i="2"/>
  <c r="H144"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<sst xmlns="http://schemas.openxmlformats.org/spreadsheetml/2006/main" count="6545" uniqueCount="1817">
  <si>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</si>
  <si>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</si>
  <si>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</si>
  <si>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</si>
  <si>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</si>
  <si>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</si>
  <si>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</si>
  <si>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</si>
  <si>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</si>
  <si>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</si>
  <si>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</si>
  <si>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</si>
  <si>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</si>
  <si>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</si>
  <si>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</si>
  <si>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</si>
  <si>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</si>
  <si>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</si>
  <si>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</si>
  <si>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</si>
  <si>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</si>
  <si>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</si>
  <si>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</si>
  <si>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</si>
  <si>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</si>
  <si>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</si>
  <si>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</si>
  <si>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</si>
  <si>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</si>
  <si>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</si>
  <si>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</si>
  <si>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</si>
  <si>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</si>
  <si>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</si>
  <si>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</si>
  <si>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</si>
  <si>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</si>
  <si>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</si>
  <si>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</si>
  <si>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</si>
  <si>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</si>
  <si>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</si>
  <si>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</si>
  <si>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</si>
  <si>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</si>
  <si>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</si>
  <si>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</si>
  <si>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</si>
  <si>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</si>
  <si>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</si>
  <si>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</si>
  <si>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</si>
  <si>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</si>
  <si>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</si>
  <si>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</si>
  <si>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</si>
  <si>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</si>
  <si>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</si>
  <si>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</si>
  <si>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</si>
  <si>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</si>
  <si>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</si>
  <si>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</si>
  <si>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</si>
  <si>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</si>
  <si>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</si>
  <si>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</si>
  <si>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</si>
  <si>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</si>
  <si>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</si>
  <si>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</si>
  <si>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</si>
  <si>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</si>
  <si>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</si>
  <si>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</si>
  <si>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</si>
  <si>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</si>
  <si>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</si>
  <si>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</si>
  <si>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</si>
  <si>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</si>
  <si>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</si>
  <si>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</si>
  <si>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</si>
  <si>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</si>
  <si>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</si>
  <si>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</si>
  <si>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</si>
  <si>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</si>
  <si>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</si>
  <si>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</si>
  <si>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</si>
  <si>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</si>
  <si>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</si>
  <si>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</si>
  <si>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</si>
  <si>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</si>
  <si>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</si>
  <si>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</si>
  <si>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</si>
  <si>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</si>
  <si>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</si>
  <si>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</si>
  <si>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</si>
  <si>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</si>
  <si>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</si>
  <si>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</si>
  <si>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</si>
  <si>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</si>
  <si>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</si>
  <si>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</si>
  <si>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</si>
  <si>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</si>
  <si>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</si>
  <si>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</si>
  <si>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</si>
  <si>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</si>
  <si>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</si>
  <si>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</si>
  <si>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</si>
  <si>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</si>
  <si>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</si>
  <si>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</si>
  <si>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</si>
  <si>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</si>
  <si>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</si>
  <si>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</si>
  <si>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</si>
  <si>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</si>
  <si>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</si>
  <si>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</si>
  <si>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</si>
  <si>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</si>
  <si>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</si>
  <si>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</si>
  <si>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</si>
  <si>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</si>
  <si>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</si>
  <si>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</si>
  <si>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</si>
  <si>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</si>
  <si>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</si>
  <si>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</si>
  <si>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</si>
  <si>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</si>
  <si>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</si>
  <si>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</si>
  <si>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</si>
  <si>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</si>
  <si>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</si>
  <si>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</si>
  <si>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</si>
  <si>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</si>
  <si>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</si>
  <si>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</si>
  <si>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</si>
  <si>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</si>
  <si>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</si>
  <si>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</si>
  <si>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</si>
  <si>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</si>
  <si>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</si>
  <si>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</si>
  <si>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</si>
  <si>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</si>
  <si>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</si>
  <si>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</si>
  <si>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</si>
  <si>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</si>
  <si>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</si>
  <si>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</si>
  <si>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</si>
  <si>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</si>
  <si>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</si>
  <si>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</si>
  <si>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</si>
  <si>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</si>
  <si>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</si>
  <si>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</si>
  <si>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</si>
  <si>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</si>
  <si>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</si>
  <si>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</si>
  <si>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</si>
  <si>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</si>
  <si>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</si>
  <si>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</si>
  <si>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</si>
  <si>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</si>
  <si>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</si>
  <si>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</si>
  <si>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</si>
  <si>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</si>
  <si>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</si>
  <si>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</si>
  <si>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</si>
  <si>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</si>
  <si>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</si>
  <si>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</si>
  <si>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</si>
  <si>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</si>
  <si>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</si>
  <si>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</si>
  <si>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</si>
  <si>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</si>
  <si>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</si>
  <si>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</si>
  <si>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</si>
  <si>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</si>
  <si>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</si>
  <si>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</si>
  <si>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</si>
  <si>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</si>
  <si>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</si>
  <si>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</si>
  <si>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</si>
  <si>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</si>
  <si>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</si>
  <si>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</si>
  <si>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</si>
  <si>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</si>
  <si>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</si>
  <si>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</si>
  <si>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</si>
  <si>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</si>
  <si>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</si>
  <si>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</si>
  <si>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</si>
  <si>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</si>
  <si>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</si>
  <si>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</si>
  <si>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</si>
  <si>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</si>
  <si>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</si>
  <si>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</si>
  <si>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</si>
  <si>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</si>
  <si>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</si>
  <si>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</si>
  <si>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</si>
  <si>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</si>
  <si>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</si>
  <si>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</si>
  <si>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</si>
  <si>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</si>
  <si>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</si>
  <si>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</si>
  <si>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</si>
  <si>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</si>
  <si>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</si>
  <si>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</si>
  <si>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</si>
  <si>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</si>
  <si>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</si>
  <si>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</si>
  <si>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</si>
  <si>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</si>
  <si>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</si>
  <si>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</si>
  <si>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</si>
  <si>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</si>
  <si>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</si>
  <si>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</si>
  <si>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</si>
  <si>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</si>
  <si>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</si>
  <si>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</si>
  <si>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</si>
  <si>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</si>
  <si>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</si>
  <si>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</si>
  <si>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</si>
  <si>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</si>
  <si>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</si>
  <si>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</si>
  <si>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</si>
  <si>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</si>
  <si>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</si>
  <si>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</si>
  <si>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</si>
  <si>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</si>
  <si>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</si>
  <si>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</si>
  <si>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</si>
  <si>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</si>
  <si>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</si>
  <si>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</si>
  <si>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</si>
  <si>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</si>
  <si>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</si>
  <si>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</si>
  <si>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</si>
  <si>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</si>
  <si>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</si>
  <si>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</si>
  <si>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</si>
  <si>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</si>
  <si>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</si>
  <si>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</si>
  <si>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</si>
  <si>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</si>
  <si>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</si>
  <si>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</si>
  <si>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</si>
  <si>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</si>
  <si>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</si>
  <si>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</si>
  <si>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</si>
  <si>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</si>
  <si>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</si>
  <si>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</si>
  <si>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</si>
  <si>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</si>
  <si>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</si>
  <si>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</si>
  <si>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</si>
  <si>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</si>
  <si>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</si>
  <si>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</si>
  <si>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</si>
  <si>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</si>
  <si>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</si>
  <si>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</si>
  <si>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</si>
  <si>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</si>
  <si>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</si>
  <si>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</si>
  <si>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</si>
  <si>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</si>
  <si>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</si>
  <si>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</si>
  <si>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</si>
  <si>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</si>
  <si>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</si>
  <si>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</si>
  <si>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</si>
  <si>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</si>
  <si>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</si>
  <si>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</si>
  <si>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</si>
  <si>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</si>
  <si>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</si>
  <si>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</si>
  <si>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</si>
  <si>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</si>
  <si>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</si>
  <si>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</si>
  <si>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</si>
  <si>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</si>
  <si>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</si>
  <si>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</si>
  <si>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</si>
  <si>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</si>
  <si>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</si>
  <si>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</si>
  <si>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</si>
  <si>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</si>
  <si>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</si>
  <si>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</si>
  <si>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</si>
  <si>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</si>
  <si>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</si>
  <si>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</si>
  <si>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</si>
  <si>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</si>
  <si>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</si>
  <si>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</si>
  <si>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</si>
  <si>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</si>
  <si>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</si>
  <si>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</si>
  <si>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</si>
  <si>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</si>
  <si>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</si>
  <si>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</si>
  <si>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</si>
  <si>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</si>
  <si>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</si>
  <si>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</si>
  <si>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</si>
  <si>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</si>
  <si>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</si>
  <si>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</si>
  <si>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</si>
  <si>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</si>
  <si>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</si>
  <si>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</si>
  <si>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</si>
  <si>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</si>
  <si>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</si>
  <si>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</si>
  <si>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</si>
  <si>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</si>
  <si>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</si>
  <si>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</si>
  <si>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</si>
  <si>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</si>
  <si>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</si>
  <si>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</si>
  <si>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</si>
  <si>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</si>
  <si>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</si>
  <si>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</si>
  <si>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</si>
  <si>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</si>
  <si>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</si>
  <si>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</si>
  <si>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</si>
  <si>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</si>
  <si>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</si>
  <si>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</si>
  <si>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</si>
  <si>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</si>
  <si>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</si>
  <si>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</si>
  <si>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</si>
  <si>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</si>
  <si>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</si>
  <si>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</si>
  <si>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</si>
  <si>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</si>
  <si>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</si>
  <si>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</si>
  <si>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</si>
  <si>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</si>
  <si>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</si>
  <si>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</si>
  <si>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</si>
  <si>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</si>
  <si>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</si>
  <si>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</si>
  <si>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</si>
  <si>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</si>
  <si>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</si>
  <si>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</si>
  <si>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</si>
  <si>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</si>
  <si>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</si>
  <si>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</si>
  <si>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</si>
  <si>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</si>
  <si>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</si>
  <si>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</si>
  <si>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</si>
  <si>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</si>
  <si>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</si>
  <si>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</si>
  <si>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</si>
  <si>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</si>
  <si>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</si>
  <si>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</si>
  <si>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</si>
  <si>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</si>
  <si>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</si>
  <si>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</si>
  <si>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</si>
  <si>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</si>
  <si>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</si>
  <si>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</si>
  <si>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</si>
  <si>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</si>
  <si>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</si>
  <si>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</si>
  <si>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</si>
  <si>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</si>
  <si>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</si>
  <si>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</si>
  <si>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</si>
  <si>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</si>
  <si>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</si>
  <si>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</si>
  <si>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</si>
  <si>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</si>
  <si>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</si>
  <si>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</si>
  <si>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</si>
  <si>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</si>
  <si>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</si>
  <si>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</si>
  <si>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</si>
  <si>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</si>
  <si>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</si>
  <si>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</si>
  <si>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</si>
  <si>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</si>
  <si>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</si>
  <si>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</si>
  <si>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</si>
  <si>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</si>
  <si>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</si>
  <si>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</si>
  <si>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</si>
  <si>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</si>
  <si>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</si>
  <si>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</si>
  <si>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</si>
  <si>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</si>
  <si>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</si>
  <si>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</si>
  <si>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</si>
  <si>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</si>
  <si>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</si>
  <si>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</si>
  <si>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</si>
  <si>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</si>
  <si>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</si>
  <si>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</si>
  <si>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</si>
  <si>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</si>
  <si>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</si>
  <si>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</si>
  <si>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</si>
  <si>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</si>
  <si>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</si>
  <si>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</si>
  <si>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</si>
  <si>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</si>
  <si>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</si>
  <si>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</si>
  <si>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</si>
  <si>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</si>
  <si>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</si>
  <si>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</si>
  <si>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</si>
  <si>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</si>
  <si>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</si>
  <si>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</si>
  <si>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</si>
  <si>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</si>
  <si>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</si>
  <si>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</si>
  <si>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</si>
  <si>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</si>
  <si>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</si>
  <si>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</si>
  <si>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</si>
  <si>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</si>
  <si>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</si>
  <si>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</si>
  <si>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</si>
  <si>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</si>
  <si>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</si>
  <si>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</si>
  <si>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</si>
  <si>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</si>
  <si>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</si>
  <si>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</si>
  <si>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</si>
  <si>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</si>
  <si>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</si>
  <si>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</si>
  <si>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</si>
  <si>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</si>
  <si>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</si>
  <si>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</si>
  <si>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</si>
  <si>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</si>
  <si>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</si>
  <si>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</si>
  <si>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</si>
  <si>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</si>
  <si>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</si>
  <si>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</si>
  <si>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</si>
  <si>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</si>
  <si>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</si>
  <si>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</si>
  <si>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</si>
  <si>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</si>
  <si>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</si>
  <si>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</si>
  <si>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</si>
  <si>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</si>
  <si>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</si>
  <si>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</si>
  <si>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</si>
  <si>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</si>
  <si>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</si>
  <si>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</si>
  <si>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</si>
  <si>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</si>
  <si>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</si>
  <si>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</si>
  <si>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</si>
  <si>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</si>
  <si>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</si>
  <si>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</si>
  <si>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</si>
  <si>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</si>
  <si>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</si>
  <si>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</si>
  <si>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</si>
  <si>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</si>
  <si>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</si>
  <si>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</si>
  <si>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</si>
  <si>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</si>
  <si>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</si>
  <si>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</si>
  <si>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</si>
  <si>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</si>
  <si>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</si>
  <si>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</si>
  <si>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</si>
  <si>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</si>
  <si>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</si>
  <si>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</si>
  <si>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</si>
  <si>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</si>
  <si>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</si>
  <si>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</si>
  <si>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</si>
  <si>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</si>
  <si>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</si>
  <si>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</si>
  <si>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</si>
  <si>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</si>
  <si>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</si>
  <si>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</si>
  <si>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</si>
  <si>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</si>
  <si>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</si>
  <si>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</si>
  <si>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</si>
  <si>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</si>
  <si>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</si>
  <si>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</si>
  <si>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</si>
  <si>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</si>
  <si>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</si>
  <si>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</si>
  <si>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</si>
  <si>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</si>
  <si>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</si>
  <si>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</si>
  <si>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</si>
  <si>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</si>
  <si>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</si>
  <si>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</si>
  <si>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</si>
  <si>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</si>
  <si>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</si>
  <si>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</si>
  <si>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</si>
  <si>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</si>
  <si>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</si>
  <si>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</si>
  <si>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</si>
  <si>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</si>
  <si>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</si>
  <si>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</si>
  <si>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</si>
  <si>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</si>
  <si>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</si>
  <si>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</si>
  <si>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</si>
  <si>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</si>
  <si>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</si>
  <si>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</si>
  <si>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</si>
  <si>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</si>
  <si>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</si>
  <si>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</si>
  <si>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</si>
  <si>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</si>
  <si>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</si>
  <si>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</si>
  <si>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</si>
  <si>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</si>
  <si>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</si>
  <si>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</si>
  <si>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</si>
  <si>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</si>
  <si>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</si>
  <si>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</si>
  <si>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</si>
  <si>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</si>
  <si>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</si>
  <si>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</si>
  <si>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</si>
  <si>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</si>
  <si>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</si>
  <si>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</si>
  <si>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</si>
  <si>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</si>
  <si>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</si>
  <si>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</si>
  <si>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</si>
  <si>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</si>
  <si>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</si>
  <si>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</si>
  <si>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</si>
  <si>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</si>
  <si>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</si>
  <si>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</si>
  <si>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</si>
  <si>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</si>
  <si>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</si>
  <si>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</si>
  <si>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</si>
  <si>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</si>
  <si>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</si>
  <si>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</si>
  <si>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</si>
  <si>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</si>
  <si>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</si>
  <si>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</si>
  <si>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</si>
  <si>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</si>
  <si>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</si>
  <si>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</si>
  <si>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</si>
  <si>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</si>
  <si>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</si>
  <si>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</si>
  <si>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</si>
  <si>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</si>
  <si>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</si>
  <si>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</si>
  <si>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</si>
  <si>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</si>
  <si>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</si>
  <si>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</si>
  <si>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</si>
  <si>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</si>
  <si>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</si>
  <si>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</si>
  <si>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</si>
  <si>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</si>
  <si>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</si>
  <si>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</si>
  <si>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</si>
  <si>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</si>
  <si>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</si>
  <si>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</si>
  <si>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</si>
  <si>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</si>
  <si>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</si>
  <si>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</si>
  <si>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</si>
  <si>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</si>
  <si>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</si>
  <si>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</si>
  <si>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</si>
  <si>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</si>
  <si>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</si>
  <si>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</si>
  <si>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</si>
  <si>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</si>
  <si>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</si>
  <si>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</si>
  <si>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</si>
  <si>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</si>
  <si>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</si>
  <si>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</si>
  <si>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</si>
  <si>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</si>
  <si>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</si>
  <si>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</si>
  <si>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</si>
  <si>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</si>
  <si>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</si>
  <si>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</si>
  <si>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</si>
  <si>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</si>
  <si>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</si>
  <si>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</si>
  <si>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</si>
  <si>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</si>
  <si>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</si>
  <si>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</si>
  <si>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</si>
  <si>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</si>
  <si>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</si>
  <si>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</si>
  <si>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</si>
  <si>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</si>
  <si>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</si>
  <si>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</si>
  <si>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</si>
  <si>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</si>
  <si>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</si>
  <si>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</si>
  <si>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</si>
  <si>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</si>
  <si>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</si>
  <si>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</si>
  <si>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</si>
  <si>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</si>
  <si>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</si>
  <si>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</si>
  <si>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</si>
  <si>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</si>
  <si>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</si>
  <si>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</si>
  <si>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</si>
  <si>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</si>
  <si>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</si>
  <si>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</si>
  <si>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</si>
  <si>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</si>
  <si>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</si>
  <si>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</si>
  <si>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</si>
  <si>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</si>
  <si>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</si>
  <si>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</si>
  <si>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</si>
  <si>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</si>
  <si>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</si>
  <si>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</si>
  <si>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</si>
  <si>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</si>
  <si>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</si>
  <si>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</si>
  <si>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</si>
  <si>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</si>
  <si>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</si>
  <si>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</si>
  <si>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</si>
  <si>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</si>
  <si>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</si>
  <si>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</si>
  <si>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</si>
  <si>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</si>
  <si>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</si>
  <si>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</si>
  <si>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</si>
  <si>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</si>
  <si>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</si>
  <si>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</si>
  <si>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</si>
  <si>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</si>
  <si>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</si>
  <si>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</si>
  <si>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</si>
  <si>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</si>
  <si>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</si>
  <si>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</si>
  <si>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</si>
  <si>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</si>
  <si>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</si>
  <si>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</si>
  <si>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</si>
  <si>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</si>
  <si>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</si>
  <si>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</si>
  <si>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</si>
  <si>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</si>
  <si>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</si>
  <si>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</si>
  <si>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</si>
  <si>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</si>
  <si>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</si>
  <si>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</si>
  <si>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</si>
  <si>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</si>
  <si>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</si>
  <si>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</si>
  <si>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</si>
  <si>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</si>
  <si>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</si>
  <si>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</si>
  <si>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</si>
  <si>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</si>
  <si>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</si>
  <si>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</si>
  <si>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</si>
  <si>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</si>
  <si>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</si>
  <si>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</si>
  <si>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</si>
  <si>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</si>
  <si>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</si>
  <si>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</si>
  <si>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</si>
  <si>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</si>
  <si>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</si>
  <si>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</si>
  <si>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</si>
  <si>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</si>
  <si>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</si>
  <si>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</si>
  <si>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</si>
  <si>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</si>
  <si>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</si>
  <si>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</si>
  <si>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</si>
  <si>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</si>
  <si>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</si>
  <si>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</si>
  <si>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</si>
  <si>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</si>
  <si>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</si>
  <si>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</si>
  <si>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</si>
  <si>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</si>
  <si>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</si>
  <si>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</si>
  <si>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</si>
  <si>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</si>
  <si>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</si>
  <si>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</si>
  <si>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</si>
  <si>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</si>
  <si>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</si>
  <si>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</si>
  <si>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</si>
  <si>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</si>
  <si>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</si>
  <si>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</si>
  <si>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</si>
  <si>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</si>
  <si>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</si>
  <si>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</si>
  <si>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</si>
  <si>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</si>
  <si>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</si>
  <si>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</si>
  <si>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</si>
  <si>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</si>
  <si>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</si>
  <si>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</si>
  <si>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</si>
  <si>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</si>
  <si>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</si>
  <si>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</si>
  <si>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</si>
  <si>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</si>
  <si>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</si>
  <si>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</si>
  <si>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</si>
  <si>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</si>
  <si>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</si>
  <si>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</si>
  <si>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</si>
  <si>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</si>
  <si>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</si>
  <si>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</si>
  <si>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</si>
  <si>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</si>
  <si>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</si>
  <si>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</si>
  <si>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</si>
  <si>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</si>
  <si>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</si>
  <si>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</si>
  <si>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</si>
  <si>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</si>
  <si>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</si>
  <si>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</si>
  <si>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</si>
  <si>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</si>
  <si>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</si>
  <si>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</si>
  <si>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</si>
  <si>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</si>
  <si>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</si>
  <si>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</si>
  <si>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</si>
  <si>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</si>
  <si>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</si>
  <si>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</si>
  <si>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</si>
  <si>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</si>
  <si>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</si>
  <si>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</si>
  <si>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</si>
  <si>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</si>
  <si>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</si>
  <si>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</si>
  <si>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</si>
  <si>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</si>
  <si>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</si>
  <si>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</si>
  <si>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</si>
  <si>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</si>
  <si>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</si>
  <si>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</si>
  <si>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</si>
  <si>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</si>
  <si>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</si>
  <si>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</si>
  <si>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</si>
  <si>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</si>
  <si>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</si>
  <si>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</si>
  <si>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</si>
  <si>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</si>
  <si>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</si>
  <si>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</si>
  <si>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</si>
  <si>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</si>
  <si>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</si>
  <si>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</si>
  <si>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</si>
  <si>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</si>
  <si>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</si>
  <si>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</si>
  <si>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</si>
  <si>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</si>
  <si>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</si>
  <si>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</si>
  <si>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</si>
  <si>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</si>
  <si>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</si>
  <si>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</si>
  <si>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</si>
  <si>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</si>
  <si>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</si>
  <si>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</si>
  <si>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</si>
  <si>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</si>
  <si>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</si>
  <si>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</si>
  <si>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</si>
  <si>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</si>
  <si>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</si>
  <si>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</si>
  <si>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</si>
  <si>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</si>
  <si>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</si>
  <si>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</si>
  <si>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</si>
  <si>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</si>
  <si>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</si>
  <si>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</si>
  <si>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</si>
  <si>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</si>
  <si>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</si>
  <si>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</si>
  <si>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</si>
  <si>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</si>
  <si>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</si>
  <si>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</si>
  <si>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</si>
  <si>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</si>
  <si>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</si>
  <si>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</si>
  <si>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</si>
  <si>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</si>
  <si>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</si>
  <si>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</si>
  <si>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</si>
  <si>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</si>
  <si>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</si>
  <si>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</si>
  <si>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</si>
  <si>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</si>
  <si>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</si>
  <si>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</si>
  <si>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</si>
  <si>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</si>
  <si>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</si>
  <si>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</si>
  <si>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</si>
  <si>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</si>
  <si>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</si>
  <si>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</si>
  <si>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</si>
  <si>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</si>
  <si>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</si>
  <si>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</si>
  <si>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</si>
  <si>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</si>
  <si>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</si>
  <si>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</si>
  <si>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</si>
  <si>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</si>
  <si>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</si>
  <si>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</si>
  <si>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</si>
  <si>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</si>
  <si>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</si>
  <si>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</si>
  <si>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</si>
  <si>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</si>
  <si>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</si>
  <si>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</si>
  <si>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</si>
  <si>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</si>
  <si>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</si>
  <si>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</si>
  <si>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</si>
  <si>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</si>
  <si>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</si>
  <si>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</si>
  <si>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</si>
  <si>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</si>
  <si>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</si>
  <si>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</si>
  <si>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</si>
  <si>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</si>
  <si>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</si>
  <si>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</si>
  <si>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</si>
  <si>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</si>
  <si>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</si>
  <si>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</si>
  <si>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</si>
  <si>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</si>
  <si>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</si>
  <si>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</si>
  <si>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</si>
  <si>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</si>
  <si>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</si>
  <si>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</si>
  <si>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</si>
  <si>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</si>
  <si>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</si>
  <si>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</si>
  <si>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</si>
  <si>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</si>
  <si>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</si>
  <si>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</si>
  <si>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</si>
  <si>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</si>
  <si>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</si>
  <si>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</si>
  <si>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</si>
  <si>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</si>
  <si>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</si>
  <si>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</si>
  <si>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</si>
  <si>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</si>
  <si>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</si>
  <si>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</si>
  <si>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</si>
  <si>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</si>
  <si>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</si>
  <si>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</si>
  <si>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</si>
  <si>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</si>
  <si>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</si>
  <si>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</si>
  <si>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</si>
  <si>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</si>
  <si>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</si>
  <si>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</si>
  <si>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</si>
  <si>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</si>
  <si>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</si>
  <si>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</si>
  <si>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</si>
  <si>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</si>
  <si>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</si>
  <si>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</si>
  <si>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</si>
  <si>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</si>
  <si>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</si>
  <si>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</si>
  <si>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</si>
  <si>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</si>
  <si>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</si>
  <si>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</si>
  <si>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</si>
  <si>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</si>
  <si>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</si>
  <si>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</si>
  <si>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</si>
  <si>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</si>
  <si>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</si>
  <si>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</si>
  <si>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</si>
  <si>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</si>
  <si>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</si>
  <si>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</si>
  <si>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</si>
  <si>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</si>
  <si>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</si>
  <si>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</si>
  <si>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</si>
  <si>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</si>
  <si>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</si>
  <si>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</si>
  <si>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</si>
  <si>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</si>
  <si>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</si>
  <si>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</si>
  <si>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</si>
  <si>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</si>
  <si>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</si>
  <si>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</si>
  <si>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</si>
  <si>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</si>
  <si>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</si>
  <si>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</si>
  <si>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</si>
  <si>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</si>
  <si>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</si>
  <si>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</si>
  <si>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</si>
  <si>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</si>
  <si>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</si>
  <si>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</si>
  <si>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</si>
  <si>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</si>
  <si>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</si>
  <si>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</si>
  <si>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</si>
  <si>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</si>
  <si>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</si>
  <si>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</si>
  <si>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</si>
  <si>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</si>
  <si>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</si>
  <si>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</si>
  <si>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</si>
  <si>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</si>
  <si>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</si>
  <si>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</si>
  <si>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</si>
  <si>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</si>
  <si>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</si>
  <si>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</si>
  <si>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</si>
  <si>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</si>
  <si>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</si>
  <si>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</si>
  <si>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</si>
  <si>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</si>
  <si>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</si>
  <si>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</si>
  <si>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</si>
  <si>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</si>
  <si>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</si>
  <si>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</si>
  <si>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</si>
  <si>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</si>
  <si>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</si>
  <si>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</si>
  <si>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</si>
  <si>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</si>
  <si>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</si>
  <si>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</si>
  <si>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</si>
  <si>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</si>
  <si>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</si>
  <si>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</si>
  <si>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</si>
  <si>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</si>
  <si>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</si>
  <si>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</si>
  <si>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</si>
  <si>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</si>
  <si>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</si>
  <si>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</si>
  <si>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</si>
  <si>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</si>
  <si>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</si>
  <si>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</si>
  <si>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</si>
  <si>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</si>
  <si>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</si>
  <si>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</si>
  <si>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</si>
  <si>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</si>
  <si>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</si>
  <si>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</si>
  <si>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</si>
  <si>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</si>
  <si>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</si>
  <si>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</si>
  <si>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</si>
  <si>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</si>
  <si>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</si>
  <si>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</si>
  <si>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</si>
  <si>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</si>
  <si>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</si>
  <si>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</si>
  <si>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</si>
  <si>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</si>
  <si>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</si>
  <si>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</si>
  <si>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</si>
  <si>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</si>
  <si>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</si>
  <si>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</si>
  <si>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</si>
  <si>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</si>
  <si>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</si>
  <si>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</si>
  <si>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</si>
  <si>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</si>
  <si>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</si>
  <si>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</si>
  <si>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</si>
  <si>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</si>
  <si>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</si>
  <si>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</si>
  <si>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</si>
  <si>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</si>
  <si>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</si>
  <si>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</si>
  <si>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</si>
  <si>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</si>
  <si>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</si>
  <si>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</si>
  <si>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</si>
  <si>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</si>
  <si>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</si>
  <si>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</si>
  <si>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</si>
  <si>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</si>
  <si>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</si>
  <si>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</si>
  <si>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</si>
  <si>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</si>
  <si>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</si>
  <si>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</si>
  <si>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</si>
  <si>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</si>
  <si>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</si>
  <si>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</si>
  <si>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</si>
  <si>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</si>
  <si>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</si>
  <si>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</si>
  <si>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</si>
  <si>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</si>
  <si>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</si>
  <si>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</si>
  <si>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</si>
  <si>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</si>
  <si>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</si>
  <si>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</si>
  <si>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</si>
  <si>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</si>
  <si>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</si>
  <si>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</si>
  <si>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</si>
  <si>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</si>
  <si>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</si>
  <si>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</si>
  <si>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</si>
  <si>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</si>
  <si>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</si>
  <si>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</si>
  <si>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</si>
  <si>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</si>
  <si>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</si>
  <si>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</si>
  <si>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</si>
  <si>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</si>
  <si>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</si>
  <si>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</si>
  <si>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</si>
  <si>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</si>
  <si>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</si>
  <si>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</si>
  <si>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</si>
  <si>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</si>
  <si>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</si>
  <si>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</si>
  <si>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</si>
  <si>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</si>
  <si>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</si>
  <si>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</si>
  <si>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</si>
  <si>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</si>
  <si>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</si>
  <si>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</si>
  <si>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</si>
  <si>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</si>
  <si>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</si>
  <si>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</si>
  <si>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</si>
  <si>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</si>
  <si>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</si>
  <si>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</si>
  <si>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</si>
  <si>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</si>
  <si>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</si>
  <si>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</si>
  <si>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</si>
  <si>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</si>
  <si>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</si>
  <si>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</si>
  <si>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</si>
  <si>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</si>
  <si>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</si>
  <si>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</si>
  <si>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</si>
  <si>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</si>
  <si>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</si>
  <si>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</si>
  <si>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</si>
  <si>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</si>
  <si>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</si>
  <si>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</si>
  <si>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</si>
  <si>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</si>
  <si>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</si>
  <si>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</si>
  <si>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</si>
  <si>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</si>
  <si>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</si>
  <si>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</si>
  <si>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</si>
  <si>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</si>
  <si>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</si>
  <si>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</si>
  <si>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</si>
  <si>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</si>
  <si>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</si>
  <si>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</si>
  <si>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</si>
  <si>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</si>
  <si>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</si>
  <si>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</si>
  <si>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</si>
  <si>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</si>
  <si>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</si>
  <si>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</si>
  <si>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</si>
  <si>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</si>
  <si>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</si>
  <si>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</si>
  <si>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</si>
  <si>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</si>
  <si>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</si>
  <si>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</si>
  <si>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</si>
  <si>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</si>
  <si>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</si>
  <si>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</si>
  <si>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</si>
  <si>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</si>
  <si>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</si>
  <si>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</si>
  <si>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</si>
  <si>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</si>
  <si>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</si>
  <si>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</si>
  <si>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</si>
  <si>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</si>
  <si>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</si>
  <si>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</si>
  <si>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</si>
  <si>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</si>
  <si>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</si>
  <si>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</si>
  <si>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</si>
  <si>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</si>
  <si>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</si>
  <si>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</si>
  <si>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</si>
  <si>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</si>
  <si>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</si>
  <si>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</si>
  <si>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</si>
  <si>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</si>
  <si>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</si>
  <si>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</si>
  <si>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</si>
  <si>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</si>
  <si>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</si>
  <si>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</si>
  <si>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</si>
  <si>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</si>
  <si>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</si>
  <si>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</si>
  <si>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</si>
  <si>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</si>
  <si>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</si>
  <si>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</si>
  <si>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</si>
  <si>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</si>
  <si>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</si>
  <si>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</si>
  <si>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</si>
  <si>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</si>
  <si>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</si>
  <si>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</si>
  <si>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</si>
  <si>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</si>
  <si>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</si>
  <si>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</si>
  <si>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</si>
  <si>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</si>
  <si>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</si>
  <si>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</si>
  <si>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</si>
  <si>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</si>
  <si>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</si>
  <si>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</si>
  <si>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</si>
  <si>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</si>
  <si>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</si>
  <si>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</si>
  <si>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</si>
  <si>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</si>
  <si>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</si>
  <si>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</si>
  <si>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</si>
  <si>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</si>
  <si>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</si>
  <si>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</si>
  <si>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</si>
  <si>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</si>
  <si>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</si>
  <si>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</si>
  <si>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</si>
  <si>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</si>
  <si>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</si>
  <si>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</si>
  <si>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</si>
  <si>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</si>
  <si>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</si>
  <si>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</si>
  <si>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</si>
  <si>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</si>
  <si>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</si>
  <si>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</si>
  <si>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</si>
  <si>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</si>
  <si>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</si>
  <si>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</si>
  <si>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</si>
  <si>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</si>
  <si>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</si>
  <si>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</si>
  <si>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</si>
  <si>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</si>
  <si>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</si>
  <si>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</si>
  <si>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</si>
  <si>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</si>
  <si>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</si>
  <si>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</si>
  <si>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</si>
  <si>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</si>
  <si>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</si>
  <si>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</si>
  <si>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</si>
  <si>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</si>
  <si>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</si>
  <si>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</si>
  <si>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</si>
  <si>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</si>
  <si>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</si>
  <si>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</si>
  <si>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</si>
  <si>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</si>
  <si>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</si>
  <si>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</si>
  <si>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</si>
  <si>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</si>
  <si>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</si>
  <si>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</si>
  <si>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</si>
  <si>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</si>
  <si>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</si>
  <si>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</si>
  <si>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</si>
  <si>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</si>
  <si>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</si>
  <si>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</si>
  <si>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</si>
  <si>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</si>
  <si>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</si>
  <si>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</si>
  <si>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</si>
  <si>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</si>
  <si>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</si>
  <si>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</si>
  <si>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</si>
  <si>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</si>
  <si>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</si>
  <si>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</si>
  <si>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</si>
  <si>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</si>
  <si>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</si>
  <si>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</si>
  <si>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</si>
  <si>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</si>
  <si>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</si>
  <si>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</si>
  <si>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</si>
  <si>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</si>
  <si>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</si>
  <si>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</si>
  <si>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</si>
  <si>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</si>
  <si>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</si>
  <si>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</si>
  <si>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</si>
  <si>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</si>
  <si>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</si>
  <si>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</si>
  <si>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</si>
  <si>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</si>
  <si>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</si>
  <si>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</si>
  <si>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</si>
  <si>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</si>
  <si>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</si>
  <si>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</si>
  <si>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</si>
  <si>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</si>
  <si>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</si>
  <si>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</si>
  <si>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</si>
  <si>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</si>
  <si>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</si>
  <si>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</si>
  <si>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</si>
  <si>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</si>
  <si>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</si>
  <si>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</si>
  <si>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</si>
  <si>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</si>
  <si>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</si>
  <si>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</si>
  <si>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</si>
  <si>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</si>
  <si>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</si>
  <si>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</si>
  <si>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</si>
  <si>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</si>
  <si>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</si>
  <si>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</si>
  <si>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</si>
  <si>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</si>
  <si>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</si>
  <si>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</si>
  <si>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</si>
  <si>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</si>
  <si>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</si>
  <si>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</si>
  <si>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</si>
  <si>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</si>
  <si>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</si>
  <si>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</si>
  <si>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</si>
  <si>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</si>
  <si>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</si>
  <si>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</si>
  <si>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</si>
  <si>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</si>
  <si>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</si>
  <si>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</si>
  <si>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</si>
  <si>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</si>
  <si>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</si>
  <si>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</si>
  <si>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</si>
  <si>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</si>
  <si>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</si>
  <si>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</si>
  <si>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</si>
  <si>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</si>
  <si>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</si>
  <si>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</si>
  <si>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</si>
  <si>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</si>
  <si>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</si>
  <si>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</si>
  <si>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</si>
  <si>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</si>
  <si>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</si>
  <si>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</si>
  <si>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</si>
  <si>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</si>
  <si>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</si>
  <si>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</si>
  <si>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</si>
  <si>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</si>
  <si>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</si>
  <si>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</si>
  <si>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</si>
  <si>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</si>
  <si>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</si>
  <si>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</si>
  <si>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</si>
  <si>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</si>
  <si>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</si>
  <si>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</si>
  <si>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</si>
  <si>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</si>
  <si>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</si>
  <si>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</si>
  <si>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</si>
  <si>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</si>
  <si>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</si>
  <si>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</si>
  <si>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</si>
  <si>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</si>
  <si>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</si>
  <si>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</si>
  <si>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</si>
  <si>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</si>
  <si>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</si>
  <si>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</si>
  <si>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</si>
  <si>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</si>
  <si>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</si>
  <si>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</si>
  <si>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</si>
  <si>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</si>
  <si>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</si>
  <si>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</si>
  <si>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</si>
  <si>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</si>
  <si>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</si>
  <si>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</si>
  <si>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</si>
  <si>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</si>
  <si>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</si>
  <si>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</si>
  <si>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</si>
  <si>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</si>
  <si>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</si>
  <si>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</si>
  <si>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</si>
  <si>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</si>
  <si>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</si>
  <si>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</si>
  <si>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</si>
  <si>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</si>
  <si>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</si>
  <si>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</si>
  <si>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</si>
  <si>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</si>
  <si>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</si>
  <si>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</si>
  <si>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</si>
  <si>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</si>
  <si>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</si>
  <si>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</si>
  <si>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</si>
  <si>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</si>
  <si>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</si>
  <si>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</si>
  <si>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</si>
  <si>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</si>
  <si>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</si>
  <si>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</si>
  <si>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</si>
  <si>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</si>
  <si>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</si>
  <si>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</si>
  <si>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</si>
  <si>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</si>
  <si>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</si>
  <si>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</si>
  <si>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</si>
  <si>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</si>
  <si>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</si>
  <si>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</si>
  <si>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</si>
  <si>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</si>
  <si>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</si>
  <si>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</si>
  <si>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</si>
  <si>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</si>
  <si>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</si>
  <si>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</si>
  <si>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</si>
  <si>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</si>
  <si>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</si>
  <si>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</si>
  <si>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</si>
  <si>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</si>
  <si>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</si>
  <si>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</si>
  <si>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</si>
  <si>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</si>
  <si>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</si>
  <si>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</si>
  <si>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</si>
  <si>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</si>
  <si>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</si>
  <si>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</si>
  <si>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</si>
  <si>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</si>
  <si>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</si>
  <si>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</si>
  <si>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</si>
  <si>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</si>
  <si>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</si>
  <si>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</si>
  <si>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</si>
  <si>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</si>
  <si>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</si>
  <si>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</si>
  <si>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</si>
  <si>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</si>
  <si>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</si>
  <si>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</si>
  <si>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</si>
  <si>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</si>
  <si>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</si>
  <si>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</si>
  <si>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</si>
  <si>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</si>
  <si>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</si>
  <si>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</si>
  <si>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</si>
  <si>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</si>
  <si>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</si>
  <si>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6/16</t>
  </si>
  <si>
    <t>07/20</t>
  </si>
  <si>
    <t>07/26</t>
  </si>
  <si>
    <t>08/45</t>
  </si>
  <si>
    <t>08/03</t>
  </si>
  <si>
    <t>02/23</t>
  </si>
  <si>
    <t>11/01</t>
  </si>
  <si>
    <t>11/21</t>
  </si>
  <si>
    <t>08/21</t>
  </si>
  <si>
    <t>08/46</t>
  </si>
  <si>
    <t>We made a duplicate entry to expense scholarships.  This resulted in an understatement of last year's ending fund balance</t>
  </si>
  <si>
    <t>in Fund 70.  An entry was posted in the current fiscal year to correct this.</t>
  </si>
  <si>
    <t>NH Healthtrust premium rebate posted here as in prior years  -  ($158,163)</t>
  </si>
  <si>
    <t>NH Healthtrust premium rebate posted here as in prior years  -  ($211,048)</t>
  </si>
  <si>
    <t>NH Healthtrust premium rebate posted here as in prior years  -  ($154,719)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</si>
</sst>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6">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38" fontId="7" fillId="0" borderId="0" xfId="0" quotePrefix="1" applyNumberFormat="1" applyFont="1" applyAlignment="1" applyProtection="1">
      <alignment horizontal="center"/>
      <protection locked="0"/>
    </xf>
    <xf numFmtId="0" fontId="6" fillId="0" borderId="0" xfId="0" applyFont="1" applyBorder="1" applyAlignment="1" applyProtection="1">
      <alignment horizontal="center"/>
      <protection locked="0"/>
    </xf>
    <xf numFmtId="0" fontId="0" fillId="0" borderId="0" xfId="0" applyBorder="1" applyAlignment="1" applyProtection="1">
      <alignment horizontal="center"/>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2" t="s">
        <v>1335</v>
      </c>
      <c r="B2" s="126">
        <f>INDEX('School Tables'!$AH$3:$AH$208,MATCH('DOE25'!A2,'School Tables'!$AJ$3:$AJ$208,0))</f>
        <v>423</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2409017.969</v>
      </c>
      <c r="G9" s="18"/>
      <c r="H9" s="18"/>
      <c r="I9" s="18">
        <v>5116930.45</v>
      </c>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1458248.5599999998</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1319065.8799999999</v>
      </c>
      <c r="G12" s="18">
        <v>86775.25</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19790.04</v>
      </c>
      <c r="G14" s="18">
        <v>319734.07</v>
      </c>
      <c r="H14" s="18">
        <v>359118.09</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13760.69</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3761634.5789999999</v>
      </c>
      <c r="G19" s="41">
        <f>SUM(G9:G18)</f>
        <v>406509.32</v>
      </c>
      <c r="H19" s="41">
        <f>SUM(H9:H18)</f>
        <v>359118.09</v>
      </c>
      <c r="I19" s="41">
        <f>SUM(I9:I18)</f>
        <v>5116930.45</v>
      </c>
      <c r="J19" s="41">
        <f>SUM(J9:J18)</f>
        <v>1458248.5599999998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268312.15999999997</v>
      </c>
      <c r="I22" s="18">
        <v>1122202.97</v>
      </c>
      <c r="J22" s="67">
        <f>SUM(I449)</f>
        <v>15326</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308011.21000000002</v>
      </c>
      <c r="G24" s="18">
        <v>1823.36</v>
      </c>
      <c r="H24" s="18">
        <v>4400</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11412</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956091.71</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44452.32</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1275514.92</v>
      </c>
      <c r="G32" s="41">
        <f>SUM(G22:G31)</f>
        <v>46275.68</v>
      </c>
      <c r="H32" s="41">
        <f>SUM(H22:H31)</f>
        <v>272712.15999999997</v>
      </c>
      <c r="I32" s="41">
        <f>SUM(I22:I31)</f>
        <v>1122202.97</v>
      </c>
      <c r="J32" s="41">
        <f>SUM(J22:J31)</f>
        <v>15326</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13760.69</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360233.64</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3994727.48</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v>93859.73</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1100000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86405.93</v>
      </c>
      <c r="I48" s="18"/>
      <c r="J48" s="13">
        <f>SUM(I460)</f>
        <v>1442922.5599999998</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1153499.24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2486119.66</v>
      </c>
      <c r="G51" s="41">
        <f>SUM(G35:G50)</f>
        <v>360233.64</v>
      </c>
      <c r="H51" s="41">
        <f>SUM(H35:H50)</f>
        <v>86405.93</v>
      </c>
      <c r="I51" s="41">
        <f>SUM(I35:I50)</f>
        <v>3994727.48</v>
      </c>
      <c r="J51" s="41">
        <f>SUM(J35:J50)</f>
        <v>1442922.5599999998</v>
      </c>
      <c r="K51" s="45" t="s">
        <v>288</v>
      </c>
      <c r="L51" s="45" t="s">
        <v>288</v>
      </c>
      <c r="N51" s="263"/>
    </row>
    <row r="52" spans="1:14" s="3" customFormat="1" ht="12.2" customHeight="1" thickTop="1" x14ac:dyDescent="0.15">
      <c r="A52" s="38" t="s">
        <v>455</v>
      </c>
      <c r="B52" s="39" t="s">
        <v>289</v>
      </c>
      <c r="C52" s="6">
        <v>37</v>
      </c>
      <c r="D52" s="39" t="s">
        <v>653</v>
      </c>
      <c r="E52" s="39"/>
      <c r="F52" s="41">
        <f>F51+F32</f>
        <v>3761634.58</v>
      </c>
      <c r="G52" s="41">
        <f>G51+G32</f>
        <v>406509.32</v>
      </c>
      <c r="H52" s="41">
        <f>H51+H32</f>
        <v>359118.08999999997</v>
      </c>
      <c r="I52" s="41">
        <f>I51+I32</f>
        <v>5116930.45</v>
      </c>
      <c r="J52" s="41">
        <f>J51+J32</f>
        <v>1458248.5599999998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34273004</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34273004</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19891</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3266130.06</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3286021.06</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2511.0500000000002</v>
      </c>
      <c r="G96" s="18"/>
      <c r="H96" s="18"/>
      <c r="I96" s="18">
        <v>11776.11</v>
      </c>
      <c r="J96" s="18">
        <v>-162209.09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159211.22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27219.5</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v>8974</v>
      </c>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150975.65</v>
      </c>
      <c r="G110" s="18">
        <v>20767.53</v>
      </c>
      <c r="H110" s="18">
        <v>116586.72</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180706.19999999998</v>
      </c>
      <c r="G111" s="41">
        <f>SUM(G96:G110)</f>
        <v>179978.75</v>
      </c>
      <c r="H111" s="41">
        <f>SUM(H96:H110)</f>
        <v>116586.72</v>
      </c>
      <c r="I111" s="41">
        <f>SUM(I96:I110)</f>
        <v>11776.11</v>
      </c>
      <c r="J111" s="41">
        <f>SUM(J96:J110)</f>
        <v>-153235.09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37739731.260000005</v>
      </c>
      <c r="G112" s="41">
        <f>G60+G111</f>
        <v>179978.75</v>
      </c>
      <c r="H112" s="41">
        <f>H60+H79+H94+H111</f>
        <v>116586.72</v>
      </c>
      <c r="I112" s="41">
        <f>I60+I111</f>
        <v>11776.11</v>
      </c>
      <c r="J112" s="41">
        <f>J60+J111</f>
        <v>-153235.09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5503125.8399999999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3904459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9407584.8399999999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523742.09</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94722.74</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1965.6</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2065.8000000000002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c r="H135" s="18">
        <v>11712.69</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620430.43000000005</v>
      </c>
      <c r="G136" s="41">
        <f>SUM(G123:G135)</f>
        <v>2065.8000000000002</v>
      </c>
      <c r="H136" s="41">
        <f>SUM(H123:H135)</f>
        <v>11712.69</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10028015.27</v>
      </c>
      <c r="G140" s="41">
        <f>G121+SUM(G136:G137)</f>
        <v>2065.8000000000002</v>
      </c>
      <c r="H140" s="41">
        <f>H121+SUM(H136:H139)</f>
        <v>11712.69</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39537.839999999997</v>
      </c>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39537.839999999997</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53065.26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90159.25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1132392.98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492669.78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139063.72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304848.76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139063.72</v>
      </c>
      <c r="G163" s="41">
        <f>SUM(G150:G162)</f>
        <v>1132392.98</v>
      </c>
      <c r="H163" s="41">
        <f>SUM(H150:H162)</f>
        <v>940743.05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178601.56</v>
      </c>
      <c r="G170" s="41">
        <f>G147+G163+SUM(G164:G169)</f>
        <v>1132392.98</v>
      </c>
      <c r="H170" s="41">
        <f>H147+H163+SUM(H164:H169)</f>
        <v>940743.05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v>24847732</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24847732</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125000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125000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200000</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200000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200000</v>
      </c>
      <c r="G193" s="41">
        <f>G184+SUM(G189:G192)</f>
        <v>0</v>
      </c>
      <c r="H193" s="41">
        <f>+H184+SUM(H189:H192)</f>
        <v>0</v>
      </c>
      <c r="I193" s="41">
        <f>I178+I184+SUM(I189:I192)</f>
        <v>24847732</v>
      </c>
      <c r="J193" s="41">
        <f>J184</f>
        <v>125000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48146348.090000004</v>
      </c>
      <c r="G194" s="47">
        <f>G112+G140+G170+G193</f>
        <v>1314437.53</v>
      </c>
      <c r="H194" s="47">
        <f>H112+H140+H170+H193</f>
        <v>1069042.46</v>
      </c>
      <c r="I194" s="47">
        <f>I112+I140+I170+I193</f>
        <v>24859508.109999999</v>
      </c>
      <c r="J194" s="47">
        <f>J112+J140+J193</f>
        <v>-28235.089999999997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4268482.7699999996</v>
      </c>
      <c r="G198" s="18">
        <f>2038926.42-96217</f>
        <v>1942709.42</v>
      </c>
      <c r="H198" s="18">
        <v>45095.53</v>
      </c>
      <c r="I198" s="18">
        <v>95102.48</v>
      </c>
      <c r="J198" s="18">
        <v>16498.71</v>
      </c>
      <c r="K198" s="18">
        <v>0</v>
      </c>
      <c r="L198" s="19">
        <f>SUM(F198:K198)</f>
        <v>6367888.9100000001</v>
      </c>
      <c r="M198" s="8"/>
      <c r="N198" s="265"/>
    </row>
    <row r="199" spans="1:14" s="3" customFormat="1" ht="12.2" customHeight="1" x14ac:dyDescent="0.15">
      <c r="A199" s="1" t="s">
        <v>439</v>
      </c>
      <c r="B199" s="2" t="s">
        <v>341</v>
      </c>
      <c r="C199" s="2" t="s">
        <v>291</v>
      </c>
      <c r="D199" s="2" t="s">
        <v>431</v>
      </c>
      <c r="E199" s="6">
        <v>1200</v>
      </c>
      <c r="F199" s="18">
        <v>1142911.06</v>
      </c>
      <c r="G199" s="18">
        <f>450873.74-26538</f>
        <v>424335.74</v>
      </c>
      <c r="H199" s="18">
        <v>586796</v>
      </c>
      <c r="I199" s="18">
        <v>5343.58</v>
      </c>
      <c r="J199" s="18">
        <v>410.4</v>
      </c>
      <c r="K199" s="18">
        <v>4047.1</v>
      </c>
      <c r="L199" s="19">
        <f>SUM(F199:K199)</f>
        <v>2163843.88</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2300</v>
      </c>
      <c r="G201" s="18">
        <v>184.27999999999997</v>
      </c>
      <c r="H201" s="18">
        <v>7750</v>
      </c>
      <c r="I201" s="18">
        <v>0</v>
      </c>
      <c r="J201" s="18">
        <v>0</v>
      </c>
      <c r="K201" s="18">
        <v>0</v>
      </c>
      <c r="L201" s="19">
        <f>SUM(F201:K201)</f>
        <v>10234.279999999999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826741.06</v>
      </c>
      <c r="G203" s="18">
        <f>431914.82-18545</f>
        <v>413369.82</v>
      </c>
      <c r="H203" s="18">
        <v>233623.22</v>
      </c>
      <c r="I203" s="18">
        <v>5992.5999999999995</v>
      </c>
      <c r="J203" s="18">
        <v>3601.37</v>
      </c>
      <c r="K203" s="18">
        <v>0</v>
      </c>
      <c r="L203" s="19">
        <f t="shared" ref="L203:L209" si="0">SUM(F203:K203)</f>
        <v>1483328.0700000003</v>
      </c>
      <c r="M203" s="8"/>
      <c r="N203" s="265"/>
    </row>
    <row r="204" spans="1:14" s="3" customFormat="1" ht="12.2" customHeight="1" x14ac:dyDescent="0.15">
      <c r="A204" s="1" t="s">
        <v>443</v>
      </c>
      <c r="B204" s="2" t="s">
        <v>341</v>
      </c>
      <c r="C204" s="2" t="s">
        <v>295</v>
      </c>
      <c r="D204" s="2" t="s">
        <v>431</v>
      </c>
      <c r="E204" s="6">
        <v>2200</v>
      </c>
      <c r="F204" s="18">
        <v>206410.95</v>
      </c>
      <c r="G204" s="18">
        <v>86807.29</v>
      </c>
      <c r="H204" s="18">
        <v>35410.729999999996</v>
      </c>
      <c r="I204" s="18">
        <v>46937.87</v>
      </c>
      <c r="J204" s="18">
        <v>161.59</v>
      </c>
      <c r="K204" s="18">
        <v>0</v>
      </c>
      <c r="L204" s="19">
        <f t="shared" si="0"/>
        <v>375728.43</v>
      </c>
      <c r="M204" s="8"/>
      <c r="N204" s="265"/>
    </row>
    <row r="205" spans="1:14" s="3" customFormat="1" ht="12.2" customHeight="1" x14ac:dyDescent="0.15">
      <c r="A205" s="1" t="s">
        <v>444</v>
      </c>
      <c r="B205" s="2" t="s">
        <v>341</v>
      </c>
      <c r="C205" s="2" t="s">
        <v>296</v>
      </c>
      <c r="D205" s="2" t="s">
        <v>431</v>
      </c>
      <c r="E205" s="6">
        <v>2300</v>
      </c>
      <c r="F205" s="18">
        <v>293663.40000000002</v>
      </c>
      <c r="G205" s="18">
        <v>133753.40000000002</v>
      </c>
      <c r="H205" s="18">
        <v>73874.710000000006</v>
      </c>
      <c r="I205" s="18">
        <v>9250.84</v>
      </c>
      <c r="J205" s="18">
        <v>0</v>
      </c>
      <c r="K205" s="18">
        <v>6327.55</v>
      </c>
      <c r="L205" s="19">
        <f t="shared" si="0"/>
        <v>516869.90000000008</v>
      </c>
      <c r="M205" s="8"/>
      <c r="N205" s="265"/>
    </row>
    <row r="206" spans="1:14" s="3" customFormat="1" ht="12.2" customHeight="1" x14ac:dyDescent="0.15">
      <c r="A206" s="1" t="s">
        <v>445</v>
      </c>
      <c r="B206" s="2" t="s">
        <v>341</v>
      </c>
      <c r="C206" s="2" t="s">
        <v>297</v>
      </c>
      <c r="D206" s="2" t="s">
        <v>431</v>
      </c>
      <c r="E206" s="6">
        <v>2400</v>
      </c>
      <c r="F206" s="18">
        <v>394438.27999999997</v>
      </c>
      <c r="G206" s="18">
        <f>252965.13-9102</f>
        <v>243863.13</v>
      </c>
      <c r="H206" s="18">
        <v>73977.77</v>
      </c>
      <c r="I206" s="18">
        <v>2724.42</v>
      </c>
      <c r="J206" s="18">
        <v>0</v>
      </c>
      <c r="K206" s="18">
        <v>2135.35</v>
      </c>
      <c r="L206" s="19">
        <f t="shared" si="0"/>
        <v>717138.95</v>
      </c>
      <c r="M206" s="8"/>
      <c r="N206" s="265"/>
    </row>
    <row r="207" spans="1:14" s="3" customFormat="1" ht="12.2" customHeight="1" x14ac:dyDescent="0.15">
      <c r="A207" s="1" t="s">
        <v>446</v>
      </c>
      <c r="B207" s="2" t="s">
        <v>341</v>
      </c>
      <c r="C207" s="2" t="s">
        <v>298</v>
      </c>
      <c r="D207" s="2" t="s">
        <v>431</v>
      </c>
      <c r="E207" s="6">
        <v>2500</v>
      </c>
      <c r="F207" s="18">
        <f>-64932.74+158163</f>
        <v>93230.260000000009</v>
      </c>
      <c r="G207" s="18">
        <v>53950.79</v>
      </c>
      <c r="H207" s="18">
        <v>60874.720000000001</v>
      </c>
      <c r="I207" s="18">
        <v>18541.8</v>
      </c>
      <c r="J207" s="18">
        <v>541.61</v>
      </c>
      <c r="K207" s="18">
        <v>2428.4499999999998</v>
      </c>
      <c r="L207" s="19">
        <f t="shared" si="0"/>
        <v>229567.63</v>
      </c>
      <c r="M207" s="8"/>
      <c r="N207" s="265"/>
    </row>
    <row r="208" spans="1:14" s="3" customFormat="1" ht="12.2" customHeight="1" x14ac:dyDescent="0.15">
      <c r="A208" s="1" t="s">
        <v>447</v>
      </c>
      <c r="B208" s="2" t="s">
        <v>341</v>
      </c>
      <c r="C208" s="2" t="s">
        <v>299</v>
      </c>
      <c r="D208" s="2" t="s">
        <v>431</v>
      </c>
      <c r="E208" s="6">
        <v>2600</v>
      </c>
      <c r="F208" s="18">
        <v>316485</v>
      </c>
      <c r="G208" s="18">
        <f>180862.95-7761</f>
        <v>173101.95</v>
      </c>
      <c r="H208" s="18">
        <v>344151.28</v>
      </c>
      <c r="I208" s="18">
        <v>179590.8</v>
      </c>
      <c r="J208" s="18">
        <v>36429.160000000003</v>
      </c>
      <c r="K208" s="18">
        <v>0</v>
      </c>
      <c r="L208" s="19">
        <f t="shared" si="0"/>
        <v>1049758.19</v>
      </c>
      <c r="M208" s="8"/>
      <c r="N208" s="265"/>
    </row>
    <row r="209" spans="1:14" s="3" customFormat="1" ht="12.2" customHeight="1" x14ac:dyDescent="0.15">
      <c r="A209" s="1" t="s">
        <v>448</v>
      </c>
      <c r="B209" s="2" t="s">
        <v>341</v>
      </c>
      <c r="C209" s="2" t="s">
        <v>300</v>
      </c>
      <c r="D209" s="2" t="s">
        <v>431</v>
      </c>
      <c r="E209" s="6">
        <v>2700</v>
      </c>
      <c r="F209" s="18">
        <v>289212.81</v>
      </c>
      <c r="G209" s="18">
        <v>180477.57</v>
      </c>
      <c r="H209" s="18">
        <v>128667.55</v>
      </c>
      <c r="I209" s="18">
        <v>34484.879999999997</v>
      </c>
      <c r="J209" s="18">
        <v>9547.1299999999992</v>
      </c>
      <c r="K209" s="18">
        <v>243.24</v>
      </c>
      <c r="L209" s="19">
        <f t="shared" si="0"/>
        <v>642633.18000000005</v>
      </c>
      <c r="M209" s="8"/>
      <c r="N209" s="265"/>
    </row>
    <row r="210" spans="1:14" s="3" customFormat="1" ht="12.2" customHeight="1" x14ac:dyDescent="0.15">
      <c r="A210" s="1" t="s">
        <v>449</v>
      </c>
      <c r="B210" s="2" t="s">
        <v>341</v>
      </c>
      <c r="C210" s="2" t="s">
        <v>343</v>
      </c>
      <c r="D210" s="2" t="s">
        <v>431</v>
      </c>
      <c r="E210" s="6">
        <v>2800</v>
      </c>
      <c r="F210" s="18">
        <v>152085.12</v>
      </c>
      <c r="G210" s="18">
        <v>80991.409999999989</v>
      </c>
      <c r="H210" s="18">
        <v>147811.6</v>
      </c>
      <c r="I210" s="18">
        <v>53845.75</v>
      </c>
      <c r="J210" s="18">
        <v>22643.98</v>
      </c>
      <c r="K210" s="18">
        <v>2890.25</v>
      </c>
      <c r="L210" s="19">
        <f>SUM(F210:K210)</f>
        <v>460268.11</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7985960.7100000009</v>
      </c>
      <c r="G212" s="41">
        <f t="shared" si="1"/>
        <v>3733544.8</v>
      </c>
      <c r="H212" s="41">
        <f t="shared" si="1"/>
        <v>1738033.11</v>
      </c>
      <c r="I212" s="41">
        <f t="shared" si="1"/>
        <v>451815.02</v>
      </c>
      <c r="J212" s="41">
        <f t="shared" si="1"/>
        <v>89833.95</v>
      </c>
      <c r="K212" s="41">
        <f t="shared" si="1"/>
        <v>18071.940000000002</v>
      </c>
      <c r="L212" s="41">
        <f t="shared" si="1"/>
        <v>14017259.529999997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4156597.61</v>
      </c>
      <c r="G216" s="18">
        <f>2016999.76-94122</f>
        <v>1922877.76</v>
      </c>
      <c r="H216" s="18">
        <v>61242.26</v>
      </c>
      <c r="I216" s="18">
        <v>62188.72</v>
      </c>
      <c r="J216" s="18">
        <v>11091.8</v>
      </c>
      <c r="K216" s="18">
        <v>120</v>
      </c>
      <c r="L216" s="19">
        <f>SUM(F216:K216)</f>
        <v>6214118.1499999994</v>
      </c>
      <c r="M216" s="8"/>
      <c r="N216" s="265"/>
    </row>
    <row r="217" spans="1:14" s="3" customFormat="1" ht="12.2" customHeight="1" x14ac:dyDescent="0.15">
      <c r="A217" s="1" t="s">
        <v>439</v>
      </c>
      <c r="B217" s="2" t="s">
        <v>346</v>
      </c>
      <c r="C217" s="2" t="s">
        <v>291</v>
      </c>
      <c r="D217" s="2" t="s">
        <v>431</v>
      </c>
      <c r="E217" s="6">
        <v>1200</v>
      </c>
      <c r="F217" s="18">
        <v>1242822.06</v>
      </c>
      <c r="G217" s="18">
        <f>584952.65-25960</f>
        <v>558992.65</v>
      </c>
      <c r="H217" s="18">
        <v>346144.45</v>
      </c>
      <c r="I217" s="18">
        <v>8669</v>
      </c>
      <c r="J217" s="18">
        <v>514.99</v>
      </c>
      <c r="K217" s="18">
        <v>3958.98</v>
      </c>
      <c r="L217" s="19">
        <f>SUM(F217:K217)</f>
        <v>2161102.1300000004</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85928</v>
      </c>
      <c r="G219" s="18">
        <v>19209.87</v>
      </c>
      <c r="H219" s="18">
        <v>10252.26</v>
      </c>
      <c r="I219" s="18">
        <v>6304.87</v>
      </c>
      <c r="J219" s="18">
        <v>0</v>
      </c>
      <c r="K219" s="18">
        <v>785</v>
      </c>
      <c r="L219" s="19">
        <f>SUM(F219:K219)</f>
        <v>122479.99999999999</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601810.36</v>
      </c>
      <c r="G221" s="18">
        <f>301270.53-18142</f>
        <v>283128.53000000003</v>
      </c>
      <c r="H221" s="18">
        <v>231217.61000000002</v>
      </c>
      <c r="I221" s="18">
        <v>10137.740000000002</v>
      </c>
      <c r="J221" s="18">
        <v>810</v>
      </c>
      <c r="K221" s="18">
        <v>0</v>
      </c>
      <c r="L221" s="19">
        <f t="shared" ref="L221:L227" si="2">SUM(F221:K221)</f>
        <v>1127104.24</v>
      </c>
      <c r="M221" s="8"/>
      <c r="N221" s="265"/>
    </row>
    <row r="222" spans="1:14" s="3" customFormat="1" ht="12.2" customHeight="1" x14ac:dyDescent="0.15">
      <c r="A222" s="1" t="s">
        <v>443</v>
      </c>
      <c r="B222" s="2" t="s">
        <v>346</v>
      </c>
      <c r="C222" s="2" t="s">
        <v>295</v>
      </c>
      <c r="D222" s="2" t="s">
        <v>431</v>
      </c>
      <c r="E222" s="6">
        <v>2200</v>
      </c>
      <c r="F222" s="18">
        <v>127027.2</v>
      </c>
      <c r="G222" s="18">
        <v>69725.69</v>
      </c>
      <c r="H222" s="18">
        <v>34213</v>
      </c>
      <c r="I222" s="18">
        <v>22970.42</v>
      </c>
      <c r="J222" s="18">
        <v>3986.03</v>
      </c>
      <c r="K222" s="18">
        <v>0</v>
      </c>
      <c r="L222" s="19">
        <f t="shared" si="2"/>
        <v>257922.34</v>
      </c>
      <c r="M222" s="8"/>
      <c r="N222" s="265"/>
    </row>
    <row r="223" spans="1:14" s="3" customFormat="1" ht="12.2" customHeight="1" x14ac:dyDescent="0.15">
      <c r="A223" s="1" t="s">
        <v>444</v>
      </c>
      <c r="B223" s="2" t="s">
        <v>346</v>
      </c>
      <c r="C223" s="2" t="s">
        <v>296</v>
      </c>
      <c r="D223" s="2" t="s">
        <v>431</v>
      </c>
      <c r="E223" s="6">
        <v>2300</v>
      </c>
      <c r="F223" s="18">
        <v>291249.91000000003</v>
      </c>
      <c r="G223" s="18">
        <v>133054.47</v>
      </c>
      <c r="H223" s="18">
        <v>72266.240000000005</v>
      </c>
      <c r="I223" s="18">
        <v>9049.42</v>
      </c>
      <c r="J223" s="18">
        <v>0</v>
      </c>
      <c r="K223" s="18">
        <v>6189.79</v>
      </c>
      <c r="L223" s="19">
        <f t="shared" si="2"/>
        <v>511809.82999999996</v>
      </c>
      <c r="M223" s="8"/>
      <c r="N223" s="265"/>
    </row>
    <row r="224" spans="1:14" s="3" customFormat="1" ht="12.2" customHeight="1" x14ac:dyDescent="0.15">
      <c r="A224" s="1" t="s">
        <v>445</v>
      </c>
      <c r="B224" s="2" t="s">
        <v>346</v>
      </c>
      <c r="C224" s="2" t="s">
        <v>297</v>
      </c>
      <c r="D224" s="2" t="s">
        <v>431</v>
      </c>
      <c r="E224" s="6">
        <v>2400</v>
      </c>
      <c r="F224" s="18">
        <v>322936.03999999998</v>
      </c>
      <c r="G224" s="18">
        <f>203705.6-8904</f>
        <v>194801.6</v>
      </c>
      <c r="H224" s="18">
        <v>31687.07</v>
      </c>
      <c r="I224" s="18">
        <v>3864.98</v>
      </c>
      <c r="J224" s="18">
        <v>0</v>
      </c>
      <c r="K224" s="18">
        <v>2198.9899999999998</v>
      </c>
      <c r="L224" s="19">
        <f t="shared" si="2"/>
        <v>555488.67999999993</v>
      </c>
      <c r="M224" s="8"/>
      <c r="N224" s="265"/>
    </row>
    <row r="225" spans="1:14" s="3" customFormat="1" ht="12.2" customHeight="1" x14ac:dyDescent="0.15">
      <c r="A225" s="1" t="s">
        <v>446</v>
      </c>
      <c r="B225" s="2" t="s">
        <v>346</v>
      </c>
      <c r="C225" s="2" t="s">
        <v>298</v>
      </c>
      <c r="D225" s="2" t="s">
        <v>431</v>
      </c>
      <c r="E225" s="6">
        <v>2500</v>
      </c>
      <c r="F225" s="18">
        <f>-63518.96+154720</f>
        <v>91201.040000000008</v>
      </c>
      <c r="G225" s="18">
        <v>52776.12</v>
      </c>
      <c r="H225" s="18">
        <v>59549.3</v>
      </c>
      <c r="I225" s="18">
        <v>18138.09</v>
      </c>
      <c r="J225" s="18">
        <v>529.82000000000005</v>
      </c>
      <c r="K225" s="18">
        <v>2375.58</v>
      </c>
      <c r="L225" s="19">
        <f t="shared" si="2"/>
        <v>224569.95</v>
      </c>
      <c r="M225" s="8"/>
      <c r="N225" s="265"/>
    </row>
    <row r="226" spans="1:14" s="3" customFormat="1" ht="12.2" customHeight="1" x14ac:dyDescent="0.15">
      <c r="A226" s="1" t="s">
        <v>447</v>
      </c>
      <c r="B226" s="2" t="s">
        <v>346</v>
      </c>
      <c r="C226" s="2" t="s">
        <v>299</v>
      </c>
      <c r="D226" s="2" t="s">
        <v>431</v>
      </c>
      <c r="E226" s="6">
        <v>2600</v>
      </c>
      <c r="F226" s="18">
        <v>330621.5</v>
      </c>
      <c r="G226" s="18">
        <f>167962.83-7592</f>
        <v>160370.82999999999</v>
      </c>
      <c r="H226" s="18">
        <v>266588.51</v>
      </c>
      <c r="I226" s="18">
        <v>224472.39</v>
      </c>
      <c r="J226" s="18">
        <v>35635.99</v>
      </c>
      <c r="K226" s="18">
        <v>0</v>
      </c>
      <c r="L226" s="19">
        <f t="shared" si="2"/>
        <v>1017689.22</v>
      </c>
      <c r="M226" s="8"/>
      <c r="N226" s="265"/>
    </row>
    <row r="227" spans="1:14" s="3" customFormat="1" ht="12.2" customHeight="1" x14ac:dyDescent="0.15">
      <c r="A227" s="1" t="s">
        <v>448</v>
      </c>
      <c r="B227" s="2" t="s">
        <v>346</v>
      </c>
      <c r="C227" s="2" t="s">
        <v>300</v>
      </c>
      <c r="D227" s="2" t="s">
        <v>431</v>
      </c>
      <c r="E227" s="6">
        <v>2700</v>
      </c>
      <c r="F227" s="18">
        <v>270335.95</v>
      </c>
      <c r="G227" s="18">
        <v>170823.77</v>
      </c>
      <c r="H227" s="18">
        <v>125994.87000000001</v>
      </c>
      <c r="I227" s="18">
        <v>33734.04</v>
      </c>
      <c r="J227" s="18">
        <v>9339.26</v>
      </c>
      <c r="K227" s="18">
        <v>237.94</v>
      </c>
      <c r="L227" s="19">
        <f t="shared" si="2"/>
        <v>610465.82999999996</v>
      </c>
      <c r="M227" s="8"/>
      <c r="N227" s="265"/>
    </row>
    <row r="228" spans="1:14" s="3" customFormat="1" ht="12.2" customHeight="1" x14ac:dyDescent="0.15">
      <c r="A228" s="1" t="s">
        <v>449</v>
      </c>
      <c r="B228" s="2" t="s">
        <v>346</v>
      </c>
      <c r="C228" s="2" t="s">
        <v>343</v>
      </c>
      <c r="D228" s="2" t="s">
        <v>431</v>
      </c>
      <c r="E228" s="6">
        <v>2800</v>
      </c>
      <c r="F228" s="18">
        <v>148773.78</v>
      </c>
      <c r="G228" s="18">
        <v>79227.97</v>
      </c>
      <c r="H228" s="18">
        <v>144593.31</v>
      </c>
      <c r="I228" s="18">
        <v>52673.37</v>
      </c>
      <c r="J228" s="18">
        <v>22150.959999999999</v>
      </c>
      <c r="K228" s="18">
        <v>2827.32</v>
      </c>
      <c r="L228" s="19">
        <f>SUM(F228:K228)</f>
        <v>450246.71</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7669303.4500000011</v>
      </c>
      <c r="G230" s="41">
        <f>SUM(G216:G229)</f>
        <v>3644989.2600000012</v>
      </c>
      <c r="H230" s="41">
        <f>SUM(H216:H229)</f>
        <v>1383748.8800000004</v>
      </c>
      <c r="I230" s="41">
        <f>SUM(I216:I229)</f>
        <v>452203.04</v>
      </c>
      <c r="J230" s="41">
        <f>SUM(J216:J229)</f>
        <v>84058.85</v>
      </c>
      <c r="K230" s="41">
        <f t="shared" si="3"/>
        <v>18693.600000000002</v>
      </c>
      <c r="L230" s="41">
        <f t="shared" si="3"/>
        <v>13252997.08</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4656533.05</v>
      </c>
      <c r="G234" s="18">
        <f>2471909.14-128389</f>
        <v>2343520.14</v>
      </c>
      <c r="H234" s="18">
        <v>47170.64</v>
      </c>
      <c r="I234" s="18">
        <v>103342.01000000001</v>
      </c>
      <c r="J234" s="18">
        <v>19742.490000000002</v>
      </c>
      <c r="K234" s="18">
        <v>0</v>
      </c>
      <c r="L234" s="19">
        <f>SUM(F234:K234)</f>
        <v>7170308.3299999991</v>
      </c>
      <c r="M234" s="8"/>
      <c r="N234" s="265"/>
    </row>
    <row r="235" spans="1:14" s="3" customFormat="1" ht="12.2" customHeight="1" x14ac:dyDescent="0.15">
      <c r="A235" s="1" t="s">
        <v>439</v>
      </c>
      <c r="B235" s="2" t="s">
        <v>350</v>
      </c>
      <c r="C235" s="2" t="s">
        <v>291</v>
      </c>
      <c r="D235" s="2" t="s">
        <v>431</v>
      </c>
      <c r="E235" s="6">
        <v>1200</v>
      </c>
      <c r="F235" s="18">
        <v>1172100.77</v>
      </c>
      <c r="G235" s="18">
        <f>556687.63-35411</f>
        <v>521276.63</v>
      </c>
      <c r="H235" s="18">
        <v>458696.49</v>
      </c>
      <c r="I235" s="18">
        <v>8162.2899999999991</v>
      </c>
      <c r="J235" s="18">
        <v>0</v>
      </c>
      <c r="K235" s="18">
        <v>5400.32</v>
      </c>
      <c r="L235" s="19">
        <f>SUM(F235:K235)</f>
        <v>2165636.4999999995</v>
      </c>
      <c r="M235" s="8"/>
      <c r="N235" s="265"/>
    </row>
    <row r="236" spans="1:14" s="3" customFormat="1" ht="12.2" customHeight="1" x14ac:dyDescent="0.15">
      <c r="A236" s="1" t="s">
        <v>440</v>
      </c>
      <c r="B236" s="2" t="s">
        <v>350</v>
      </c>
      <c r="C236" s="2" t="s">
        <v>292</v>
      </c>
      <c r="D236" s="2" t="s">
        <v>431</v>
      </c>
      <c r="E236" s="6">
        <v>1300</v>
      </c>
      <c r="F236" s="18">
        <v>0</v>
      </c>
      <c r="G236" s="18">
        <v>0</v>
      </c>
      <c r="H236" s="18">
        <v>75786.63</v>
      </c>
      <c r="I236" s="18">
        <v>0</v>
      </c>
      <c r="J236" s="18">
        <v>0</v>
      </c>
      <c r="K236" s="18">
        <v>0</v>
      </c>
      <c r="L236" s="19">
        <f>SUM(F236:K236)</f>
        <v>75786.63</v>
      </c>
      <c r="M236" s="8"/>
      <c r="N236" s="265"/>
    </row>
    <row r="237" spans="1:14" s="3" customFormat="1" ht="12.2" customHeight="1" x14ac:dyDescent="0.15">
      <c r="A237" s="1" t="s">
        <v>441</v>
      </c>
      <c r="B237" s="2" t="s">
        <v>350</v>
      </c>
      <c r="C237" s="2" t="s">
        <v>293</v>
      </c>
      <c r="D237" s="2" t="s">
        <v>431</v>
      </c>
      <c r="E237" s="6">
        <v>1400</v>
      </c>
      <c r="F237" s="18">
        <v>348917.85000000003</v>
      </c>
      <c r="G237" s="18">
        <v>75964.190000000017</v>
      </c>
      <c r="H237" s="18">
        <v>52184.11</v>
      </c>
      <c r="I237" s="18">
        <v>22859.97</v>
      </c>
      <c r="J237" s="18">
        <v>40764.86</v>
      </c>
      <c r="K237" s="18">
        <v>47394.91</v>
      </c>
      <c r="L237" s="19">
        <f>SUM(F237:K237)</f>
        <v>588085.89</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1084205.2</v>
      </c>
      <c r="G239" s="18">
        <f>515694.96-24746</f>
        <v>490948.96</v>
      </c>
      <c r="H239" s="18">
        <v>363901.07</v>
      </c>
      <c r="I239" s="18">
        <v>4342.99</v>
      </c>
      <c r="J239" s="18">
        <v>823.71</v>
      </c>
      <c r="K239" s="18">
        <v>1209</v>
      </c>
      <c r="L239" s="19">
        <f t="shared" ref="L239:L245" si="4">SUM(F239:K239)</f>
        <v>1945430.93</v>
      </c>
      <c r="M239" s="8"/>
      <c r="N239" s="265"/>
    </row>
    <row r="240" spans="1:14" s="3" customFormat="1" ht="12.2" customHeight="1" x14ac:dyDescent="0.15">
      <c r="A240" s="1" t="s">
        <v>443</v>
      </c>
      <c r="B240" s="2" t="s">
        <v>350</v>
      </c>
      <c r="C240" s="2" t="s">
        <v>295</v>
      </c>
      <c r="D240" s="2" t="s">
        <v>431</v>
      </c>
      <c r="E240" s="6">
        <v>2200</v>
      </c>
      <c r="F240" s="18">
        <v>117187.93</v>
      </c>
      <c r="G240" s="18">
        <v>27887.689999999995</v>
      </c>
      <c r="H240" s="18">
        <v>40393.160000000003</v>
      </c>
      <c r="I240" s="18">
        <v>36114.47</v>
      </c>
      <c r="J240" s="18">
        <v>23112.52</v>
      </c>
      <c r="K240" s="18">
        <v>0</v>
      </c>
      <c r="L240" s="19">
        <f t="shared" si="4"/>
        <v>244695.77</v>
      </c>
      <c r="M240" s="8"/>
      <c r="N240" s="265"/>
    </row>
    <row r="241" spans="1:14" s="3" customFormat="1" ht="12.2" customHeight="1" x14ac:dyDescent="0.15">
      <c r="A241" s="1" t="s">
        <v>444</v>
      </c>
      <c r="B241" s="2" t="s">
        <v>350</v>
      </c>
      <c r="C241" s="2" t="s">
        <v>296</v>
      </c>
      <c r="D241" s="2" t="s">
        <v>431</v>
      </c>
      <c r="E241" s="6">
        <v>2300</v>
      </c>
      <c r="F241" s="18">
        <v>361544.51</v>
      </c>
      <c r="G241" s="18">
        <v>156404.02000000002</v>
      </c>
      <c r="H241" s="18">
        <v>98576.2</v>
      </c>
      <c r="I241" s="18">
        <v>12344.04</v>
      </c>
      <c r="J241" s="18">
        <v>0</v>
      </c>
      <c r="K241" s="18">
        <v>8443.2999999999993</v>
      </c>
      <c r="L241" s="19">
        <f t="shared" si="4"/>
        <v>637312.07000000007</v>
      </c>
      <c r="M241" s="8"/>
      <c r="N241" s="265"/>
    </row>
    <row r="242" spans="1:14" s="3" customFormat="1" ht="12.2" customHeight="1" x14ac:dyDescent="0.15">
      <c r="A242" s="1" t="s">
        <v>445</v>
      </c>
      <c r="B242" s="2" t="s">
        <v>350</v>
      </c>
      <c r="C242" s="2" t="s">
        <v>297</v>
      </c>
      <c r="D242" s="2" t="s">
        <v>431</v>
      </c>
      <c r="E242" s="6">
        <v>2400</v>
      </c>
      <c r="F242" s="18">
        <v>428731.29</v>
      </c>
      <c r="G242" s="18">
        <f>233819.23-12146</f>
        <v>221673.23</v>
      </c>
      <c r="H242" s="18">
        <v>67366.679999999993</v>
      </c>
      <c r="I242" s="18">
        <v>2925.85</v>
      </c>
      <c r="J242" s="18">
        <v>89.99</v>
      </c>
      <c r="K242" s="18">
        <v>4838</v>
      </c>
      <c r="L242" s="19">
        <f t="shared" si="4"/>
        <v>725625.03999999992</v>
      </c>
      <c r="M242" s="8"/>
      <c r="N242" s="265"/>
    </row>
    <row r="243" spans="1:14" s="3" customFormat="1" ht="12.2" customHeight="1" x14ac:dyDescent="0.15">
      <c r="A243" s="1" t="s">
        <v>446</v>
      </c>
      <c r="B243" s="2" t="s">
        <v>350</v>
      </c>
      <c r="C243" s="2" t="s">
        <v>298</v>
      </c>
      <c r="D243" s="2" t="s">
        <v>431</v>
      </c>
      <c r="E243" s="6">
        <v>2500</v>
      </c>
      <c r="F243" s="18">
        <f>-86644.3+211048</f>
        <v>124403.7</v>
      </c>
      <c r="G243" s="18">
        <v>71990.320000000007</v>
      </c>
      <c r="H243" s="18">
        <v>81229.41</v>
      </c>
      <c r="I243" s="18">
        <v>24741.62</v>
      </c>
      <c r="J243" s="18">
        <v>722.71</v>
      </c>
      <c r="K243" s="18">
        <v>3240.45</v>
      </c>
      <c r="L243" s="19">
        <f t="shared" si="4"/>
        <v>306328.21000000008</v>
      </c>
      <c r="M243" s="8"/>
      <c r="N243" s="265"/>
    </row>
    <row r="244" spans="1:14" s="3" customFormat="1" ht="12.2" customHeight="1" x14ac:dyDescent="0.15">
      <c r="A244" s="1" t="s">
        <v>447</v>
      </c>
      <c r="B244" s="2" t="s">
        <v>350</v>
      </c>
      <c r="C244" s="2" t="s">
        <v>299</v>
      </c>
      <c r="D244" s="2" t="s">
        <v>431</v>
      </c>
      <c r="E244" s="6">
        <v>2600</v>
      </c>
      <c r="F244" s="18">
        <v>452336.16000000003</v>
      </c>
      <c r="G244" s="18">
        <f>327235.16-10356</f>
        <v>316879.15999999997</v>
      </c>
      <c r="H244" s="18">
        <v>1000818.69</v>
      </c>
      <c r="I244" s="18">
        <v>418002.14</v>
      </c>
      <c r="J244" s="18">
        <v>48609.99</v>
      </c>
      <c r="K244" s="18">
        <v>0</v>
      </c>
      <c r="L244" s="19">
        <f t="shared" si="4"/>
        <v>2236646.14</v>
      </c>
      <c r="M244" s="8"/>
      <c r="N244" s="265"/>
    </row>
    <row r="245" spans="1:14" s="3" customFormat="1" ht="12.2" customHeight="1" x14ac:dyDescent="0.15">
      <c r="A245" s="1" t="s">
        <v>448</v>
      </c>
      <c r="B245" s="2" t="s">
        <v>350</v>
      </c>
      <c r="C245" s="2" t="s">
        <v>300</v>
      </c>
      <c r="D245" s="2" t="s">
        <v>431</v>
      </c>
      <c r="E245" s="6">
        <v>2700</v>
      </c>
      <c r="F245" s="18">
        <v>441815.78</v>
      </c>
      <c r="G245" s="18">
        <v>238306.88</v>
      </c>
      <c r="H245" s="18">
        <v>170247.06</v>
      </c>
      <c r="I245" s="18">
        <v>46015.6</v>
      </c>
      <c r="J245" s="18">
        <v>12739.41</v>
      </c>
      <c r="K245" s="18">
        <v>324.57</v>
      </c>
      <c r="L245" s="19">
        <f t="shared" si="4"/>
        <v>909449.29999999993</v>
      </c>
      <c r="M245" s="8"/>
      <c r="N245" s="265"/>
    </row>
    <row r="246" spans="1:14" s="3" customFormat="1" ht="12.2" customHeight="1" x14ac:dyDescent="0.15">
      <c r="A246" s="1" t="s">
        <v>449</v>
      </c>
      <c r="B246" s="2" t="s">
        <v>350</v>
      </c>
      <c r="C246" s="2" t="s">
        <v>343</v>
      </c>
      <c r="D246" s="2" t="s">
        <v>431</v>
      </c>
      <c r="E246" s="6">
        <v>2800</v>
      </c>
      <c r="F246" s="18">
        <v>202937.84</v>
      </c>
      <c r="G246" s="18">
        <v>108072.5</v>
      </c>
      <c r="H246" s="18">
        <v>197235.38</v>
      </c>
      <c r="I246" s="18">
        <v>71850.16</v>
      </c>
      <c r="J246" s="18">
        <v>30215.45</v>
      </c>
      <c r="K246" s="18">
        <v>3856.67</v>
      </c>
      <c r="L246" s="19">
        <f>SUM(F246:K246)</f>
        <v>614168</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9390714.0799999982</v>
      </c>
      <c r="G248" s="41">
        <f t="shared" si="5"/>
        <v>4572923.72</v>
      </c>
      <c r="H248" s="41">
        <f t="shared" si="5"/>
        <v>2653605.52</v>
      </c>
      <c r="I248" s="41">
        <f t="shared" si="5"/>
        <v>750701.14</v>
      </c>
      <c r="J248" s="41">
        <f t="shared" si="5"/>
        <v>176821.13000000003</v>
      </c>
      <c r="K248" s="41">
        <f t="shared" si="5"/>
        <v>74707.22</v>
      </c>
      <c r="L248" s="41">
        <f t="shared" si="5"/>
        <v>17619472.809999999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519533.89</v>
      </c>
      <c r="I256" s="18"/>
      <c r="J256" s="18"/>
      <c r="K256" s="18"/>
      <c r="L256" s="19">
        <f t="shared" si="6"/>
        <v>519533.89</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519533.89</v>
      </c>
      <c r="I257" s="41">
        <f t="shared" si="7"/>
        <v>0</v>
      </c>
      <c r="J257" s="41">
        <f t="shared" si="7"/>
        <v>0</v>
      </c>
      <c r="K257" s="41">
        <f t="shared" si="7"/>
        <v>0</v>
      </c>
      <c r="L257" s="41">
        <f>SUM(F257:K257)</f>
        <v>519533.89</v>
      </c>
      <c r="M257" s="8"/>
      <c r="N257" s="265"/>
    </row>
    <row r="258" spans="1:14" s="3" customFormat="1" ht="12.2" customHeight="1" thickTop="1" x14ac:dyDescent="0.15">
      <c r="A258" s="38" t="s">
        <v>462</v>
      </c>
      <c r="B258" s="40">
        <v>10</v>
      </c>
      <c r="C258" s="40">
        <v>8</v>
      </c>
      <c r="D258" s="39" t="s">
        <v>431</v>
      </c>
      <c r="E258" s="40"/>
      <c r="F258" s="41">
        <f t="shared" ref="F258:L258" si="8">F212+F230+F248+F257</f>
        <v>25045978.240000002</v>
      </c>
      <c r="G258" s="41">
        <f t="shared" si="8"/>
        <v>11951457.780000001</v>
      </c>
      <c r="H258" s="41">
        <f t="shared" si="8"/>
        <v>6294921.3999999994</v>
      </c>
      <c r="I258" s="41">
        <f t="shared" si="8"/>
        <v>1654719.2000000002</v>
      </c>
      <c r="J258" s="41">
        <f t="shared" si="8"/>
        <v>350713.93000000005</v>
      </c>
      <c r="K258" s="41">
        <f t="shared" si="8"/>
        <v>111472.76000000001</v>
      </c>
      <c r="L258" s="41">
        <f t="shared" si="8"/>
        <v>45409263.310000002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1285000</v>
      </c>
      <c r="L261" s="19">
        <f>SUM(F261:K261)</f>
        <v>1285000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1168999.08</v>
      </c>
      <c r="L262" s="19">
        <f>SUM(F262:K262)</f>
        <v>1168999.08</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125000</v>
      </c>
      <c r="L267" s="19">
        <f t="shared" si="9"/>
        <v>125000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2578999.08</v>
      </c>
      <c r="L271" s="41">
        <f t="shared" si="9"/>
        <v>2578999.08</v>
      </c>
      <c r="M271" s="8"/>
      <c r="N271" s="265"/>
    </row>
    <row r="272" spans="1:14" s="34" customFormat="1" ht="12.2" customHeight="1" thickTop="1" x14ac:dyDescent="0.2">
      <c r="A272" s="43" t="s">
        <v>464</v>
      </c>
      <c r="B272" s="40">
        <v>10</v>
      </c>
      <c r="C272" s="40">
        <v>18</v>
      </c>
      <c r="D272" s="39" t="s">
        <v>431</v>
      </c>
      <c r="E272" s="40"/>
      <c r="F272" s="42">
        <f t="shared" ref="F272:L272" si="11">F258+F271</f>
        <v>25045978.240000002</v>
      </c>
      <c r="G272" s="42">
        <f t="shared" si="11"/>
        <v>11951457.780000001</v>
      </c>
      <c r="H272" s="42">
        <f t="shared" si="11"/>
        <v>6294921.3999999994</v>
      </c>
      <c r="I272" s="42">
        <f t="shared" si="11"/>
        <v>1654719.2000000002</v>
      </c>
      <c r="J272" s="42">
        <f t="shared" si="11"/>
        <v>350713.93000000005</v>
      </c>
      <c r="K272" s="42">
        <f t="shared" si="11"/>
        <v>2690471.84</v>
      </c>
      <c r="L272" s="42">
        <f t="shared" si="11"/>
        <v>47988262.390000001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34294.79</v>
      </c>
      <c r="G277" s="18">
        <v>10159.1</v>
      </c>
      <c r="H277" s="18">
        <v>0</v>
      </c>
      <c r="I277" s="18">
        <v>5038.58</v>
      </c>
      <c r="J277" s="18">
        <v>3644.03</v>
      </c>
      <c r="K277" s="18">
        <v>0</v>
      </c>
      <c r="L277" s="19">
        <f>SUM(F277:K277)</f>
        <v>53136.5</v>
      </c>
      <c r="M277" s="8"/>
      <c r="N277" s="265"/>
    </row>
    <row r="278" spans="1:14" s="3" customFormat="1" ht="12.2" customHeight="1" x14ac:dyDescent="0.15">
      <c r="A278" s="1" t="s">
        <v>439</v>
      </c>
      <c r="B278" s="2" t="s">
        <v>357</v>
      </c>
      <c r="C278" s="2" t="s">
        <v>291</v>
      </c>
      <c r="D278" s="2" t="s">
        <v>431</v>
      </c>
      <c r="E278" s="6">
        <v>1200</v>
      </c>
      <c r="F278" s="18">
        <v>24.15</v>
      </c>
      <c r="G278" s="18">
        <v>6.93</v>
      </c>
      <c r="H278" s="18">
        <v>18830.53</v>
      </c>
      <c r="I278" s="18">
        <v>956.22</v>
      </c>
      <c r="J278" s="18">
        <v>1110.8699999999999</v>
      </c>
      <c r="K278" s="18">
        <v>0</v>
      </c>
      <c r="L278" s="19">
        <f>SUM(F278:K278)</f>
        <v>20928.7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25903.89</v>
      </c>
      <c r="G280" s="18">
        <v>3741.17</v>
      </c>
      <c r="H280" s="18">
        <v>2188.62</v>
      </c>
      <c r="I280" s="18">
        <v>1306.8399999999999</v>
      </c>
      <c r="J280" s="18">
        <v>0</v>
      </c>
      <c r="K280" s="18">
        <v>0</v>
      </c>
      <c r="L280" s="19">
        <f>SUM(F280:K280)</f>
        <v>33140.519999999997</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224.74</v>
      </c>
      <c r="G283" s="18">
        <v>64.44</v>
      </c>
      <c r="H283" s="18">
        <v>24939.11</v>
      </c>
      <c r="I283" s="18">
        <v>217.11</v>
      </c>
      <c r="J283" s="18">
        <v>0</v>
      </c>
      <c r="K283" s="18">
        <v>0</v>
      </c>
      <c r="L283" s="19">
        <f t="shared" si="12"/>
        <v>25445.4</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2890.42</v>
      </c>
      <c r="I289" s="18">
        <v>1679.53</v>
      </c>
      <c r="J289" s="18">
        <v>12920.33</v>
      </c>
      <c r="K289" s="18">
        <v>0</v>
      </c>
      <c r="L289" s="19">
        <f>SUM(F289:K289)</f>
        <v>17490.28</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60447.57</v>
      </c>
      <c r="G291" s="42">
        <f t="shared" si="13"/>
        <v>13971.640000000001</v>
      </c>
      <c r="H291" s="42">
        <f t="shared" si="13"/>
        <v>48848.679999999993</v>
      </c>
      <c r="I291" s="42">
        <f t="shared" si="13"/>
        <v>9198.2800000000007</v>
      </c>
      <c r="J291" s="42">
        <f t="shared" si="13"/>
        <v>17675.23</v>
      </c>
      <c r="K291" s="42">
        <f t="shared" si="13"/>
        <v>0</v>
      </c>
      <c r="L291" s="41">
        <f t="shared" si="13"/>
        <v>150141.4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64602.47</v>
      </c>
      <c r="G296" s="18">
        <v>21800.219999999998</v>
      </c>
      <c r="H296" s="18">
        <v>0</v>
      </c>
      <c r="I296" s="18">
        <v>0</v>
      </c>
      <c r="J296" s="18">
        <v>3564.69</v>
      </c>
      <c r="K296" s="18">
        <v>0</v>
      </c>
      <c r="L296" s="19">
        <f>SUM(F296:K296)</f>
        <v>89967.38</v>
      </c>
      <c r="M296" s="8"/>
      <c r="N296" s="265"/>
    </row>
    <row r="297" spans="1:14" s="3" customFormat="1" ht="12.2" customHeight="1" x14ac:dyDescent="0.15">
      <c r="A297" s="1" t="s">
        <v>439</v>
      </c>
      <c r="B297" s="2" t="s">
        <v>358</v>
      </c>
      <c r="C297" s="2" t="s">
        <v>291</v>
      </c>
      <c r="D297" s="2" t="s">
        <v>431</v>
      </c>
      <c r="E297" s="6">
        <v>1200</v>
      </c>
      <c r="F297" s="18">
        <v>148235.62</v>
      </c>
      <c r="G297" s="18">
        <v>92223.750000000015</v>
      </c>
      <c r="H297" s="18">
        <v>9867.77</v>
      </c>
      <c r="I297" s="18">
        <v>935.4</v>
      </c>
      <c r="J297" s="18">
        <v>1086.68</v>
      </c>
      <c r="K297" s="18">
        <v>0</v>
      </c>
      <c r="L297" s="19">
        <f>SUM(F297:K297)</f>
        <v>252349.21999999997</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26992.799999999999</v>
      </c>
      <c r="G299" s="18">
        <v>4149.63</v>
      </c>
      <c r="H299" s="18">
        <v>2140.96</v>
      </c>
      <c r="I299" s="18">
        <v>3078.3900000000003</v>
      </c>
      <c r="J299" s="18">
        <v>0</v>
      </c>
      <c r="K299" s="18">
        <v>1200</v>
      </c>
      <c r="L299" s="19">
        <f>SUM(F299:K299)</f>
        <v>37561.78</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52059</v>
      </c>
      <c r="G301" s="18">
        <v>25053</v>
      </c>
      <c r="H301" s="18">
        <v>0</v>
      </c>
      <c r="I301" s="18">
        <v>0</v>
      </c>
      <c r="J301" s="18">
        <v>0</v>
      </c>
      <c r="K301" s="18">
        <v>0</v>
      </c>
      <c r="L301" s="19">
        <f t="shared" ref="L301:L307" si="14">SUM(F301:K301)</f>
        <v>77112</v>
      </c>
      <c r="M301" s="8"/>
      <c r="N301" s="265"/>
    </row>
    <row r="302" spans="1:14" s="3" customFormat="1" ht="12.2" customHeight="1" x14ac:dyDescent="0.15">
      <c r="A302" s="1" t="s">
        <v>443</v>
      </c>
      <c r="B302" s="2" t="s">
        <v>358</v>
      </c>
      <c r="C302" s="2" t="s">
        <v>295</v>
      </c>
      <c r="D302" s="2" t="s">
        <v>431</v>
      </c>
      <c r="E302" s="6">
        <v>2200</v>
      </c>
      <c r="F302" s="18">
        <v>219.85</v>
      </c>
      <c r="G302" s="18">
        <v>63.03</v>
      </c>
      <c r="H302" s="18">
        <v>23919.72</v>
      </c>
      <c r="I302" s="18">
        <v>212.38</v>
      </c>
      <c r="J302" s="18">
        <v>0</v>
      </c>
      <c r="K302" s="18">
        <v>0</v>
      </c>
      <c r="L302" s="19">
        <f t="shared" si="14"/>
        <v>24414.980000000003</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2827.49</v>
      </c>
      <c r="I308" s="18">
        <v>1642.96</v>
      </c>
      <c r="J308" s="18">
        <v>12639.02</v>
      </c>
      <c r="K308" s="18">
        <v>0</v>
      </c>
      <c r="L308" s="19">
        <f>SUM(F308:K308)</f>
        <v>17109.47</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292109.74</v>
      </c>
      <c r="G310" s="42">
        <f t="shared" si="15"/>
        <v>143289.63000000003</v>
      </c>
      <c r="H310" s="42">
        <f t="shared" si="15"/>
        <v>38755.939999999995</v>
      </c>
      <c r="I310" s="42">
        <f t="shared" si="15"/>
        <v>5869.13</v>
      </c>
      <c r="J310" s="42">
        <f t="shared" si="15"/>
        <v>17290.39</v>
      </c>
      <c r="K310" s="42">
        <f t="shared" si="15"/>
        <v>1200</v>
      </c>
      <c r="L310" s="41">
        <f t="shared" si="15"/>
        <v>498514.82999999996</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31797.87</v>
      </c>
      <c r="G315" s="18">
        <v>11773.42</v>
      </c>
      <c r="H315" s="18">
        <v>0</v>
      </c>
      <c r="I315" s="18">
        <v>0</v>
      </c>
      <c r="J315" s="18">
        <v>4862.4799999999996</v>
      </c>
      <c r="K315" s="18">
        <v>0</v>
      </c>
      <c r="L315" s="19">
        <f>SUM(F315:K315)</f>
        <v>48433.770000000004</v>
      </c>
      <c r="M315" s="8"/>
      <c r="N315" s="265"/>
    </row>
    <row r="316" spans="1:14" s="3" customFormat="1" ht="12.2" customHeight="1" x14ac:dyDescent="0.15">
      <c r="A316" s="1" t="s">
        <v>439</v>
      </c>
      <c r="B316" s="2" t="s">
        <v>359</v>
      </c>
      <c r="C316" s="2" t="s">
        <v>291</v>
      </c>
      <c r="D316" s="2" t="s">
        <v>431</v>
      </c>
      <c r="E316" s="6">
        <v>1200</v>
      </c>
      <c r="F316" s="18">
        <v>132943.43000000002</v>
      </c>
      <c r="G316" s="18">
        <v>80561.970000000016</v>
      </c>
      <c r="H316" s="18">
        <v>13460.33</v>
      </c>
      <c r="I316" s="18">
        <v>1275.94</v>
      </c>
      <c r="J316" s="18">
        <v>1482.31</v>
      </c>
      <c r="K316" s="18">
        <v>0</v>
      </c>
      <c r="L316" s="19">
        <f>SUM(F316:K316)</f>
        <v>229723.98</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30740.41</v>
      </c>
      <c r="G318" s="18">
        <v>4699.5</v>
      </c>
      <c r="H318" s="18">
        <v>3520.42</v>
      </c>
      <c r="I318" s="18">
        <v>7856.5</v>
      </c>
      <c r="J318" s="18">
        <v>0</v>
      </c>
      <c r="K318" s="18">
        <v>0</v>
      </c>
      <c r="L318" s="19">
        <f>SUM(F318:K318)</f>
        <v>46816.83</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299.89</v>
      </c>
      <c r="G321" s="18">
        <v>85.98</v>
      </c>
      <c r="H321" s="18">
        <v>32628.17</v>
      </c>
      <c r="I321" s="18">
        <v>289.70999999999998</v>
      </c>
      <c r="J321" s="18">
        <v>0</v>
      </c>
      <c r="K321" s="18">
        <v>0</v>
      </c>
      <c r="L321" s="19">
        <f t="shared" si="16"/>
        <v>33303.75</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3856.89</v>
      </c>
      <c r="I327" s="18">
        <v>2241.1</v>
      </c>
      <c r="J327" s="18">
        <v>17240.5</v>
      </c>
      <c r="K327" s="18">
        <v>0</v>
      </c>
      <c r="L327" s="19">
        <f>SUM(F327:K327)</f>
        <v>23338.489999999998</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195781.60000000003</v>
      </c>
      <c r="G329" s="42">
        <f t="shared" si="17"/>
        <v>97120.87000000001</v>
      </c>
      <c r="H329" s="42">
        <f t="shared" si="17"/>
        <v>53465.81</v>
      </c>
      <c r="I329" s="42">
        <f t="shared" si="17"/>
        <v>11663.25</v>
      </c>
      <c r="J329" s="42">
        <f t="shared" si="17"/>
        <v>23585.29</v>
      </c>
      <c r="K329" s="42">
        <f t="shared" si="17"/>
        <v>0</v>
      </c>
      <c r="L329" s="41">
        <f t="shared" si="17"/>
        <v>381616.82</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548338.91</v>
      </c>
      <c r="G339" s="41">
        <f t="shared" si="20"/>
        <v>254382.14000000007</v>
      </c>
      <c r="H339" s="41">
        <f t="shared" si="20"/>
        <v>141070.43</v>
      </c>
      <c r="I339" s="41">
        <f t="shared" si="20"/>
        <v>26730.66</v>
      </c>
      <c r="J339" s="41">
        <f t="shared" si="20"/>
        <v>58550.909999999996</v>
      </c>
      <c r="K339" s="41">
        <f t="shared" si="20"/>
        <v>1200</v>
      </c>
      <c r="L339" s="41">
        <f t="shared" si="20"/>
        <v>1030273.05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548338.91</v>
      </c>
      <c r="G353" s="41">
        <f>G339</f>
        <v>254382.14000000007</v>
      </c>
      <c r="H353" s="41">
        <f>H339</f>
        <v>141070.43</v>
      </c>
      <c r="I353" s="41">
        <f>I339</f>
        <v>26730.66</v>
      </c>
      <c r="J353" s="41">
        <f>J339</f>
        <v>58550.909999999996</v>
      </c>
      <c r="K353" s="47">
        <f>K339+K352</f>
        <v>1200</v>
      </c>
      <c r="L353" s="41">
        <f>L339+L352</f>
        <v>1030273.05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122401.85</v>
      </c>
      <c r="G359" s="18">
        <v>28736.880000000001</v>
      </c>
      <c r="H359" s="18">
        <v>9183.2000000000007</v>
      </c>
      <c r="I359" s="18">
        <v>127367.26</v>
      </c>
      <c r="J359" s="18">
        <v>561.41999999999996</v>
      </c>
      <c r="K359" s="18">
        <v>224</v>
      </c>
      <c r="L359" s="13">
        <f>SUM(F359:K359)</f>
        <v>288474.61</v>
      </c>
      <c r="M359" s="8"/>
      <c r="N359" s="265"/>
    </row>
    <row r="360" spans="1:22" s="3" customFormat="1" ht="12.2" customHeight="1" x14ac:dyDescent="0.15">
      <c r="A360" s="1" t="s">
        <v>542</v>
      </c>
      <c r="B360" s="2" t="s">
        <v>366</v>
      </c>
      <c r="C360" s="6">
        <v>2</v>
      </c>
      <c r="D360" s="2" t="s">
        <v>431</v>
      </c>
      <c r="E360" s="6"/>
      <c r="F360" s="18">
        <v>119736.8</v>
      </c>
      <c r="G360" s="18">
        <v>28111.200000000001</v>
      </c>
      <c r="H360" s="18">
        <v>3506.72</v>
      </c>
      <c r="I360" s="18">
        <v>148580.74000000002</v>
      </c>
      <c r="J360" s="18">
        <v>549.20000000000005</v>
      </c>
      <c r="K360" s="18">
        <v>222</v>
      </c>
      <c r="L360" s="19">
        <f>SUM(F360:K360)</f>
        <v>300706.66000000003</v>
      </c>
      <c r="M360" s="8"/>
      <c r="N360" s="265"/>
    </row>
    <row r="361" spans="1:22" s="3" customFormat="1" ht="12.2" customHeight="1" x14ac:dyDescent="0.15">
      <c r="A361" s="3" t="s">
        <v>543</v>
      </c>
      <c r="B361" s="2" t="s">
        <v>366</v>
      </c>
      <c r="C361" s="6">
        <v>3</v>
      </c>
      <c r="D361" s="2" t="s">
        <v>431</v>
      </c>
      <c r="E361" s="6"/>
      <c r="F361" s="18">
        <v>163329.38</v>
      </c>
      <c r="G361" s="18">
        <v>38345.64</v>
      </c>
      <c r="H361" s="18">
        <v>5868.201</v>
      </c>
      <c r="I361" s="18">
        <v>156464.19</v>
      </c>
      <c r="J361" s="18">
        <v>749.15</v>
      </c>
      <c r="K361" s="18">
        <v>266</v>
      </c>
      <c r="L361" s="19">
        <f>SUM(F361:K361)</f>
        <v>365022.56100000005</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405468.03</v>
      </c>
      <c r="G363" s="47">
        <f t="shared" si="22"/>
        <v>95193.72</v>
      </c>
      <c r="H363" s="47">
        <f t="shared" si="22"/>
        <v>18558.120999999999</v>
      </c>
      <c r="I363" s="47">
        <f t="shared" si="22"/>
        <v>432412.19</v>
      </c>
      <c r="J363" s="47">
        <f t="shared" si="22"/>
        <v>1859.77</v>
      </c>
      <c r="K363" s="47">
        <f t="shared" si="22"/>
        <v>712</v>
      </c>
      <c r="L363" s="47">
        <f t="shared" si="22"/>
        <v>954203.83100000001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116657.82999999999</v>
      </c>
      <c r="G368" s="18">
        <v>138789.66</v>
      </c>
      <c r="H368" s="18">
        <v>142163.08000000002</v>
      </c>
      <c r="I368" s="56">
        <f>SUM(F368:H368)</f>
        <v>397610.57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10709.43</v>
      </c>
      <c r="G369" s="63">
        <v>9791.08</v>
      </c>
      <c r="H369" s="63">
        <v>14301.11</v>
      </c>
      <c r="I369" s="56">
        <f>SUM(F369:H369)</f>
        <v>34801.620000000003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127367.25999999998</v>
      </c>
      <c r="G370" s="47">
        <f>SUM(G368:G369)</f>
        <v>148580.74</v>
      </c>
      <c r="H370" s="47">
        <f>SUM(H368:H369)</f>
        <v>156464.19</v>
      </c>
      <c r="I370" s="47">
        <f>SUM(I368:I369)</f>
        <v>432412.19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v>388703.37</v>
      </c>
      <c r="I377" s="18"/>
      <c r="J377" s="18"/>
      <c r="K377" s="18"/>
      <c r="L377" s="13">
        <f t="shared" si="23"/>
        <v>388703.37</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v>14052281.800000001</v>
      </c>
      <c r="I379" s="18"/>
      <c r="J379" s="18"/>
      <c r="K379" s="18"/>
      <c r="L379" s="13">
        <f t="shared" si="23"/>
        <v>14052281.800000001</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v>78571.06</v>
      </c>
      <c r="I381" s="18">
        <v>18962.48</v>
      </c>
      <c r="J381" s="18">
        <v>1677269.01</v>
      </c>
      <c r="K381" s="18"/>
      <c r="L381" s="13">
        <f t="shared" si="23"/>
        <v>1774802.55</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3005383.33</v>
      </c>
      <c r="L382" s="13">
        <f t="shared" si="23"/>
        <v>3005383.33</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14519556.23</v>
      </c>
      <c r="I383" s="41">
        <f t="shared" si="24"/>
        <v>18962.48</v>
      </c>
      <c r="J383" s="47">
        <f t="shared" si="24"/>
        <v>1677269.01</v>
      </c>
      <c r="K383" s="47">
        <f t="shared" si="24"/>
        <v>3005383.33</v>
      </c>
      <c r="L383" s="47">
        <f t="shared" si="24"/>
        <v>19221171.050000001</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v>-26663.81</v>
      </c>
      <c r="I390" s="18"/>
      <c r="J390" s="24" t="s">
        <v>288</v>
      </c>
      <c r="K390" s="24" t="s">
        <v>288</v>
      </c>
      <c r="L390" s="56">
        <f t="shared" si="25"/>
        <v>-26663.81</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-26663.81</v>
      </c>
      <c r="I394" s="65">
        <f>SUM(I388:I393)</f>
        <v>0</v>
      </c>
      <c r="J394" s="45" t="s">
        <v>288</v>
      </c>
      <c r="K394" s="45" t="s">
        <v>288</v>
      </c>
      <c r="L394" s="47">
        <f>SUM(L388:L393)</f>
        <v>-26663.81</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125000</v>
      </c>
      <c r="H397" s="18">
        <v>-14977.15</v>
      </c>
      <c r="I397" s="18"/>
      <c r="J397" s="24" t="s">
        <v>288</v>
      </c>
      <c r="K397" s="24" t="s">
        <v>288</v>
      </c>
      <c r="L397" s="56">
        <f t="shared" si="26"/>
        <v>110022.85</v>
      </c>
      <c r="M397" s="8"/>
      <c r="N397" s="265"/>
    </row>
    <row r="398" spans="1:14" s="3" customFormat="1" ht="12.2" customHeight="1" x14ac:dyDescent="0.15">
      <c r="A398" s="79" t="s">
        <v>515</v>
      </c>
      <c r="B398" s="2" t="s">
        <v>381</v>
      </c>
      <c r="C398" s="6">
        <v>10</v>
      </c>
      <c r="D398" s="2" t="s">
        <v>432</v>
      </c>
      <c r="E398" s="6"/>
      <c r="F398" s="18"/>
      <c r="G398" s="18"/>
      <c r="H398" s="18">
        <v>-54016.32</v>
      </c>
      <c r="I398" s="18"/>
      <c r="J398" s="24" t="s">
        <v>288</v>
      </c>
      <c r="K398" s="24" t="s">
        <v>288</v>
      </c>
      <c r="L398" s="56">
        <f t="shared" si="26"/>
        <v>-54016.32</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-66551.81</v>
      </c>
      <c r="I401" s="18">
        <v>8974</v>
      </c>
      <c r="J401" s="24" t="s">
        <v>288</v>
      </c>
      <c r="K401" s="24" t="s">
        <v>288</v>
      </c>
      <c r="L401" s="56">
        <f t="shared" si="26"/>
        <v>-57577.81</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125000</v>
      </c>
      <c r="H402" s="47">
        <f>SUM(H396:H401)</f>
        <v>-135545.28</v>
      </c>
      <c r="I402" s="47">
        <f>SUM(I396:I401)</f>
        <v>8974</v>
      </c>
      <c r="J402" s="45" t="s">
        <v>288</v>
      </c>
      <c r="K402" s="45" t="s">
        <v>288</v>
      </c>
      <c r="L402" s="47">
        <f>SUM(L396:L401)</f>
        <v>-1571.2799999999916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125000</v>
      </c>
      <c r="H409" s="47">
        <f>H394+H402+H408</f>
        <v>-162209.09</v>
      </c>
      <c r="I409" s="47">
        <f>I394+I402+I408</f>
        <v>8974</v>
      </c>
      <c r="J409" s="24" t="s">
        <v>288</v>
      </c>
      <c r="K409" s="24" t="s">
        <v>288</v>
      </c>
      <c r="L409" s="47">
        <f>L394+L402+L408</f>
        <v>-28235.089999999993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200000</v>
      </c>
      <c r="L416" s="56">
        <f t="shared" si="27"/>
        <v>200000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200000</v>
      </c>
      <c r="L420" s="47">
        <f t="shared" si="28"/>
        <v>200000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v>14750</v>
      </c>
      <c r="L427" s="56">
        <f t="shared" si="29"/>
        <v>14750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14750</v>
      </c>
      <c r="L428" s="47">
        <f t="shared" si="30"/>
        <v>14750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214750</v>
      </c>
      <c r="L435" s="47">
        <f t="shared" si="32"/>
        <v>214750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233293.9</v>
      </c>
      <c r="G441" s="18">
        <v>1224954.6599999999</v>
      </c>
      <c r="H441" s="18"/>
      <c r="I441" s="56">
        <f t="shared" si="33"/>
        <v>1458248.5599999998</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233293.9</v>
      </c>
      <c r="G447" s="13">
        <f>SUM(G440:G446)</f>
        <v>1224954.6599999999</v>
      </c>
      <c r="H447" s="13">
        <f>SUM(H440:H446)</f>
        <v>0</v>
      </c>
      <c r="I447" s="13">
        <f>SUM(I440:I446)</f>
        <v>1458248.5599999998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v>15326</v>
      </c>
      <c r="H449" s="18"/>
      <c r="I449" s="56">
        <f>SUM(F449:H449)</f>
        <v>15326</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15326</v>
      </c>
      <c r="H453" s="72">
        <f>SUM(H449:H452)</f>
        <v>0</v>
      </c>
      <c r="I453" s="72">
        <f>SUM(I449:I452)</f>
        <v>15326</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233293.9</v>
      </c>
      <c r="G460" s="18">
        <f>1198253.66+11375</f>
        <v>1209628.6599999999</v>
      </c>
      <c r="H460" s="18"/>
      <c r="I460" s="56">
        <f t="shared" si="34"/>
        <v>1442922.5599999998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233293.9</v>
      </c>
      <c r="G461" s="83">
        <f>SUM(G455:G460)</f>
        <v>1209628.6599999999</v>
      </c>
      <c r="H461" s="83">
        <f>SUM(H455:H460)</f>
        <v>0</v>
      </c>
      <c r="I461" s="83">
        <f>SUM(I455:I460)</f>
        <v>1442922.5599999998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233293.9</v>
      </c>
      <c r="G462" s="42">
        <f>G453+G461</f>
        <v>1224954.6599999999</v>
      </c>
      <c r="H462" s="42">
        <f>H453+H461</f>
        <v>0</v>
      </c>
      <c r="I462" s="42">
        <f>I453+I461</f>
        <v>1458248.5599999998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2328033.96</v>
      </c>
      <c r="G466" s="18">
        <v>-0.06</v>
      </c>
      <c r="H466" s="18">
        <v>47636.52</v>
      </c>
      <c r="I466" s="18">
        <v>-1643609.58</v>
      </c>
      <c r="J466" s="18">
        <v>1674532.65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48146348.090000004</v>
      </c>
      <c r="G469" s="18">
        <v>1314437.53</v>
      </c>
      <c r="H469" s="18">
        <v>1069042.46</v>
      </c>
      <c r="I469" s="18">
        <v>24859508.109999999</v>
      </c>
      <c r="J469" s="18">
        <v>-28235.09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11375</v>
      </c>
      <c r="K470" s="24" t="s">
        <v>288</v>
      </c>
      <c r="L470" s="24" t="s">
        <v>288</v>
      </c>
      <c r="N470" s="264"/>
    </row>
    <row r="471" spans="1:14" s="52" customFormat="1" ht="12.2" customHeight="1" x14ac:dyDescent="0.2">
      <c r="A471" s="92" t="s">
        <v>425</v>
      </c>
      <c r="B471" s="75">
        <v>19</v>
      </c>
      <c r="C471" s="80">
        <v>4</v>
      </c>
      <c r="D471" s="2" t="s">
        <v>432</v>
      </c>
      <c r="E471" s="80"/>
      <c r="F471" s="53">
        <f>SUM(F469:F470)</f>
        <v>48146348.090000004</v>
      </c>
      <c r="G471" s="53">
        <f>SUM(G469:G470)</f>
        <v>1314437.53</v>
      </c>
      <c r="H471" s="53">
        <f>SUM(H469:H470)</f>
        <v>1069042.46</v>
      </c>
      <c r="I471" s="53">
        <f>SUM(I469:I470)</f>
        <v>24859508.109999999</v>
      </c>
      <c r="J471" s="53">
        <f>SUM(J469:J470)</f>
        <v>-16860.09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47988262.31+0.08</f>
        <v>47988262.390000001</v>
      </c>
      <c r="G473" s="18">
        <v>954203.83</v>
      </c>
      <c r="H473" s="18">
        <v>1030273.05</v>
      </c>
      <c r="I473" s="18">
        <v>19221171.049999997</v>
      </c>
      <c r="J473" s="18">
        <v>214750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47988262.390000001</v>
      </c>
      <c r="G475" s="53">
        <f>SUM(G473:G474)</f>
        <v>954203.83</v>
      </c>
      <c r="H475" s="53">
        <f>SUM(H473:H474)</f>
        <v>1030273.05</v>
      </c>
      <c r="I475" s="53">
        <f>SUM(I473:I474)</f>
        <v>19221171.049999997</v>
      </c>
      <c r="J475" s="53">
        <f>SUM(J473:J474)</f>
        <v>214750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2486119.6600000039</v>
      </c>
      <c r="G477" s="53">
        <f>(G466+G471)- G475</f>
        <v>360233.64</v>
      </c>
      <c r="H477" s="53">
        <f>(H466+H471)- H475</f>
        <v>86405.929999999935</v>
      </c>
      <c r="I477" s="53">
        <f>(I466+I471)- I475</f>
        <v>3994727.4800000042</v>
      </c>
      <c r="J477" s="53">
        <f>(J466+J471)- J475</f>
        <v>1442922.5599999998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6"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10</v>
      </c>
      <c r="G491" s="154">
        <v>25</v>
      </c>
      <c r="H491" s="154">
        <v>25</v>
      </c>
      <c r="I491" s="154">
        <v>20</v>
      </c>
      <c r="J491" s="154">
        <v>20</v>
      </c>
      <c r="K491" s="24" t="s">
        <v>288</v>
      </c>
      <c r="L491" s="24" t="s">
        <v>288</v>
      </c>
      <c r="N491" s="264"/>
    </row>
    <row r="492" spans="1:14" s="52" customFormat="1" ht="12.2" customHeight="1" x14ac:dyDescent="0.2">
      <c r="A492" s="22" t="s">
        <v>615</v>
      </c>
      <c r="B492" s="75">
        <v>20</v>
      </c>
      <c r="C492" s="115">
        <v>2</v>
      </c>
      <c r="D492" s="2" t="s">
        <v>432</v>
      </c>
      <c r="E492" s="115"/>
      <c r="F492" s="155" t="s">
        <v>1802</v>
      </c>
      <c r="G492" s="155" t="s">
        <v>1803</v>
      </c>
      <c r="H492" s="371" t="s">
        <v>1810</v>
      </c>
      <c r="I492" s="154" t="s">
        <v>1808</v>
      </c>
      <c r="J492" s="154" t="s">
        <v>1806</v>
      </c>
      <c r="K492" s="24" t="s">
        <v>288</v>
      </c>
      <c r="L492" s="24" t="s">
        <v>288</v>
      </c>
      <c r="N492" s="264"/>
    </row>
    <row r="493" spans="1:14" s="52" customFormat="1" ht="12.2" customHeight="1" x14ac:dyDescent="0.2">
      <c r="A493" s="22" t="s">
        <v>616</v>
      </c>
      <c r="B493" s="75">
        <v>20</v>
      </c>
      <c r="C493" s="115">
        <v>3</v>
      </c>
      <c r="D493" s="2" t="s">
        <v>432</v>
      </c>
      <c r="E493" s="115"/>
      <c r="F493" s="155" t="s">
        <v>1804</v>
      </c>
      <c r="G493" s="155" t="s">
        <v>1805</v>
      </c>
      <c r="H493" s="371" t="s">
        <v>1811</v>
      </c>
      <c r="I493" s="154" t="s">
        <v>1809</v>
      </c>
      <c r="J493" s="154" t="s">
        <v>1807</v>
      </c>
      <c r="K493" s="24" t="s">
        <v>288</v>
      </c>
      <c r="L493" s="24" t="s">
        <v>288</v>
      </c>
      <c r="N493" s="264"/>
    </row>
    <row r="494" spans="1:14" s="52" customFormat="1" ht="12.2" customHeight="1" x14ac:dyDescent="0.2">
      <c r="A494" s="22" t="s">
        <v>617</v>
      </c>
      <c r="B494" s="75">
        <v>20</v>
      </c>
      <c r="C494" s="115">
        <v>4</v>
      </c>
      <c r="D494" s="2" t="s">
        <v>432</v>
      </c>
      <c r="E494" s="115"/>
      <c r="F494" s="18">
        <v>1500000</v>
      </c>
      <c r="G494" s="18">
        <v>23041800</v>
      </c>
      <c r="H494" s="18">
        <v>22513950</v>
      </c>
      <c r="I494" s="18">
        <v>2300000</v>
      </c>
      <c r="J494" s="18">
        <v>20406711</v>
      </c>
      <c r="K494" s="24" t="s">
        <v>288</v>
      </c>
      <c r="L494" s="24" t="s">
        <v>288</v>
      </c>
      <c r="N494" s="264"/>
    </row>
    <row r="495" spans="1:14" s="52" customFormat="1" ht="12.2" customHeight="1" x14ac:dyDescent="0.2">
      <c r="A495" s="22" t="s">
        <v>618</v>
      </c>
      <c r="B495" s="75">
        <v>20</v>
      </c>
      <c r="C495" s="115">
        <v>5</v>
      </c>
      <c r="D495" s="2" t="s">
        <v>432</v>
      </c>
      <c r="E495" s="115"/>
      <c r="F495" s="18">
        <v>1.88</v>
      </c>
      <c r="G495" s="18">
        <v>1.97</v>
      </c>
      <c r="H495" s="18">
        <v>2.0099999999999998</v>
      </c>
      <c r="I495" s="18">
        <v>4.22</v>
      </c>
      <c r="J495" s="18">
        <v>4.09</v>
      </c>
      <c r="K495" s="24" t="s">
        <v>288</v>
      </c>
      <c r="L495" s="24" t="s">
        <v>288</v>
      </c>
      <c r="N495" s="264"/>
    </row>
    <row r="496" spans="1:14" s="52" customFormat="1" ht="12.2" customHeight="1" x14ac:dyDescent="0.2">
      <c r="A496" s="22" t="s">
        <v>619</v>
      </c>
      <c r="B496" s="75">
        <v>20</v>
      </c>
      <c r="C496" s="115">
        <v>6</v>
      </c>
      <c r="D496" s="2" t="s">
        <v>432</v>
      </c>
      <c r="E496" s="115"/>
      <c r="F496" s="18">
        <v>900000</v>
      </c>
      <c r="G496" s="18">
        <v>23041800</v>
      </c>
      <c r="H496" s="18"/>
      <c r="I496" s="18">
        <v>115000</v>
      </c>
      <c r="J496" s="18">
        <v>1020000</v>
      </c>
      <c r="K496" s="53">
        <f>SUM(F496:J496)</f>
        <v>25076800</v>
      </c>
      <c r="L496" s="24" t="s">
        <v>288</v>
      </c>
      <c r="N496" s="264"/>
    </row>
    <row r="497" spans="1:14" s="52" customFormat="1" ht="12.2" customHeight="1" x14ac:dyDescent="0.2">
      <c r="A497" s="22" t="s">
        <v>620</v>
      </c>
      <c r="B497" s="75">
        <v>20</v>
      </c>
      <c r="C497" s="115">
        <v>7</v>
      </c>
      <c r="D497" s="2" t="s">
        <v>432</v>
      </c>
      <c r="E497" s="115"/>
      <c r="F497" s="18"/>
      <c r="G497" s="18"/>
      <c r="H497" s="18">
        <v>22513950</v>
      </c>
      <c r="I497" s="18"/>
      <c r="J497" s="18"/>
      <c r="K497" s="53">
        <f t="shared" ref="K497:K504" si="35">SUM(F497:J497)</f>
        <v>22513950</v>
      </c>
      <c r="L497" s="24" t="s">
        <v>288</v>
      </c>
      <c r="N497" s="264"/>
    </row>
    <row r="498" spans="1:14" s="52" customFormat="1" ht="12.2" customHeight="1" x14ac:dyDescent="0.2">
      <c r="A498" s="22" t="s">
        <v>621</v>
      </c>
      <c r="B498" s="75">
        <v>20</v>
      </c>
      <c r="C498" s="115">
        <v>8</v>
      </c>
      <c r="D498" s="2" t="s">
        <v>432</v>
      </c>
      <c r="E498" s="115"/>
      <c r="F498" s="18">
        <v>150000</v>
      </c>
      <c r="G498" s="18"/>
      <c r="H498" s="18"/>
      <c r="I498" s="18">
        <v>115000</v>
      </c>
      <c r="J498" s="18">
        <v>1020000</v>
      </c>
      <c r="K498" s="53">
        <f t="shared" si="35"/>
        <v>1285000</v>
      </c>
      <c r="L498" s="24" t="s">
        <v>288</v>
      </c>
      <c r="N498" s="264"/>
    </row>
    <row r="499" spans="1:14" s="52" customFormat="1" ht="12.2" customHeight="1" x14ac:dyDescent="0.2">
      <c r="A499" s="199" t="s">
        <v>622</v>
      </c>
      <c r="B499" s="200">
        <v>20</v>
      </c>
      <c r="C499" s="201">
        <v>9</v>
      </c>
      <c r="D499" s="202" t="s">
        <v>432</v>
      </c>
      <c r="E499" s="201"/>
      <c r="F499" s="203">
        <v>750000</v>
      </c>
      <c r="G499" s="203">
        <v>23041800</v>
      </c>
      <c r="H499" s="203">
        <v>22513950</v>
      </c>
      <c r="I499" s="203">
        <v>0</v>
      </c>
      <c r="J499" s="203">
        <v>1020000</v>
      </c>
      <c r="K499" s="204">
        <f t="shared" si="35"/>
        <v>47325750</v>
      </c>
      <c r="L499" s="205" t="s">
        <v>288</v>
      </c>
      <c r="N499" s="264"/>
    </row>
    <row r="500" spans="1:14" s="52" customFormat="1" ht="12.2" customHeight="1" thickBot="1" x14ac:dyDescent="0.25">
      <c r="A500" s="22" t="s">
        <v>623</v>
      </c>
      <c r="B500" s="75">
        <v>20</v>
      </c>
      <c r="C500" s="115">
        <v>10</v>
      </c>
      <c r="D500" s="2" t="s">
        <v>432</v>
      </c>
      <c r="E500" s="115"/>
      <c r="F500" s="18">
        <v>42300</v>
      </c>
      <c r="G500" s="18">
        <v>8065481.0499999998</v>
      </c>
      <c r="H500" s="18">
        <v>9234798.6500000004</v>
      </c>
      <c r="I500" s="18">
        <v>0</v>
      </c>
      <c r="J500" s="18">
        <v>23970</v>
      </c>
      <c r="K500" s="53">
        <f t="shared" si="35"/>
        <v>17366549.699999999</v>
      </c>
      <c r="L500" s="24" t="s">
        <v>288</v>
      </c>
      <c r="N500" s="264"/>
    </row>
    <row r="501" spans="1:14" s="52" customFormat="1" ht="12.2" customHeight="1" thickTop="1" x14ac:dyDescent="0.2">
      <c r="A501" s="139" t="s">
        <v>624</v>
      </c>
      <c r="B501" s="44">
        <v>20</v>
      </c>
      <c r="C501" s="194">
        <v>11</v>
      </c>
      <c r="D501" s="39" t="s">
        <v>432</v>
      </c>
      <c r="E501" s="194"/>
      <c r="F501" s="42">
        <f>SUM(F499:F500)</f>
        <v>792300</v>
      </c>
      <c r="G501" s="42">
        <f>SUM(G499:G500)</f>
        <v>31107281.050000001</v>
      </c>
      <c r="H501" s="42">
        <f>SUM(H499:H500)</f>
        <v>31748748.649999999</v>
      </c>
      <c r="I501" s="42">
        <f>SUM(I499:I500)</f>
        <v>0</v>
      </c>
      <c r="J501" s="42">
        <f>SUM(J499:J500)</f>
        <v>1043970</v>
      </c>
      <c r="K501" s="42">
        <f t="shared" si="35"/>
        <v>64692299.700000003</v>
      </c>
      <c r="L501" s="45" t="s">
        <v>288</v>
      </c>
      <c r="N501" s="264"/>
    </row>
    <row r="502" spans="1:14" s="52" customFormat="1" ht="12.2" customHeight="1" x14ac:dyDescent="0.2">
      <c r="A502" s="199" t="s">
        <v>651</v>
      </c>
      <c r="B502" s="200">
        <v>20</v>
      </c>
      <c r="C502" s="201">
        <v>12</v>
      </c>
      <c r="D502" s="202" t="s">
        <v>432</v>
      </c>
      <c r="E502" s="201"/>
      <c r="F502" s="203">
        <v>150000</v>
      </c>
      <c r="G502" s="203">
        <v>0</v>
      </c>
      <c r="H502" s="203">
        <v>0</v>
      </c>
      <c r="I502" s="203"/>
      <c r="J502" s="203">
        <v>1020000</v>
      </c>
      <c r="K502" s="204">
        <f t="shared" si="35"/>
        <v>1170000</v>
      </c>
      <c r="L502" s="205" t="s">
        <v>288</v>
      </c>
      <c r="N502" s="264"/>
    </row>
    <row r="503" spans="1:14" s="52" customFormat="1" ht="12.2" customHeight="1" thickBot="1" x14ac:dyDescent="0.25">
      <c r="A503" s="22" t="s">
        <v>625</v>
      </c>
      <c r="B503" s="75">
        <v>20</v>
      </c>
      <c r="C503" s="115">
        <v>13</v>
      </c>
      <c r="D503" s="2" t="s">
        <v>432</v>
      </c>
      <c r="E503" s="115"/>
      <c r="F503" s="18">
        <v>14100</v>
      </c>
      <c r="G503" s="18">
        <v>703238.06</v>
      </c>
      <c r="H503" s="18">
        <v>733061.46</v>
      </c>
      <c r="I503" s="18"/>
      <c r="J503" s="18">
        <v>23970</v>
      </c>
      <c r="K503" s="53">
        <f t="shared" si="35"/>
        <v>1474369.52</v>
      </c>
      <c r="L503" s="24" t="s">
        <v>288</v>
      </c>
      <c r="N503" s="264"/>
    </row>
    <row r="504" spans="1:14" s="52" customFormat="1" ht="12.2" customHeight="1" thickTop="1" x14ac:dyDescent="0.2">
      <c r="A504" s="139" t="s">
        <v>626</v>
      </c>
      <c r="B504" s="44">
        <v>20</v>
      </c>
      <c r="C504" s="194">
        <v>14</v>
      </c>
      <c r="D504" s="39" t="s">
        <v>432</v>
      </c>
      <c r="E504" s="194"/>
      <c r="F504" s="42">
        <f>SUM(F502:F503)</f>
        <v>164100</v>
      </c>
      <c r="G504" s="42">
        <f>SUM(G502:G503)</f>
        <v>703238.06</v>
      </c>
      <c r="H504" s="42">
        <f>SUM(H502:H503)</f>
        <v>733061.46</v>
      </c>
      <c r="I504" s="42">
        <f>SUM(I502:I503)</f>
        <v>0</v>
      </c>
      <c r="J504" s="42">
        <f>SUM(J502:J503)</f>
        <v>1043970</v>
      </c>
      <c r="K504" s="42">
        <f t="shared" si="35"/>
        <v>2644369.52</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6"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1057443.06</v>
      </c>
      <c r="G522" s="18">
        <v>406552.37000000005</v>
      </c>
      <c r="H522" s="18">
        <v>436401.85000000003</v>
      </c>
      <c r="I522" s="18">
        <v>5953.15</v>
      </c>
      <c r="J522" s="18">
        <v>1521.27</v>
      </c>
      <c r="K522" s="18">
        <v>4047.1</v>
      </c>
      <c r="L522" s="88">
        <f>SUM(F522:K522)</f>
        <v>1911918.8000000003</v>
      </c>
      <c r="N522" s="264"/>
    </row>
    <row r="523" spans="1:14" s="52" customFormat="1" ht="12.2" customHeight="1" x14ac:dyDescent="0.2">
      <c r="A523" s="22" t="s">
        <v>634</v>
      </c>
      <c r="B523" s="105">
        <v>21</v>
      </c>
      <c r="C523" s="115">
        <v>2</v>
      </c>
      <c r="D523" s="2" t="s">
        <v>432</v>
      </c>
      <c r="E523" s="115"/>
      <c r="F523" s="18">
        <v>1391034.06</v>
      </c>
      <c r="G523" s="18">
        <v>677169.63000000024</v>
      </c>
      <c r="H523" s="18">
        <v>362496.27</v>
      </c>
      <c r="I523" s="18">
        <v>9604.4000000000015</v>
      </c>
      <c r="J523" s="18">
        <v>1601.67</v>
      </c>
      <c r="K523" s="18">
        <v>3958.98</v>
      </c>
      <c r="L523" s="88">
        <f>SUM(F523:K523)</f>
        <v>2445865.0100000002</v>
      </c>
      <c r="N523" s="264"/>
    </row>
    <row r="524" spans="1:14" s="52" customFormat="1" ht="12.2" customHeight="1" thickBot="1" x14ac:dyDescent="0.25">
      <c r="A524" s="22" t="s">
        <v>635</v>
      </c>
      <c r="B524" s="105">
        <v>21</v>
      </c>
      <c r="C524" s="115">
        <v>3</v>
      </c>
      <c r="D524" s="2" t="s">
        <v>432</v>
      </c>
      <c r="E524" s="115"/>
      <c r="F524" s="18">
        <v>1305011.97</v>
      </c>
      <c r="G524" s="18">
        <v>637240.36000000022</v>
      </c>
      <c r="H524" s="18">
        <v>512070.47000000003</v>
      </c>
      <c r="I524" s="18">
        <v>9438.23</v>
      </c>
      <c r="J524" s="18">
        <v>1482.31</v>
      </c>
      <c r="K524" s="18">
        <v>5400.32</v>
      </c>
      <c r="L524" s="88">
        <f>SUM(F524:K524)</f>
        <v>2470643.66</v>
      </c>
      <c r="N524" s="264"/>
    </row>
    <row r="525" spans="1:14" s="52" customFormat="1" ht="12.2" customHeight="1" thickTop="1" x14ac:dyDescent="0.2">
      <c r="A525" s="139" t="s">
        <v>63</v>
      </c>
      <c r="B525" s="107">
        <v>21</v>
      </c>
      <c r="C525" s="194">
        <v>4</v>
      </c>
      <c r="D525" s="195" t="s">
        <v>432</v>
      </c>
      <c r="E525" s="194"/>
      <c r="F525" s="108">
        <f>SUM(F522:F524)</f>
        <v>3753489.09</v>
      </c>
      <c r="G525" s="108">
        <f t="shared" ref="G525:L525" si="36">SUM(G522:G524)</f>
        <v>1720962.3600000003</v>
      </c>
      <c r="H525" s="108">
        <f t="shared" si="36"/>
        <v>1310968.5900000001</v>
      </c>
      <c r="I525" s="108">
        <f t="shared" si="36"/>
        <v>24995.78</v>
      </c>
      <c r="J525" s="108">
        <f t="shared" si="36"/>
        <v>4605.25</v>
      </c>
      <c r="K525" s="108">
        <f t="shared" si="36"/>
        <v>13406.4</v>
      </c>
      <c r="L525" s="89">
        <f t="shared" si="36"/>
        <v>6828427.4700000007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471630.99</v>
      </c>
      <c r="G527" s="18">
        <v>240187.75</v>
      </c>
      <c r="H527" s="18">
        <v>233291.56</v>
      </c>
      <c r="I527" s="18">
        <v>4323.4399999999996</v>
      </c>
      <c r="J527" s="18">
        <v>3312.99</v>
      </c>
      <c r="K527" s="18">
        <v>0</v>
      </c>
      <c r="L527" s="88">
        <f>SUM(F527:K527)</f>
        <v>952746.73</v>
      </c>
      <c r="M527" s="8"/>
      <c r="N527" s="265"/>
    </row>
    <row r="528" spans="1:14" s="3" customFormat="1" ht="12.2" customHeight="1" x14ac:dyDescent="0.15">
      <c r="A528" s="22" t="s">
        <v>634</v>
      </c>
      <c r="B528" s="105">
        <v>21</v>
      </c>
      <c r="C528" s="115">
        <v>6</v>
      </c>
      <c r="D528" s="2" t="s">
        <v>432</v>
      </c>
      <c r="E528" s="115"/>
      <c r="F528" s="18">
        <v>229452.87</v>
      </c>
      <c r="G528" s="18">
        <v>136533.95000000001</v>
      </c>
      <c r="H528" s="18">
        <v>227646.86</v>
      </c>
      <c r="I528" s="18">
        <v>2978.7</v>
      </c>
      <c r="J528" s="18">
        <v>810</v>
      </c>
      <c r="K528" s="18">
        <v>0</v>
      </c>
      <c r="L528" s="88">
        <f>SUM(F528:K528)</f>
        <v>597422.37999999989</v>
      </c>
      <c r="M528" s="8"/>
      <c r="N528" s="265"/>
    </row>
    <row r="529" spans="1:14" s="3" customFormat="1" ht="12.2" customHeight="1" thickBot="1" x14ac:dyDescent="0.2">
      <c r="A529" s="22" t="s">
        <v>635</v>
      </c>
      <c r="B529" s="118">
        <v>21</v>
      </c>
      <c r="C529" s="118">
        <v>7</v>
      </c>
      <c r="D529" s="2" t="s">
        <v>432</v>
      </c>
      <c r="E529" s="118"/>
      <c r="F529" s="18">
        <v>282764.78000000003</v>
      </c>
      <c r="G529" s="18">
        <v>138893.82999999999</v>
      </c>
      <c r="H529" s="18">
        <v>313960.25</v>
      </c>
      <c r="I529" s="18">
        <v>2790.96</v>
      </c>
      <c r="J529" s="18">
        <v>823.71</v>
      </c>
      <c r="K529" s="18">
        <v>0</v>
      </c>
      <c r="L529" s="88">
        <f>SUM(F529:K529)</f>
        <v>739233.52999999991</v>
      </c>
      <c r="M529" s="8"/>
      <c r="N529" s="265"/>
    </row>
    <row r="530" spans="1:14" s="3" customFormat="1" ht="12.2" customHeight="1" thickTop="1" x14ac:dyDescent="0.15">
      <c r="A530" s="139" t="s">
        <v>65</v>
      </c>
      <c r="B530" s="107">
        <v>21</v>
      </c>
      <c r="C530" s="107">
        <v>8</v>
      </c>
      <c r="D530" s="158" t="s">
        <v>432</v>
      </c>
      <c r="E530" s="107"/>
      <c r="F530" s="89">
        <f>SUM(F527:F529)</f>
        <v>983848.64</v>
      </c>
      <c r="G530" s="89">
        <f t="shared" ref="G530:L530" si="37">SUM(G527:G529)</f>
        <v>515615.53</v>
      </c>
      <c r="H530" s="89">
        <f t="shared" si="37"/>
        <v>774898.66999999993</v>
      </c>
      <c r="I530" s="89">
        <f t="shared" si="37"/>
        <v>10093.099999999999</v>
      </c>
      <c r="J530" s="89">
        <f t="shared" si="37"/>
        <v>4946.7</v>
      </c>
      <c r="K530" s="89">
        <f t="shared" si="37"/>
        <v>0</v>
      </c>
      <c r="L530" s="89">
        <f t="shared" si="37"/>
        <v>2289402.6399999997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150159.04999999999</v>
      </c>
      <c r="G532" s="18">
        <v>85384.680000000008</v>
      </c>
      <c r="H532" s="18">
        <v>7689.94</v>
      </c>
      <c r="I532" s="18">
        <v>573.04999999999995</v>
      </c>
      <c r="J532" s="18">
        <v>0</v>
      </c>
      <c r="K532" s="18">
        <v>931.29</v>
      </c>
      <c r="L532" s="88">
        <f>SUM(F532:K532)</f>
        <v>244738.00999999998</v>
      </c>
      <c r="M532" s="8"/>
      <c r="N532" s="265"/>
    </row>
    <row r="533" spans="1:14" s="3" customFormat="1" ht="12.2" customHeight="1" x14ac:dyDescent="0.15">
      <c r="A533" s="22" t="s">
        <v>634</v>
      </c>
      <c r="B533" s="105">
        <v>21</v>
      </c>
      <c r="C533" s="105">
        <v>10</v>
      </c>
      <c r="D533" s="2" t="s">
        <v>432</v>
      </c>
      <c r="E533" s="105"/>
      <c r="F533" s="18">
        <v>150870.07</v>
      </c>
      <c r="G533" s="18">
        <v>85738.880000000005</v>
      </c>
      <c r="H533" s="18">
        <v>7522.51</v>
      </c>
      <c r="I533" s="18">
        <v>560.57000000000005</v>
      </c>
      <c r="J533" s="18">
        <v>0</v>
      </c>
      <c r="K533" s="18">
        <v>911.02</v>
      </c>
      <c r="L533" s="88">
        <f>SUM(F533:K533)</f>
        <v>245603.05000000002</v>
      </c>
      <c r="M533" s="8"/>
      <c r="N533" s="265"/>
    </row>
    <row r="534" spans="1:14" s="3" customFormat="1" ht="12.2" customHeight="1" thickBot="1" x14ac:dyDescent="0.2">
      <c r="A534" s="22" t="s">
        <v>635</v>
      </c>
      <c r="B534" s="105">
        <v>21</v>
      </c>
      <c r="C534" s="105">
        <v>11</v>
      </c>
      <c r="D534" s="2" t="s">
        <v>432</v>
      </c>
      <c r="E534" s="105"/>
      <c r="F534" s="18">
        <v>170056.59</v>
      </c>
      <c r="G534" s="18">
        <v>91862.239999999991</v>
      </c>
      <c r="H534" s="18">
        <v>10261.23</v>
      </c>
      <c r="I534" s="18">
        <v>764.66</v>
      </c>
      <c r="J534" s="18">
        <v>0</v>
      </c>
      <c r="K534" s="18">
        <v>1242.69</v>
      </c>
      <c r="L534" s="88">
        <f>SUM(F534:K534)</f>
        <v>274187.40999999997</v>
      </c>
      <c r="M534" s="8"/>
      <c r="N534" s="265"/>
    </row>
    <row r="535" spans="1:14" s="3" customFormat="1" ht="12.2" customHeight="1" thickTop="1" x14ac:dyDescent="0.15">
      <c r="A535" s="139" t="s">
        <v>67</v>
      </c>
      <c r="B535" s="107">
        <v>21</v>
      </c>
      <c r="C535" s="107">
        <v>12</v>
      </c>
      <c r="D535" s="158" t="s">
        <v>432</v>
      </c>
      <c r="E535" s="107"/>
      <c r="F535" s="89">
        <f>SUM(F532:F534)</f>
        <v>471085.70999999996</v>
      </c>
      <c r="G535" s="89">
        <f t="shared" ref="G535:L535" si="38">SUM(G532:G534)</f>
        <v>262985.8</v>
      </c>
      <c r="H535" s="89">
        <f t="shared" si="38"/>
        <v>25473.68</v>
      </c>
      <c r="I535" s="89">
        <f t="shared" si="38"/>
        <v>1898.2799999999997</v>
      </c>
      <c r="J535" s="89">
        <f t="shared" si="38"/>
        <v>0</v>
      </c>
      <c r="K535" s="89">
        <f t="shared" si="38"/>
        <v>3085</v>
      </c>
      <c r="L535" s="89">
        <f t="shared" si="38"/>
        <v>764528.47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850.14</v>
      </c>
      <c r="I537" s="18"/>
      <c r="J537" s="18"/>
      <c r="K537" s="18"/>
      <c r="L537" s="88">
        <f>SUM(F537:K537)</f>
        <v>850.14</v>
      </c>
      <c r="M537" s="8"/>
      <c r="N537" s="265"/>
    </row>
    <row r="538" spans="1:14" s="3" customFormat="1" ht="12.2" customHeight="1" x14ac:dyDescent="0.15">
      <c r="A538" s="22" t="s">
        <v>634</v>
      </c>
      <c r="B538" s="105">
        <v>21</v>
      </c>
      <c r="C538" s="105">
        <v>14</v>
      </c>
      <c r="D538" s="2" t="s">
        <v>432</v>
      </c>
      <c r="E538" s="105"/>
      <c r="F538" s="18"/>
      <c r="G538" s="18"/>
      <c r="H538" s="18">
        <v>831.63</v>
      </c>
      <c r="I538" s="18"/>
      <c r="J538" s="18"/>
      <c r="K538" s="18"/>
      <c r="L538" s="88">
        <f>SUM(F538:K538)</f>
        <v>831.63</v>
      </c>
      <c r="M538" s="8"/>
      <c r="N538" s="265"/>
    </row>
    <row r="539" spans="1:14" s="3" customFormat="1" ht="12.2" customHeight="1" thickBot="1" x14ac:dyDescent="0.2">
      <c r="A539" s="22" t="s">
        <v>635</v>
      </c>
      <c r="B539" s="105">
        <v>21</v>
      </c>
      <c r="C539" s="105">
        <v>15</v>
      </c>
      <c r="D539" s="2" t="s">
        <v>432</v>
      </c>
      <c r="E539" s="105"/>
      <c r="F539" s="18"/>
      <c r="G539" s="18"/>
      <c r="H539" s="18">
        <v>1134.4100000000001</v>
      </c>
      <c r="I539" s="18"/>
      <c r="J539" s="18"/>
      <c r="K539" s="18"/>
      <c r="L539" s="88">
        <f>SUM(F539:K539)</f>
        <v>1134.4100000000001</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2816.1800000000003</v>
      </c>
      <c r="I540" s="89">
        <f t="shared" si="39"/>
        <v>0</v>
      </c>
      <c r="J540" s="89">
        <f t="shared" si="39"/>
        <v>0</v>
      </c>
      <c r="K540" s="89">
        <f t="shared" si="39"/>
        <v>0</v>
      </c>
      <c r="L540" s="89">
        <f t="shared" si="39"/>
        <v>2816.1800000000003</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54630.29</v>
      </c>
      <c r="G542" s="18">
        <v>22750.949999999997</v>
      </c>
      <c r="H542" s="18">
        <v>5745.23</v>
      </c>
      <c r="I542" s="18">
        <v>7727.85</v>
      </c>
      <c r="J542" s="18">
        <v>60.34</v>
      </c>
      <c r="K542" s="18"/>
      <c r="L542" s="88">
        <f>SUM(F542:K542)</f>
        <v>90914.659999999989</v>
      </c>
      <c r="M542" s="8"/>
      <c r="N542" s="265"/>
    </row>
    <row r="543" spans="1:14" s="3" customFormat="1" ht="12.2" customHeight="1" x14ac:dyDescent="0.15">
      <c r="A543" s="22" t="s">
        <v>634</v>
      </c>
      <c r="B543" s="105">
        <v>21</v>
      </c>
      <c r="C543" s="105">
        <v>18</v>
      </c>
      <c r="D543" s="2" t="s">
        <v>432</v>
      </c>
      <c r="E543" s="105"/>
      <c r="F543" s="18">
        <v>40804.089999999997</v>
      </c>
      <c r="G543" s="18">
        <v>16527</v>
      </c>
      <c r="H543" s="18">
        <v>5620.14</v>
      </c>
      <c r="I543" s="18">
        <v>7559.59</v>
      </c>
      <c r="J543" s="18">
        <v>59.03</v>
      </c>
      <c r="K543" s="18"/>
      <c r="L543" s="88">
        <f>SUM(F543:K543)</f>
        <v>70569.849999999991</v>
      </c>
      <c r="M543" s="8"/>
      <c r="N543" s="265"/>
    </row>
    <row r="544" spans="1:14" s="3" customFormat="1" ht="12.2" customHeight="1" thickBot="1" x14ac:dyDescent="0.2">
      <c r="A544" s="22" t="s">
        <v>635</v>
      </c>
      <c r="B544" s="105">
        <v>21</v>
      </c>
      <c r="C544" s="105">
        <v>19</v>
      </c>
      <c r="D544" s="2" t="s">
        <v>432</v>
      </c>
      <c r="E544" s="105"/>
      <c r="F544" s="18">
        <v>55659.63</v>
      </c>
      <c r="G544" s="18">
        <v>22543.98</v>
      </c>
      <c r="H544" s="18">
        <v>7666.26</v>
      </c>
      <c r="I544" s="18">
        <v>10311.799999999999</v>
      </c>
      <c r="J544" s="18">
        <v>80.509999999999991</v>
      </c>
      <c r="K544" s="18"/>
      <c r="L544" s="88">
        <f>SUM(F544:K544)</f>
        <v>96262.18</v>
      </c>
      <c r="M544" s="8"/>
      <c r="N544" s="265"/>
    </row>
    <row r="545" spans="1:14" s="3" customFormat="1" ht="12.2" customHeight="1" thickTop="1" thickBot="1" x14ac:dyDescent="0.2">
      <c r="A545" s="130" t="s">
        <v>71</v>
      </c>
      <c r="B545" s="190">
        <v>21</v>
      </c>
      <c r="C545" s="190">
        <v>20</v>
      </c>
      <c r="D545" s="191" t="s">
        <v>432</v>
      </c>
      <c r="E545" s="190"/>
      <c r="F545" s="192">
        <f>SUM(F542:F544)</f>
        <v>151094.01</v>
      </c>
      <c r="G545" s="192">
        <f t="shared" ref="G545:L545" si="40">SUM(G542:G544)</f>
        <v>61821.929999999993</v>
      </c>
      <c r="H545" s="192">
        <f t="shared" si="40"/>
        <v>19031.629999999997</v>
      </c>
      <c r="I545" s="192">
        <f t="shared" si="40"/>
        <v>25599.239999999998</v>
      </c>
      <c r="J545" s="192">
        <f t="shared" si="40"/>
        <v>199.88</v>
      </c>
      <c r="K545" s="192">
        <f t="shared" si="40"/>
        <v>0</v>
      </c>
      <c r="L545" s="192">
        <f t="shared" si="40"/>
        <v>257746.68999999997</v>
      </c>
      <c r="M545" s="8"/>
      <c r="N545" s="265"/>
    </row>
    <row r="546" spans="1:14" s="3" customFormat="1" ht="12.2" customHeight="1" thickTop="1" x14ac:dyDescent="0.15">
      <c r="A546" s="98" t="s">
        <v>72</v>
      </c>
      <c r="B546" s="107">
        <v>21</v>
      </c>
      <c r="C546" s="107">
        <v>21</v>
      </c>
      <c r="D546" s="158" t="s">
        <v>432</v>
      </c>
      <c r="E546" s="107"/>
      <c r="F546" s="89">
        <f>F525+F530+F535+F540+F545</f>
        <v>5359517.4499999993</v>
      </c>
      <c r="G546" s="89">
        <f t="shared" ref="G546:L546" si="41">G525+G530+G535+G540+G545</f>
        <v>2561385.6200000006</v>
      </c>
      <c r="H546" s="89">
        <f t="shared" si="41"/>
        <v>2133188.75</v>
      </c>
      <c r="I546" s="89">
        <f t="shared" si="41"/>
        <v>62586.399999999994</v>
      </c>
      <c r="J546" s="89">
        <f t="shared" si="41"/>
        <v>9751.83</v>
      </c>
      <c r="K546" s="89">
        <f t="shared" si="41"/>
        <v>16491.400000000001</v>
      </c>
      <c r="L546" s="89">
        <f t="shared" si="41"/>
        <v>10142921.449999999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1911918.8000000003</v>
      </c>
      <c r="G550" s="87">
        <f>L527</f>
        <v>952746.73</v>
      </c>
      <c r="H550" s="87">
        <f>L532</f>
        <v>244738.00999999998</v>
      </c>
      <c r="I550" s="87">
        <f>L537</f>
        <v>850.14</v>
      </c>
      <c r="J550" s="87">
        <f>L542</f>
        <v>90914.659999999989</v>
      </c>
      <c r="K550" s="87">
        <f>SUM(F550:J550)</f>
        <v>3201168.3400000003</v>
      </c>
      <c r="L550" s="24" t="s">
        <v>288</v>
      </c>
      <c r="M550" s="8"/>
      <c r="N550" s="265"/>
    </row>
    <row r="551" spans="1:14" s="3" customFormat="1" ht="12.2" customHeight="1" x14ac:dyDescent="0.15">
      <c r="A551" s="22" t="s">
        <v>634</v>
      </c>
      <c r="B551" s="75">
        <v>21</v>
      </c>
      <c r="C551" s="75">
        <v>23</v>
      </c>
      <c r="D551" s="2" t="s">
        <v>432</v>
      </c>
      <c r="E551" s="75"/>
      <c r="F551" s="87">
        <f>L523</f>
        <v>2445865.0100000002</v>
      </c>
      <c r="G551" s="87">
        <f>L528</f>
        <v>597422.37999999989</v>
      </c>
      <c r="H551" s="87">
        <f>L533</f>
        <v>245603.05000000002</v>
      </c>
      <c r="I551" s="87">
        <f>L538</f>
        <v>831.63</v>
      </c>
      <c r="J551" s="87">
        <f>L543</f>
        <v>70569.849999999991</v>
      </c>
      <c r="K551" s="87">
        <f>SUM(F551:J551)</f>
        <v>3360291.92</v>
      </c>
      <c r="L551" s="24" t="s">
        <v>288</v>
      </c>
      <c r="M551" s="8"/>
      <c r="N551" s="265"/>
    </row>
    <row r="552" spans="1:14" s="3" customFormat="1" ht="12.2" customHeight="1" thickBot="1" x14ac:dyDescent="0.2">
      <c r="A552" s="22" t="s">
        <v>635</v>
      </c>
      <c r="B552" s="75">
        <v>21</v>
      </c>
      <c r="C552" s="75">
        <v>24</v>
      </c>
      <c r="D552" s="2" t="s">
        <v>432</v>
      </c>
      <c r="E552" s="75"/>
      <c r="F552" s="87">
        <f>L524</f>
        <v>2470643.66</v>
      </c>
      <c r="G552" s="87">
        <f>L529</f>
        <v>739233.52999999991</v>
      </c>
      <c r="H552" s="87">
        <f>L534</f>
        <v>274187.40999999997</v>
      </c>
      <c r="I552" s="87">
        <f>L539</f>
        <v>1134.4100000000001</v>
      </c>
      <c r="J552" s="87">
        <f>L544</f>
        <v>96262.18</v>
      </c>
      <c r="K552" s="87">
        <f>SUM(F552:J552)</f>
        <v>3581461.1900000004</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6828427.4700000007</v>
      </c>
      <c r="G553" s="89">
        <f t="shared" si="42"/>
        <v>2289402.6399999997</v>
      </c>
      <c r="H553" s="89">
        <f t="shared" si="42"/>
        <v>764528.47</v>
      </c>
      <c r="I553" s="89">
        <f t="shared" si="42"/>
        <v>2816.1800000000003</v>
      </c>
      <c r="J553" s="89">
        <f t="shared" si="42"/>
        <v>257746.68999999997</v>
      </c>
      <c r="K553" s="89">
        <f t="shared" si="42"/>
        <v>10142921.449999999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85548</v>
      </c>
      <c r="G563" s="18">
        <v>44344.31</v>
      </c>
      <c r="H563" s="18">
        <v>73588.98</v>
      </c>
      <c r="I563" s="18">
        <v>346.65</v>
      </c>
      <c r="J563" s="18"/>
      <c r="K563" s="18"/>
      <c r="L563" s="88">
        <f>SUM(F563:K563)</f>
        <v>203827.93999999997</v>
      </c>
      <c r="M563" s="8"/>
      <c r="N563" s="265"/>
    </row>
    <row r="564" spans="1:14" s="3" customFormat="1" ht="12.2" customHeight="1" x14ac:dyDescent="0.15">
      <c r="A564" s="22" t="s">
        <v>634</v>
      </c>
      <c r="B564" s="105">
        <v>22</v>
      </c>
      <c r="C564" s="115">
        <v>6</v>
      </c>
      <c r="D564" s="2" t="s">
        <v>432</v>
      </c>
      <c r="E564" s="115"/>
      <c r="F564" s="18"/>
      <c r="G564" s="18"/>
      <c r="H564" s="18">
        <v>24618.959999999999</v>
      </c>
      <c r="I564" s="18"/>
      <c r="J564" s="18"/>
      <c r="K564" s="18"/>
      <c r="L564" s="88">
        <f>SUM(F564:K564)</f>
        <v>24618.959999999999</v>
      </c>
      <c r="M564" s="8"/>
      <c r="N564" s="265"/>
    </row>
    <row r="565" spans="1:14" s="3" customFormat="1" ht="12.2" customHeight="1" thickBot="1" x14ac:dyDescent="0.2">
      <c r="A565" s="22" t="s">
        <v>635</v>
      </c>
      <c r="B565" s="105">
        <v>22</v>
      </c>
      <c r="C565" s="118">
        <v>7</v>
      </c>
      <c r="D565" s="2" t="s">
        <v>432</v>
      </c>
      <c r="E565" s="118"/>
      <c r="F565" s="18"/>
      <c r="G565" s="18"/>
      <c r="H565" s="18">
        <v>24618.959999999999</v>
      </c>
      <c r="I565" s="18"/>
      <c r="J565" s="18"/>
      <c r="K565" s="18"/>
      <c r="L565" s="88">
        <f>SUM(F565:K565)</f>
        <v>24618.959999999999</v>
      </c>
      <c r="M565" s="8"/>
      <c r="N565" s="265"/>
    </row>
    <row r="566" spans="1:14" s="3" customFormat="1" ht="12.2" customHeight="1" thickTop="1" x14ac:dyDescent="0.15">
      <c r="A566" s="139" t="s">
        <v>65</v>
      </c>
      <c r="B566" s="107">
        <v>22</v>
      </c>
      <c r="C566" s="107">
        <v>8</v>
      </c>
      <c r="D566" s="195" t="s">
        <v>432</v>
      </c>
      <c r="E566" s="107"/>
      <c r="F566" s="89">
        <f t="shared" ref="F566:L566" si="44">SUM(F563:F565)</f>
        <v>85548</v>
      </c>
      <c r="G566" s="89">
        <f t="shared" si="44"/>
        <v>44344.31</v>
      </c>
      <c r="H566" s="89">
        <f t="shared" si="44"/>
        <v>122826.9</v>
      </c>
      <c r="I566" s="89">
        <f t="shared" si="44"/>
        <v>346.65</v>
      </c>
      <c r="J566" s="89">
        <f t="shared" si="44"/>
        <v>0</v>
      </c>
      <c r="K566" s="89">
        <f t="shared" si="44"/>
        <v>0</v>
      </c>
      <c r="L566" s="89">
        <f t="shared" si="44"/>
        <v>253065.85999999996</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85548</v>
      </c>
      <c r="G572" s="89">
        <f t="shared" ref="G572:L572" si="46">G561+G566+G571</f>
        <v>44344.31</v>
      </c>
      <c r="H572" s="89">
        <f t="shared" si="46"/>
        <v>122826.9</v>
      </c>
      <c r="I572" s="89">
        <f t="shared" si="46"/>
        <v>346.65</v>
      </c>
      <c r="J572" s="89">
        <f t="shared" si="46"/>
        <v>0</v>
      </c>
      <c r="K572" s="89">
        <f t="shared" si="46"/>
        <v>0</v>
      </c>
      <c r="L572" s="89">
        <f t="shared" si="46"/>
        <v>253065.85999999996</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447309.06</v>
      </c>
      <c r="G583" s="18">
        <v>302447.18</v>
      </c>
      <c r="H583" s="18">
        <v>413639.49</v>
      </c>
      <c r="I583" s="87">
        <f t="shared" si="47"/>
        <v>1163395.73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75786.63</v>
      </c>
      <c r="I585" s="87">
        <f t="shared" si="47"/>
        <v>75786.63</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517470.75</v>
      </c>
      <c r="I592" s="18">
        <v>506652.08</v>
      </c>
      <c r="J592" s="18">
        <v>704480.36</v>
      </c>
      <c r="K592" s="104">
        <f t="shared" ref="K592:K598" si="48">SUM(H592:J592)</f>
        <v>1728603.19</v>
      </c>
      <c r="L592" s="24" t="s">
        <v>288</v>
      </c>
      <c r="M592" s="8"/>
      <c r="N592" s="265"/>
    </row>
    <row r="593" spans="1:14" s="3" customFormat="1" ht="12.2" customHeight="1" x14ac:dyDescent="0.15">
      <c r="A593" s="3" t="s">
        <v>638</v>
      </c>
      <c r="B593" s="75">
        <v>23</v>
      </c>
      <c r="C593" s="75">
        <v>2</v>
      </c>
      <c r="D593" s="2" t="s">
        <v>432</v>
      </c>
      <c r="E593" s="75"/>
      <c r="F593" s="102">
        <v>2722</v>
      </c>
      <c r="G593" s="103" t="s">
        <v>97</v>
      </c>
      <c r="H593" s="18">
        <v>90914.650000000009</v>
      </c>
      <c r="I593" s="18">
        <v>70569.84</v>
      </c>
      <c r="J593" s="18">
        <v>96262.2</v>
      </c>
      <c r="K593" s="104">
        <f t="shared" si="48"/>
        <v>257746.69</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65036.78</v>
      </c>
      <c r="K594" s="104">
        <f t="shared" si="48"/>
        <v>65036.78</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10998.76</v>
      </c>
      <c r="I595" s="18">
        <v>10759.28</v>
      </c>
      <c r="J595" s="18">
        <v>14676.42</v>
      </c>
      <c r="K595" s="104">
        <f t="shared" si="48"/>
        <v>36434.46</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5078.47</v>
      </c>
      <c r="I596" s="18">
        <v>4709.7</v>
      </c>
      <c r="J596" s="18">
        <v>4747.29</v>
      </c>
      <c r="K596" s="104">
        <f t="shared" si="48"/>
        <v>14535.46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18170.55</v>
      </c>
      <c r="I598" s="18">
        <v>17774.93</v>
      </c>
      <c r="J598" s="18">
        <v>24246.25</v>
      </c>
      <c r="K598" s="104">
        <f t="shared" si="48"/>
        <v>60191.729999999996</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642633.18000000005</v>
      </c>
      <c r="I599" s="108">
        <f>SUM(I592:I598)</f>
        <v>610465.83000000007</v>
      </c>
      <c r="J599" s="108">
        <f>SUM(J592:J598)</f>
        <v>909449.3</v>
      </c>
      <c r="K599" s="108">
        <f>SUM(K592:K598)</f>
        <v>2162548.31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107509.18</v>
      </c>
      <c r="I605" s="18">
        <v>101349.24</v>
      </c>
      <c r="J605" s="18">
        <v>200406.42000000004</v>
      </c>
      <c r="K605" s="104">
        <f>SUM(H605:J605)</f>
        <v>409264.84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107509.18</v>
      </c>
      <c r="I606" s="108">
        <f>SUM(I603:I605)</f>
        <v>101349.24</v>
      </c>
      <c r="J606" s="108">
        <f>SUM(J603:J605)</f>
        <v>200406.42000000004</v>
      </c>
      <c r="K606" s="108">
        <f>SUM(K603:K605)</f>
        <v>409264.84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300</v>
      </c>
      <c r="G612" s="18">
        <v>22.97</v>
      </c>
      <c r="H612" s="18"/>
      <c r="I612" s="18"/>
      <c r="J612" s="18"/>
      <c r="K612" s="18"/>
      <c r="L612" s="88">
        <f>SUM(F612:K612)</f>
        <v>322.97000000000003</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v>8087.65</v>
      </c>
      <c r="G614" s="18">
        <v>1990.07</v>
      </c>
      <c r="H614" s="18"/>
      <c r="I614" s="18"/>
      <c r="J614" s="18"/>
      <c r="K614" s="18"/>
      <c r="L614" s="88">
        <f>SUM(F614:K614)</f>
        <v>10077.719999999999</v>
      </c>
      <c r="M614" s="8"/>
      <c r="N614" s="265"/>
    </row>
    <row r="615" spans="1:14" s="3" customFormat="1" ht="12.2" customHeight="1" thickTop="1" x14ac:dyDescent="0.15">
      <c r="A615" s="98" t="s">
        <v>340</v>
      </c>
      <c r="B615" s="107">
        <v>23</v>
      </c>
      <c r="C615" s="107">
        <v>16</v>
      </c>
      <c r="D615" s="39" t="s">
        <v>432</v>
      </c>
      <c r="E615" s="107"/>
      <c r="F615" s="108">
        <f t="shared" ref="F615:L615" si="49">SUM(F612:F614)</f>
        <v>8387.65</v>
      </c>
      <c r="G615" s="108">
        <f t="shared" si="49"/>
        <v>2013.04</v>
      </c>
      <c r="H615" s="108">
        <f t="shared" si="49"/>
        <v>0</v>
      </c>
      <c r="I615" s="108">
        <f t="shared" si="49"/>
        <v>0</v>
      </c>
      <c r="J615" s="108">
        <f t="shared" si="49"/>
        <v>0</v>
      </c>
      <c r="K615" s="108">
        <f t="shared" si="49"/>
        <v>0</v>
      </c>
      <c r="L615" s="89">
        <f t="shared" si="49"/>
        <v>10400.689999999999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3761634.5789999999</v>
      </c>
      <c r="H618" s="109">
        <f>SUM(F52)</f>
        <v>3761634.58</v>
      </c>
      <c r="I618" s="121" t="s">
        <v>875</v>
      </c>
      <c r="J618" s="109">
        <f>G618-H618</f>
        <v>-1.0000001639127731E-3</v>
      </c>
      <c r="K618" s="109"/>
      <c r="L618" s="109"/>
      <c r="M618" s="8"/>
    </row>
    <row r="619" spans="1:14" s="3" customFormat="1" ht="12.2" customHeight="1" x14ac:dyDescent="0.15">
      <c r="A619" s="97" t="s">
        <v>100</v>
      </c>
      <c r="B619" s="105"/>
      <c r="C619" s="105"/>
      <c r="D619" s="105"/>
      <c r="E619" s="105"/>
      <c r="F619" s="121" t="s">
        <v>684</v>
      </c>
      <c r="G619" s="109">
        <f>SUM(G19)</f>
        <v>406509.32</v>
      </c>
      <c r="H619" s="109">
        <f>SUM(G52)</f>
        <v>406509.32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359118.09</v>
      </c>
      <c r="H620" s="109">
        <f>SUM(H52)</f>
        <v>359118.08999999997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5116930.45</v>
      </c>
      <c r="H621" s="109">
        <f>SUM(I52)</f>
        <v>5116930.45</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1458248.5599999998</v>
      </c>
      <c r="H622" s="109">
        <f>SUM(J52)</f>
        <v>1458248.5599999998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2486119.66</v>
      </c>
      <c r="H623" s="109">
        <f>F477</f>
        <v>2486119.6600000039</v>
      </c>
      <c r="I623" s="121" t="s">
        <v>101</v>
      </c>
      <c r="J623" s="109">
        <f t="shared" ref="J623:J656" si="50">G623-H623</f>
        <v>-3.7252902984619141E-9</v>
      </c>
      <c r="K623" s="109"/>
      <c r="L623" s="109"/>
      <c r="M623" s="8"/>
    </row>
    <row r="624" spans="1:14" s="3" customFormat="1" ht="12.2" customHeight="1" x14ac:dyDescent="0.15">
      <c r="A624" s="97"/>
      <c r="B624" s="105"/>
      <c r="C624" s="119"/>
      <c r="D624" s="119"/>
      <c r="E624" s="119"/>
      <c r="F624" s="119" t="s">
        <v>866</v>
      </c>
      <c r="G624" s="109">
        <f>G51</f>
        <v>360233.64</v>
      </c>
      <c r="H624" s="109">
        <f>G477</f>
        <v>360233.64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86405.93</v>
      </c>
      <c r="H625" s="109">
        <f>H477</f>
        <v>86405.929999999935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3994727.48</v>
      </c>
      <c r="H626" s="109">
        <f>I477</f>
        <v>3994727.4800000042</v>
      </c>
      <c r="I626" s="121" t="s">
        <v>104</v>
      </c>
      <c r="J626" s="109">
        <f t="shared" si="50"/>
        <v>-4.1909515857696533E-9</v>
      </c>
      <c r="K626" s="109"/>
      <c r="L626" s="109"/>
      <c r="M626" s="8"/>
    </row>
    <row r="627" spans="1:13" s="3" customFormat="1" ht="12.2" customHeight="1" x14ac:dyDescent="0.15">
      <c r="A627" s="22"/>
      <c r="B627" s="105"/>
      <c r="C627" s="105"/>
      <c r="D627" s="105"/>
      <c r="E627" s="105"/>
      <c r="F627" s="120" t="s">
        <v>869</v>
      </c>
      <c r="G627" s="109">
        <f>J51</f>
        <v>1442922.5599999998</v>
      </c>
      <c r="H627" s="109">
        <f>J477</f>
        <v>1442922.5599999998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48146348.090000004</v>
      </c>
      <c r="H628" s="104">
        <f>SUM(F469)</f>
        <v>48146348.090000004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1314437.53</v>
      </c>
      <c r="H629" s="104">
        <f>SUM(G469)</f>
        <v>1314437.53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1069042.46</v>
      </c>
      <c r="H630" s="104">
        <f>SUM(H469)</f>
        <v>1069042.46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24859508.109999999</v>
      </c>
      <c r="H631" s="104">
        <f>SUM(I469)</f>
        <v>24859508.109999999</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-28235.089999999997</v>
      </c>
      <c r="H632" s="104">
        <f>SUM(J469)</f>
        <v>-28235.09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47988262.390000001</v>
      </c>
      <c r="H633" s="104">
        <f>SUM(F473)</f>
        <v>47988262.390000001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1030273.05</v>
      </c>
      <c r="H634" s="104">
        <f>SUM(H473)</f>
        <v>1030273.05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432412.19</v>
      </c>
      <c r="H635" s="104">
        <f>I370</f>
        <v>432412.19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954203.83100000001</v>
      </c>
      <c r="H636" s="104">
        <f>SUM(G473)</f>
        <v>954203.83</v>
      </c>
      <c r="I636" s="140" t="s">
        <v>114</v>
      </c>
      <c r="J636" s="109">
        <f t="shared" si="50"/>
        <v>1.0000000474974513E-3</v>
      </c>
      <c r="K636" s="85"/>
      <c r="L636" s="88"/>
      <c r="M636" s="168"/>
    </row>
    <row r="637" spans="1:13" s="3" customFormat="1" ht="12.2" customHeight="1" x14ac:dyDescent="0.15">
      <c r="A637" s="22"/>
      <c r="B637" s="105"/>
      <c r="C637" s="105"/>
      <c r="D637" s="105"/>
      <c r="E637" s="105"/>
      <c r="F637" s="120" t="s">
        <v>115</v>
      </c>
      <c r="G637" s="109">
        <f>SUM(L383)</f>
        <v>19221171.050000001</v>
      </c>
      <c r="H637" s="104">
        <f>SUM(I473)</f>
        <v>19221171.049999997</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-28235.089999999993</v>
      </c>
      <c r="H638" s="164">
        <f>SUM(J469)</f>
        <v>-28235.09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214750</v>
      </c>
      <c r="H639" s="164">
        <f>SUM(J473)</f>
        <v>214750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233293.9</v>
      </c>
      <c r="H640" s="104">
        <f>SUM(F462)</f>
        <v>233293.9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1224954.6599999999</v>
      </c>
      <c r="H641" s="104">
        <f>SUM(G462)</f>
        <v>1224954.6599999999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1458248.5599999998</v>
      </c>
      <c r="H643" s="104">
        <f>SUM(I462)</f>
        <v>1458248.5599999998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-162209.09</v>
      </c>
      <c r="H645" s="104">
        <f>H409</f>
        <v>-162209.09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125000</v>
      </c>
      <c r="H646" s="104">
        <f>G409</f>
        <v>125000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-28235.089999999997</v>
      </c>
      <c r="H647" s="104">
        <f>L409</f>
        <v>-28235.089999999993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2162548.31</v>
      </c>
      <c r="H648" s="104">
        <f>L209+L227+L245</f>
        <v>2162548.31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409264.84</v>
      </c>
      <c r="H649" s="104">
        <f>(J258+J339)-(J256+J337)</f>
        <v>409264.84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642633.18000000005</v>
      </c>
      <c r="H650" s="104">
        <f>H599</f>
        <v>642633.18000000005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610465.82999999996</v>
      </c>
      <c r="H651" s="104">
        <f>I599</f>
        <v>610465.83000000007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909449.29999999993</v>
      </c>
      <c r="H652" s="104">
        <f>J599</f>
        <v>909449.3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125000</v>
      </c>
      <c r="H656" s="104">
        <f>K267+K348</f>
        <v>125000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6" t="s">
        <v>1633</v>
      </c>
      <c r="F660" s="14" t="s">
        <v>286</v>
      </c>
      <c r="G660" s="13"/>
      <c r="H660" s="13"/>
      <c r="I660" s="13"/>
      <c r="J660" s="13"/>
      <c r="K660" s="13"/>
      <c r="L660" s="13"/>
      <c r="M660" s="9"/>
    </row>
    <row r="661" spans="1:13" s="3" customFormat="1" ht="12.2" customHeight="1" x14ac:dyDescent="0.15">
      <c r="A661" s="1" t="s">
        <v>126</v>
      </c>
      <c r="F661" s="19">
        <f>(L212+L291+L359)</f>
        <v>14455875.539999997</v>
      </c>
      <c r="G661" s="19">
        <f>(L230+L310+L360)</f>
        <v>14052218.57</v>
      </c>
      <c r="H661" s="19">
        <f>(L248+L329+L361)</f>
        <v>18366112.191</v>
      </c>
      <c r="I661" s="19">
        <f>SUM(F661:H661)</f>
        <v>46874206.300999999</v>
      </c>
      <c r="J661" s="13"/>
      <c r="K661" s="13"/>
      <c r="L661" s="13"/>
      <c r="M661" s="9"/>
    </row>
    <row r="662" spans="1:13" s="3" customFormat="1" ht="12.2" customHeight="1" x14ac:dyDescent="0.2">
      <c r="A662" s="1" t="s">
        <v>127</v>
      </c>
      <c r="F662" s="19">
        <f>(L359/IF(SUM(L359:L361)=0,1,SUM(L359:L361))*(SUM(G97:G110)))</f>
        <v>54411.120588487232</v>
      </c>
      <c r="G662" s="19">
        <f>(L360/IF(SUM(L359:L361)=0,1,SUM(L359:L361))*(SUM(G97:G110)))</f>
        <v>56718.289138240747</v>
      </c>
      <c r="H662" s="19">
        <f>(L361/IF(SUM(L359:L361)=0,1,SUM(L359:L361))*(SUM(G97:G110)))</f>
        <v>68849.340273272028</v>
      </c>
      <c r="I662" s="19">
        <f>SUM(F662:H662)</f>
        <v>179978.75</v>
      </c>
      <c r="J662"/>
      <c r="K662" s="13"/>
      <c r="L662" s="13"/>
      <c r="M662" s="8"/>
    </row>
    <row r="663" spans="1:13" s="3" customFormat="1" ht="12.2" customHeight="1" x14ac:dyDescent="0.2">
      <c r="A663" s="1" t="s">
        <v>128</v>
      </c>
      <c r="F663" s="19">
        <f>(L209+L288)-(J209+J288)</f>
        <v>633086.05000000005</v>
      </c>
      <c r="G663" s="19">
        <f>(L227+L307)-(J227+J307)</f>
        <v>601126.56999999995</v>
      </c>
      <c r="H663" s="19">
        <f>(L245+L326)-(J245+J326)</f>
        <v>896709.8899999999</v>
      </c>
      <c r="I663" s="19">
        <f>SUM(F663:H663)</f>
        <v>2130922.5099999998</v>
      </c>
      <c r="J663"/>
      <c r="K663" s="13"/>
      <c r="L663" s="13"/>
      <c r="M663" s="9"/>
    </row>
    <row r="664" spans="1:13" s="3" customFormat="1" ht="12.2" customHeight="1" x14ac:dyDescent="0.15">
      <c r="A664" s="197" t="s">
        <v>129</v>
      </c>
      <c r="B664" s="169"/>
      <c r="C664" s="169"/>
      <c r="D664" s="169"/>
      <c r="E664" s="169"/>
      <c r="F664" s="198">
        <f>SUM(F576:F588)+SUM(H603:H605)+SUM(L612)</f>
        <v>555141.21</v>
      </c>
      <c r="G664" s="198">
        <f>SUM(G576:G588)+SUM(I603:I605)+L613</f>
        <v>403796.42</v>
      </c>
      <c r="H664" s="198">
        <f>SUM(H576:H588)+SUM(J603:J605)+L614</f>
        <v>699910.26</v>
      </c>
      <c r="I664" s="19">
        <f>SUM(F664:H664)</f>
        <v>1658847.89</v>
      </c>
      <c r="J664" s="13"/>
      <c r="K664" s="13"/>
      <c r="L664" s="13"/>
      <c r="M664" s="9"/>
    </row>
    <row r="665" spans="1:13" s="3" customFormat="1" ht="12.2" customHeight="1" x14ac:dyDescent="0.15">
      <c r="A665" s="1" t="s">
        <v>130</v>
      </c>
      <c r="F665" s="19">
        <f>F661-SUM(F662:F664)</f>
        <v>13213237.15941151</v>
      </c>
      <c r="G665" s="19">
        <f>G661-SUM(G662:G664)</f>
        <v>12990577.290861759</v>
      </c>
      <c r="H665" s="19">
        <f>H661-SUM(H662:H664)</f>
        <v>16700642.700726727</v>
      </c>
      <c r="I665" s="19">
        <f>I661-SUM(I662:I664)</f>
        <v>42904457.151000001</v>
      </c>
      <c r="J665" s="13"/>
      <c r="K665" s="13"/>
      <c r="L665" s="13"/>
      <c r="M665" s="8"/>
    </row>
    <row r="666" spans="1:13" s="3" customFormat="1" ht="12.2" customHeight="1" x14ac:dyDescent="0.2">
      <c r="A666" s="1" t="s">
        <v>131</v>
      </c>
      <c r="F666" s="245">
        <v>634.32000000000005</v>
      </c>
      <c r="G666" s="246">
        <v>630.20000000000005</v>
      </c>
      <c r="H666" s="246">
        <v>845.74</v>
      </c>
      <c r="I666" s="19">
        <f>SUM(F666:H666)</f>
        <v>2110.2600000000002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20830.55</v>
      </c>
      <c r="G668" s="19">
        <f>ROUND(G665/G666,2)</f>
        <v>20613.419999999998</v>
      </c>
      <c r="H668" s="19">
        <f>ROUND(H665/H666,2)</f>
        <v>19746.78</v>
      </c>
      <c r="I668" s="19">
        <f>ROUND(I665/I666,2)</f>
        <v>20331.36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-20.39</v>
      </c>
      <c r="I671" s="19">
        <f>SUM(F671:H671)</f>
        <v>-20.39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20830.55</v>
      </c>
      <c r="G673" s="19">
        <f>ROUND((G665+G670)/(G666+G671),2)</f>
        <v>20613.419999999998</v>
      </c>
      <c r="H673" s="19">
        <f>ROUND((H665+H670)/(H666+H671),2)</f>
        <v>20234.62</v>
      </c>
      <c r="I673" s="19">
        <f>ROUND((I665+I670)/(I666+I671),2)</f>
        <v>20529.73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E10" sqref="E10"/>
    </sheetView>
  </sheetViews>
  <sheetFormatPr defaultColWidth="9.33203125" defaultRowHeight="15" x14ac:dyDescent="0.25"/>
  <cols>
    <col min="1" max="2" width="9.33203125" style="334"/>
    <col min="3" max="3" width="154.5" style="334" customWidth="1"/>
    <col min="4" max="4" width="9.33203125" style="334"/>
    <col min="5" max="5" width="14.1640625" style="334" customWidth="1"/>
    <col min="6" max="6" width="13.1640625" style="334" customWidth="1"/>
    <col min="7" max="7" width="9.33203125" style="334"/>
    <col min="8" max="8" width="23.33203125" style="334" customWidth="1"/>
    <col min="9" max="9" width="14.33203125" style="334" customWidth="1"/>
    <col min="10" max="16384" width="9.33203125" style="334"/>
  </cols>
  <sheetData>
    <row r="2" spans="2:8" x14ac:dyDescent="0.25">
      <c r="C2" s="374" t="s">
        <v>1643</v>
      </c>
      <c r="D2" s="374"/>
      <c r="E2" s="374"/>
    </row>
    <row r="3" spans="2:8" x14ac:dyDescent="0.25">
      <c r="C3" s="342"/>
    </row>
    <row r="5" spans="2:8" x14ac:dyDescent="0.25">
      <c r="B5" s="345" t="s">
        <v>647</v>
      </c>
      <c r="C5" s="345"/>
      <c r="D5" s="345" t="s">
        <v>1626</v>
      </c>
      <c r="E5" s="346" t="s">
        <v>1627</v>
      </c>
      <c r="F5" s="347"/>
    </row>
    <row r="6" spans="2:8" x14ac:dyDescent="0.25">
      <c r="B6" s="347"/>
      <c r="C6" s="347"/>
      <c r="D6" s="347"/>
      <c r="E6" s="347"/>
      <c r="F6" s="347"/>
    </row>
    <row r="7" spans="2:8" x14ac:dyDescent="0.25">
      <c r="B7" s="347"/>
      <c r="C7" s="345" t="s">
        <v>1636</v>
      </c>
      <c r="D7" s="347"/>
      <c r="E7" s="350">
        <f>'DOE25'!H155</f>
        <v>90159.25</v>
      </c>
      <c r="F7" s="345" t="s">
        <v>5</v>
      </c>
      <c r="H7" s="344" t="str">
        <f>IF(SUM(E9:E17)=E7,"","ERROR: Sum of the 5 sub-totals do not equal total reported to the left!")</f>
        <v/>
      </c>
    </row>
    <row r="8" spans="2:8" x14ac:dyDescent="0.25">
      <c r="B8" s="347"/>
      <c r="C8" s="347"/>
      <c r="D8" s="347"/>
      <c r="E8" s="347"/>
      <c r="F8" s="347"/>
    </row>
    <row r="9" spans="2:8" x14ac:dyDescent="0.25">
      <c r="B9" s="347"/>
      <c r="C9" s="348" t="s">
        <v>1637</v>
      </c>
      <c r="D9" s="348" t="s">
        <v>1650</v>
      </c>
      <c r="E9" s="335">
        <v>82677.13</v>
      </c>
      <c r="F9" s="348" t="s">
        <v>1644</v>
      </c>
    </row>
    <row r="10" spans="2:8" x14ac:dyDescent="0.25">
      <c r="B10" s="347"/>
      <c r="C10" s="347"/>
      <c r="D10" s="347"/>
      <c r="E10" s="347"/>
      <c r="F10" s="347"/>
    </row>
    <row r="11" spans="2:8" x14ac:dyDescent="0.25">
      <c r="B11" s="347"/>
      <c r="C11" s="351" t="s">
        <v>1648</v>
      </c>
      <c r="D11" s="348" t="s">
        <v>1651</v>
      </c>
      <c r="E11" s="335">
        <v>232.12</v>
      </c>
      <c r="F11" s="348" t="s">
        <v>1645</v>
      </c>
    </row>
    <row r="12" spans="2:8" x14ac:dyDescent="0.25">
      <c r="B12" s="347"/>
      <c r="C12" s="347"/>
      <c r="D12" s="348"/>
      <c r="E12" s="347"/>
      <c r="F12" s="347"/>
    </row>
    <row r="13" spans="2:8" x14ac:dyDescent="0.25">
      <c r="B13" s="347"/>
      <c r="C13" s="348" t="s">
        <v>1638</v>
      </c>
      <c r="D13" s="348" t="s">
        <v>1652</v>
      </c>
      <c r="E13" s="335">
        <v>7250</v>
      </c>
      <c r="F13" s="348" t="s">
        <v>1646</v>
      </c>
    </row>
    <row r="14" spans="2:8" x14ac:dyDescent="0.25">
      <c r="B14" s="347"/>
      <c r="C14" s="347"/>
      <c r="D14" s="348"/>
      <c r="E14" s="347"/>
      <c r="F14" s="347"/>
    </row>
    <row r="15" spans="2:8" x14ac:dyDescent="0.25">
      <c r="B15" s="347"/>
      <c r="C15" s="348" t="s">
        <v>1640</v>
      </c>
      <c r="D15" s="348" t="s">
        <v>1653</v>
      </c>
      <c r="E15" s="335"/>
      <c r="F15" s="348" t="s">
        <v>1647</v>
      </c>
    </row>
    <row r="16" spans="2:8" x14ac:dyDescent="0.25">
      <c r="B16" s="347"/>
      <c r="C16" s="347"/>
      <c r="D16" s="347"/>
      <c r="E16" s="347"/>
      <c r="F16" s="347"/>
    </row>
    <row r="17" spans="2:8" x14ac:dyDescent="0.25">
      <c r="B17" s="347"/>
      <c r="C17" s="348" t="s">
        <v>1639</v>
      </c>
      <c r="D17" s="348" t="s">
        <v>1654</v>
      </c>
      <c r="E17" s="335"/>
      <c r="F17" s="351" t="s">
        <v>1649</v>
      </c>
    </row>
    <row r="18" spans="2:8" x14ac:dyDescent="0.25">
      <c r="B18" s="347"/>
      <c r="C18" s="347"/>
      <c r="D18" s="347"/>
      <c r="E18" s="347"/>
      <c r="F18" s="347"/>
    </row>
    <row r="20" spans="2:8" x14ac:dyDescent="0.25">
      <c r="B20" s="345" t="s">
        <v>1641</v>
      </c>
      <c r="C20" s="345"/>
      <c r="D20" s="345" t="s">
        <v>1626</v>
      </c>
      <c r="E20" s="346" t="s">
        <v>1627</v>
      </c>
      <c r="F20" s="347"/>
    </row>
    <row r="21" spans="2:8" x14ac:dyDescent="0.25">
      <c r="B21" s="347"/>
      <c r="C21" s="347"/>
      <c r="D21" s="347"/>
      <c r="E21" s="347"/>
      <c r="F21" s="347"/>
    </row>
    <row r="22" spans="2:8" ht="18" customHeight="1" x14ac:dyDescent="0.25">
      <c r="B22" s="347"/>
      <c r="C22" s="349" t="s">
        <v>1642</v>
      </c>
      <c r="D22" s="348" t="s">
        <v>1655</v>
      </c>
      <c r="E22" s="335"/>
      <c r="F22" s="347"/>
    </row>
    <row r="23" spans="2:8" x14ac:dyDescent="0.25">
      <c r="B23" s="347"/>
      <c r="C23" s="347"/>
      <c r="D23" s="347"/>
      <c r="E23" s="347"/>
      <c r="F23" s="347"/>
    </row>
    <row r="24" spans="2:8" ht="26.25" customHeight="1" x14ac:dyDescent="0.25"/>
    <row r="26" spans="2:8" ht="27.75" customHeight="1" x14ac:dyDescent="0.25">
      <c r="C26" s="370"/>
    </row>
    <row r="28" spans="2:8" ht="15.75" customHeight="1" x14ac:dyDescent="0.25"/>
    <row r="30" spans="2:8" ht="16.5" customHeight="1" x14ac:dyDescent="0.25"/>
    <row r="31" spans="2:8" x14ac:dyDescent="0.25">
      <c r="H31" s="344"/>
    </row>
    <row r="33" spans="2:3" x14ac:dyDescent="0.25">
      <c r="B33" s="341"/>
      <c r="C33" s="343"/>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5" t="s">
        <v>1567</v>
      </c>
      <c r="B1" s="375"/>
      <c r="C1" s="375"/>
      <c r="D1" s="375"/>
      <c r="E1" s="375"/>
      <c r="F1" s="375"/>
      <c r="G1" s="375"/>
      <c r="H1" s="375"/>
    </row>
    <row r="2" spans="1:9" ht="15" x14ac:dyDescent="0.2">
      <c r="A2" s="375" t="s">
        <v>1632</v>
      </c>
      <c r="B2" s="375"/>
      <c r="C2" s="375"/>
      <c r="D2" s="375"/>
      <c r="E2" s="375"/>
      <c r="F2" s="375"/>
      <c r="G2" s="375"/>
      <c r="H2" s="375"/>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6" t="str">
        <f>'DOE25'!A2</f>
        <v>Oyster River Coop</v>
      </c>
      <c r="C5" s="377"/>
      <c r="D5" s="377"/>
      <c r="E5" s="377"/>
      <c r="F5" s="377"/>
    </row>
    <row r="8" spans="1:9" ht="18" x14ac:dyDescent="0.25">
      <c r="A8" s="312" t="s">
        <v>1568</v>
      </c>
      <c r="F8" s="319" t="s">
        <v>1586</v>
      </c>
    </row>
    <row r="9" spans="1:9" ht="15" x14ac:dyDescent="0.2">
      <c r="A9" s="310" t="s">
        <v>1569</v>
      </c>
      <c r="B9" s="313">
        <f>'DOE25'!G97</f>
        <v>159211.22</v>
      </c>
      <c r="F9" s="310" t="s">
        <v>1582</v>
      </c>
    </row>
    <row r="10" spans="1:9" ht="15" x14ac:dyDescent="0.2">
      <c r="A10" s="310" t="s">
        <v>1570</v>
      </c>
      <c r="B10" s="313">
        <f>'DOE25'!G112-'DOE25'!G97</f>
        <v>20767.53</v>
      </c>
      <c r="F10" s="310" t="s">
        <v>1583</v>
      </c>
    </row>
    <row r="11" spans="1:9" ht="15" x14ac:dyDescent="0.2">
      <c r="A11" s="310" t="s">
        <v>1571</v>
      </c>
      <c r="B11" s="313">
        <f>'DOE25'!G140</f>
        <v>2065.8000000000002</v>
      </c>
      <c r="F11" s="310" t="s">
        <v>1584</v>
      </c>
    </row>
    <row r="12" spans="1:9" ht="15" x14ac:dyDescent="0.2">
      <c r="A12" s="310" t="s">
        <v>1572</v>
      </c>
      <c r="B12" s="313">
        <f>'DOE25'!G170</f>
        <v>1132392.98</v>
      </c>
      <c r="F12" s="310" t="s">
        <v>1585</v>
      </c>
    </row>
    <row r="13" spans="1:9" ht="15" x14ac:dyDescent="0.2">
      <c r="A13" s="310" t="s">
        <v>1573</v>
      </c>
      <c r="B13" s="313">
        <f>'DOE25'!G193-'DOE25'!G180</f>
        <v>0</v>
      </c>
      <c r="F13" s="310" t="s">
        <v>1595</v>
      </c>
    </row>
    <row r="14" spans="1:9" ht="18" x14ac:dyDescent="0.25">
      <c r="A14" s="312" t="s">
        <v>732</v>
      </c>
      <c r="B14" s="314">
        <f>SUM(B9:B13)</f>
        <v>1314437.53</v>
      </c>
    </row>
    <row r="16" spans="1:9" ht="18" x14ac:dyDescent="0.25">
      <c r="A16" s="312" t="s">
        <v>786</v>
      </c>
      <c r="F16" s="319" t="s">
        <v>1587</v>
      </c>
    </row>
    <row r="17" spans="1:6" ht="15" x14ac:dyDescent="0.2">
      <c r="A17" s="310" t="s">
        <v>1574</v>
      </c>
      <c r="B17" s="313">
        <f>'DOE25'!L363-'DOE25'!L362</f>
        <v>954203.83100000001</v>
      </c>
      <c r="F17" s="310" t="s">
        <v>1588</v>
      </c>
    </row>
    <row r="18" spans="1:6" ht="15" x14ac:dyDescent="0.2">
      <c r="A18" s="310" t="s">
        <v>1575</v>
      </c>
      <c r="B18" s="323"/>
      <c r="F18" s="319" t="s">
        <v>1612</v>
      </c>
    </row>
    <row r="19" spans="1:6" ht="18" x14ac:dyDescent="0.25">
      <c r="A19" s="312" t="s">
        <v>725</v>
      </c>
      <c r="B19" s="314">
        <f>SUM(B17:B18)</f>
        <v>954203.83100000001</v>
      </c>
    </row>
    <row r="21" spans="1:6" ht="18.75" thickBot="1" x14ac:dyDescent="0.3">
      <c r="A21" s="312" t="s">
        <v>1576</v>
      </c>
    </row>
    <row r="22" spans="1:6" ht="18.75" thickTop="1" x14ac:dyDescent="0.25">
      <c r="A22" s="312" t="s">
        <v>1577</v>
      </c>
      <c r="B22" s="318">
        <f>B14-B19</f>
        <v>360233.69900000002</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-0.06</v>
      </c>
      <c r="F31" s="310" t="s">
        <v>1592</v>
      </c>
    </row>
    <row r="33" spans="1:6" ht="15" x14ac:dyDescent="0.2">
      <c r="A33" s="310" t="s">
        <v>1635</v>
      </c>
      <c r="B33" s="313">
        <f>'DOE25'!G477</f>
        <v>360233.64</v>
      </c>
      <c r="F33" s="310" t="s">
        <v>1593</v>
      </c>
    </row>
    <row r="36" spans="1:6" ht="15" x14ac:dyDescent="0.2">
      <c r="A36" s="310" t="s">
        <v>1579</v>
      </c>
      <c r="B36" s="4">
        <v>56158.8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Oyster River Coop</v>
      </c>
      <c r="C1" s="237" t="s">
        <v>824</v>
      </c>
    </row>
    <row r="2" spans="1:3" x14ac:dyDescent="0.2">
      <c r="A2" s="232"/>
      <c r="B2" s="231"/>
    </row>
    <row r="3" spans="1:3" x14ac:dyDescent="0.2">
      <c r="A3" s="374" t="s">
        <v>780</v>
      </c>
      <c r="B3" s="374"/>
      <c r="C3" s="374"/>
    </row>
    <row r="4" spans="1:3" x14ac:dyDescent="0.2">
      <c r="A4" s="235"/>
      <c r="B4" s="236" t="str">
        <f>'DOE25'!H1</f>
        <v>DOE 25  2021-2022</v>
      </c>
      <c r="C4" s="235"/>
    </row>
    <row r="5" spans="1:3" x14ac:dyDescent="0.2">
      <c r="A5" s="232"/>
      <c r="B5" s="231"/>
    </row>
    <row r="6" spans="1:3" x14ac:dyDescent="0.2">
      <c r="A6" s="226"/>
      <c r="B6" s="380" t="s">
        <v>779</v>
      </c>
      <c r="C6" s="380"/>
    </row>
    <row r="7" spans="1:3" x14ac:dyDescent="0.2">
      <c r="A7" s="238" t="s">
        <v>782</v>
      </c>
      <c r="B7" s="378" t="s">
        <v>778</v>
      </c>
      <c r="C7" s="379"/>
    </row>
    <row r="8" spans="1:3" x14ac:dyDescent="0.2">
      <c r="B8" s="227" t="s">
        <v>54</v>
      </c>
      <c r="C8" s="227" t="s">
        <v>772</v>
      </c>
    </row>
    <row r="9" spans="1:3" x14ac:dyDescent="0.2">
      <c r="A9" s="33" t="s">
        <v>773</v>
      </c>
      <c r="B9" s="228">
        <f>'DOE25'!F198+'DOE25'!F216+'DOE25'!F234+'DOE25'!F277+'DOE25'!F296+'DOE25'!F315</f>
        <v>13212308.559999999</v>
      </c>
      <c r="C9" s="228">
        <f>'DOE25'!G198+'DOE25'!G216+'DOE25'!G234+'DOE25'!G277+'DOE25'!G296+'DOE25'!G315</f>
        <v>6252840.0599999996</v>
      </c>
    </row>
    <row r="10" spans="1:3" x14ac:dyDescent="0.2">
      <c r="A10" t="s">
        <v>775</v>
      </c>
      <c r="B10" s="239">
        <v>11792819.439999999</v>
      </c>
      <c r="C10" s="239">
        <v>5794482.1623199992</v>
      </c>
    </row>
    <row r="11" spans="1:3" x14ac:dyDescent="0.2">
      <c r="A11" t="s">
        <v>776</v>
      </c>
      <c r="B11" s="239">
        <v>335618.64999999997</v>
      </c>
      <c r="C11" s="239">
        <v>196567.146725</v>
      </c>
    </row>
    <row r="12" spans="1:3" x14ac:dyDescent="0.2">
      <c r="A12" t="s">
        <v>777</v>
      </c>
      <c r="B12" s="239">
        <v>1083870.4699999997</v>
      </c>
      <c r="C12" s="239">
        <v>261790.750955</v>
      </c>
    </row>
    <row r="13" spans="1:3" x14ac:dyDescent="0.2">
      <c r="A13" t="str">
        <f>IF(B9=B13,IF(C9=C13,"Check Total OK","Check Total Error"),"Check Total Error")</f>
        <v>Check Total OK</v>
      </c>
      <c r="B13" s="230">
        <f>SUM(B10:B12)</f>
        <v>13212308.559999999</v>
      </c>
      <c r="C13" s="230">
        <f>SUM(C10:C12)</f>
        <v>6252840.0599999987</v>
      </c>
    </row>
    <row r="14" spans="1:3" x14ac:dyDescent="0.2">
      <c r="B14" s="229"/>
      <c r="C14" s="229"/>
    </row>
    <row r="15" spans="1:3" x14ac:dyDescent="0.2">
      <c r="B15" s="380" t="s">
        <v>779</v>
      </c>
      <c r="C15" s="380"/>
    </row>
    <row r="16" spans="1:3" x14ac:dyDescent="0.2">
      <c r="A16" s="238" t="s">
        <v>783</v>
      </c>
      <c r="B16" s="378" t="s">
        <v>703</v>
      </c>
      <c r="C16" s="379"/>
    </row>
    <row r="17" spans="1:3" x14ac:dyDescent="0.2">
      <c r="B17" s="227" t="s">
        <v>54</v>
      </c>
      <c r="C17" s="227" t="s">
        <v>772</v>
      </c>
    </row>
    <row r="18" spans="1:3" x14ac:dyDescent="0.2">
      <c r="A18" s="33" t="s">
        <v>773</v>
      </c>
      <c r="B18" s="228">
        <f>'DOE25'!F199+'DOE25'!F217+'DOE25'!F235+'DOE25'!F278+'DOE25'!F297+'DOE25'!F316</f>
        <v>3839037.0900000003</v>
      </c>
      <c r="C18" s="228">
        <f>'DOE25'!G199+'DOE25'!G217+'DOE25'!G235+'DOE25'!G278+'DOE25'!G297+'DOE25'!G316</f>
        <v>1677397.67</v>
      </c>
    </row>
    <row r="19" spans="1:3" x14ac:dyDescent="0.2">
      <c r="A19" t="s">
        <v>775</v>
      </c>
      <c r="B19" s="239">
        <v>2213318.2400000002</v>
      </c>
      <c r="C19" s="239">
        <v>1311707.8800000001</v>
      </c>
    </row>
    <row r="20" spans="1:3" x14ac:dyDescent="0.2">
      <c r="A20" t="s">
        <v>776</v>
      </c>
      <c r="B20" s="239">
        <v>1536331.81</v>
      </c>
      <c r="C20" s="239">
        <v>359192.19999999995</v>
      </c>
    </row>
    <row r="21" spans="1:3" x14ac:dyDescent="0.2">
      <c r="A21" t="s">
        <v>777</v>
      </c>
      <c r="B21" s="239">
        <v>89387.040000000008</v>
      </c>
      <c r="C21" s="239">
        <v>6497.5900000000011</v>
      </c>
    </row>
    <row r="22" spans="1:3" x14ac:dyDescent="0.2">
      <c r="A22" t="str">
        <f>IF(B18=B22,IF(C18=C22,"Check Total OK","Check Total Error"),"Check Total Error")</f>
        <v>Check Total OK</v>
      </c>
      <c r="B22" s="230">
        <f>SUM(B19:B21)</f>
        <v>3839037.0900000003</v>
      </c>
      <c r="C22" s="230">
        <f>SUM(C19:C21)</f>
        <v>1677397.6700000002</v>
      </c>
    </row>
    <row r="23" spans="1:3" x14ac:dyDescent="0.2">
      <c r="B23" s="229"/>
      <c r="C23" s="229"/>
    </row>
    <row r="24" spans="1:3" x14ac:dyDescent="0.2">
      <c r="B24" s="380" t="s">
        <v>779</v>
      </c>
      <c r="C24" s="380"/>
    </row>
    <row r="25" spans="1:3" x14ac:dyDescent="0.2">
      <c r="A25" s="238" t="s">
        <v>784</v>
      </c>
      <c r="B25" s="378" t="s">
        <v>704</v>
      </c>
      <c r="C25" s="379"/>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80" t="s">
        <v>779</v>
      </c>
      <c r="C33" s="380"/>
    </row>
    <row r="34" spans="1:3" x14ac:dyDescent="0.2">
      <c r="A34" s="238" t="s">
        <v>785</v>
      </c>
      <c r="B34" s="378" t="s">
        <v>705</v>
      </c>
      <c r="C34" s="379"/>
    </row>
    <row r="35" spans="1:3" x14ac:dyDescent="0.2">
      <c r="B35" s="227" t="s">
        <v>54</v>
      </c>
      <c r="C35" s="227" t="s">
        <v>772</v>
      </c>
    </row>
    <row r="36" spans="1:3" x14ac:dyDescent="0.2">
      <c r="A36" s="33" t="s">
        <v>773</v>
      </c>
      <c r="B36" s="234">
        <f>'DOE25'!F201+'DOE25'!F219+'DOE25'!F237+'DOE25'!F280+'DOE25'!F299+'DOE25'!F318</f>
        <v>520782.95</v>
      </c>
      <c r="C36" s="234">
        <f>'DOE25'!G201+'DOE25'!G219+'DOE25'!G237+'DOE25'!G280+'DOE25'!G299+'DOE25'!G318</f>
        <v>107948.64000000001</v>
      </c>
    </row>
    <row r="37" spans="1:3" x14ac:dyDescent="0.2">
      <c r="A37" t="s">
        <v>775</v>
      </c>
      <c r="B37" s="239">
        <v>227253.23</v>
      </c>
      <c r="C37" s="239">
        <v>58290.64</v>
      </c>
    </row>
    <row r="38" spans="1:3" x14ac:dyDescent="0.2">
      <c r="A38" t="s">
        <v>776</v>
      </c>
      <c r="B38" s="239"/>
      <c r="C38" s="239"/>
    </row>
    <row r="39" spans="1:3" x14ac:dyDescent="0.2">
      <c r="A39" t="s">
        <v>777</v>
      </c>
      <c r="B39" s="239">
        <v>293529.71999999997</v>
      </c>
      <c r="C39" s="239">
        <v>49658</v>
      </c>
    </row>
    <row r="40" spans="1:3" x14ac:dyDescent="0.2">
      <c r="A40" t="str">
        <f>IF(B36=B40,IF(C36=C40,"Check Total OK","Check Total Error"),"Check Total Error")</f>
        <v>Check Total OK</v>
      </c>
      <c r="B40" s="230">
        <f>SUM(B37:B39)</f>
        <v>520782.94999999995</v>
      </c>
      <c r="C40" s="230">
        <f>SUM(C37:C39)</f>
        <v>107948.64</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E21" sqref="E2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0" t="s">
        <v>892</v>
      </c>
      <c r="B1" s="383"/>
      <c r="C1" s="383"/>
      <c r="D1" s="383"/>
      <c r="E1" s="383"/>
      <c r="F1" s="383"/>
      <c r="G1" s="383"/>
      <c r="H1" s="383"/>
      <c r="I1" s="180"/>
    </row>
    <row r="2" spans="1:9" x14ac:dyDescent="0.2">
      <c r="A2" s="33" t="s">
        <v>713</v>
      </c>
      <c r="B2" s="259" t="str">
        <f>'DOE25'!A2</f>
        <v>Oyster River Coop</v>
      </c>
      <c r="C2" s="276"/>
      <c r="D2" s="180" t="s">
        <v>787</v>
      </c>
      <c r="E2" s="180" t="s">
        <v>789</v>
      </c>
      <c r="F2" s="381" t="s">
        <v>891</v>
      </c>
      <c r="G2" s="382"/>
      <c r="H2" s="382"/>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27039484.699999996</v>
      </c>
      <c r="D5" s="20">
        <f>SUM('DOE25'!L198:L201)+SUM('DOE25'!L216:L219)+SUM('DOE25'!L234:L237)-F5-G5-H5</f>
        <v>26742393.139999997</v>
      </c>
      <c r="E5" s="242"/>
      <c r="F5" s="243">
        <v>146362</v>
      </c>
      <c r="G5" s="53">
        <f>SUM('DOE25'!J198:J201)+SUM('DOE25'!J216:J219)+SUM('DOE25'!J234:J237)</f>
        <v>89023.25</v>
      </c>
      <c r="H5" s="53">
        <f>SUM('DOE25'!K198:K201)+SUM('DOE25'!K216:K219)+SUM('DOE25'!K234:K237)</f>
        <v>61706.310000000005</v>
      </c>
      <c r="I5" s="255"/>
    </row>
    <row r="6" spans="1:9" x14ac:dyDescent="0.2">
      <c r="A6" s="32">
        <v>2100</v>
      </c>
      <c r="B6" t="s">
        <v>796</v>
      </c>
      <c r="C6" s="274">
        <f t="shared" si="0"/>
        <v>4555863.24</v>
      </c>
      <c r="D6" s="20">
        <f>'DOE25'!L203+'DOE25'!L221+'DOE25'!L239-F6-G6-H6</f>
        <v>4020299.16</v>
      </c>
      <c r="E6" s="242"/>
      <c r="F6" s="243">
        <v>529120</v>
      </c>
      <c r="G6" s="53">
        <f>'DOE25'!J203+'DOE25'!J221+'DOE25'!J239</f>
        <v>5235.08</v>
      </c>
      <c r="H6" s="53">
        <f>'DOE25'!K203+'DOE25'!K221+'DOE25'!K239</f>
        <v>1209</v>
      </c>
      <c r="I6" s="255"/>
    </row>
    <row r="7" spans="1:9" x14ac:dyDescent="0.2">
      <c r="A7" s="32">
        <v>2200</v>
      </c>
      <c r="B7" t="s">
        <v>821</v>
      </c>
      <c r="C7" s="274">
        <f t="shared" si="0"/>
        <v>878346.54</v>
      </c>
      <c r="D7" s="20">
        <f>'DOE25'!L204+'DOE25'!L222+'DOE25'!L240-F7-G7-H7</f>
        <v>851086.4</v>
      </c>
      <c r="E7" s="242"/>
      <c r="F7" s="243"/>
      <c r="G7" s="53">
        <f>'DOE25'!J204+'DOE25'!J222+'DOE25'!J240</f>
        <v>27260.14</v>
      </c>
      <c r="H7" s="53">
        <f>'DOE25'!K204+'DOE25'!K222+'DOE25'!K240</f>
        <v>0</v>
      </c>
      <c r="I7" s="255"/>
    </row>
    <row r="8" spans="1:9" x14ac:dyDescent="0.2">
      <c r="A8" s="32">
        <v>2300</v>
      </c>
      <c r="B8" t="s">
        <v>797</v>
      </c>
      <c r="C8" s="274">
        <f t="shared" si="0"/>
        <v>1665991.8</v>
      </c>
      <c r="D8" s="242"/>
      <c r="E8" s="20">
        <f>'DOE25'!L205+'DOE25'!L223+'DOE25'!L241-F8-G8-H8-D9-D11</f>
        <v>1645031.1600000001</v>
      </c>
      <c r="F8" s="243"/>
      <c r="G8" s="53">
        <f>'DOE25'!J205+'DOE25'!J223+'DOE25'!J241</f>
        <v>0</v>
      </c>
      <c r="H8" s="53">
        <f>'DOE25'!K205+'DOE25'!K223+'DOE25'!K241</f>
        <v>20960.64</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1998252.67</v>
      </c>
      <c r="D12" s="20">
        <f>'DOE25'!L206+'DOE25'!L224+'DOE25'!L242-F12-G12-H12</f>
        <v>1988990.3399999999</v>
      </c>
      <c r="E12" s="242"/>
      <c r="F12" s="243"/>
      <c r="G12" s="53">
        <f>'DOE25'!J206+'DOE25'!J224+'DOE25'!J242</f>
        <v>89.99</v>
      </c>
      <c r="H12" s="53">
        <f>'DOE25'!K206+'DOE25'!K224+'DOE25'!K242</f>
        <v>9172.34</v>
      </c>
      <c r="I12" s="255"/>
    </row>
    <row r="13" spans="1:9" x14ac:dyDescent="0.2">
      <c r="A13" s="32">
        <v>2500</v>
      </c>
      <c r="B13" t="s">
        <v>798</v>
      </c>
      <c r="C13" s="274">
        <f t="shared" si="0"/>
        <v>760465.79</v>
      </c>
      <c r="D13" s="242"/>
      <c r="E13" s="20">
        <f>'DOE25'!L207+'DOE25'!L225+'DOE25'!L243-F13-G13-H13</f>
        <v>750627.17</v>
      </c>
      <c r="F13" s="243"/>
      <c r="G13" s="53">
        <f>'DOE25'!J207+'DOE25'!J225+'DOE25'!J243</f>
        <v>1794.14</v>
      </c>
      <c r="H13" s="53">
        <f>'DOE25'!K207+'DOE25'!K225+'DOE25'!K243</f>
        <v>8044.48</v>
      </c>
      <c r="I13" s="255"/>
    </row>
    <row r="14" spans="1:9" x14ac:dyDescent="0.2">
      <c r="A14" s="32">
        <v>2600</v>
      </c>
      <c r="B14" t="s">
        <v>819</v>
      </c>
      <c r="C14" s="274">
        <f t="shared" si="0"/>
        <v>4304093.55</v>
      </c>
      <c r="D14" s="20">
        <f>'DOE25'!L208+'DOE25'!L226+'DOE25'!L244-F14-G14-H14</f>
        <v>3778427.4099999997</v>
      </c>
      <c r="E14" s="242"/>
      <c r="F14" s="243">
        <v>404991</v>
      </c>
      <c r="G14" s="53">
        <f>'DOE25'!J208+'DOE25'!J226+'DOE25'!J244</f>
        <v>120675.13999999998</v>
      </c>
      <c r="H14" s="53">
        <f>'DOE25'!K208+'DOE25'!K226+'DOE25'!K244</f>
        <v>0</v>
      </c>
      <c r="I14" s="255"/>
    </row>
    <row r="15" spans="1:9" x14ac:dyDescent="0.2">
      <c r="A15" s="32">
        <v>2700</v>
      </c>
      <c r="B15" t="s">
        <v>799</v>
      </c>
      <c r="C15" s="274">
        <f t="shared" si="0"/>
        <v>2162548.3099999996</v>
      </c>
      <c r="D15" s="20">
        <f>'DOE25'!L209+'DOE25'!L227+'DOE25'!L245-F15-G15-H15</f>
        <v>2032261.76</v>
      </c>
      <c r="E15" s="242"/>
      <c r="F15" s="243">
        <v>97855</v>
      </c>
      <c r="G15" s="53">
        <f>'DOE25'!J209+'DOE25'!J227+'DOE25'!J245</f>
        <v>31625.8</v>
      </c>
      <c r="H15" s="53">
        <f>'DOE25'!K209+'DOE25'!K227+'DOE25'!K245</f>
        <v>805.75</v>
      </c>
      <c r="I15" s="255"/>
    </row>
    <row r="16" spans="1:9" x14ac:dyDescent="0.2">
      <c r="A16" s="32">
        <v>2800</v>
      </c>
      <c r="B16" t="s">
        <v>800</v>
      </c>
      <c r="C16" s="274">
        <f t="shared" si="0"/>
        <v>1524682.82</v>
      </c>
      <c r="D16" s="242"/>
      <c r="E16" s="20">
        <f>'DOE25'!L210+'DOE25'!L228+'DOE25'!L246-F16-G16-H16</f>
        <v>1440098.1900000002</v>
      </c>
      <c r="F16" s="243"/>
      <c r="G16" s="53">
        <f>'DOE25'!J210+'DOE25'!J228+'DOE25'!J246</f>
        <v>75010.39</v>
      </c>
      <c r="H16" s="53">
        <f>'DOE25'!K210+'DOE25'!K228+'DOE25'!K246</f>
        <v>9574.24</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519533.89</v>
      </c>
      <c r="D22" s="242"/>
      <c r="E22" s="242"/>
      <c r="F22" s="242"/>
      <c r="G22" s="53">
        <f>'DOE25'!L256+'DOE25'!L337</f>
        <v>519533.89</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2453999.08</v>
      </c>
      <c r="D25" s="242"/>
      <c r="E25" s="242"/>
      <c r="F25" s="254"/>
      <c r="G25" s="252"/>
      <c r="H25" s="252"/>
      <c r="I25" s="253">
        <f>'DOE25'!L261+'DOE25'!L262+'DOE25'!L342+'DOE25'!L343</f>
        <v>2453999.08</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556593.26099999994</v>
      </c>
      <c r="D29" s="282">
        <f>'DOE25'!L359+'DOE25'!L360+'DOE25'!L361-'DOE25'!I368-F29-G29-H29</f>
        <v>554021.49099999992</v>
      </c>
      <c r="E29" s="242"/>
      <c r="F29" s="243"/>
      <c r="G29" s="53">
        <f>'DOE25'!J359+'DOE25'!J360+'DOE25'!J361</f>
        <v>1859.77</v>
      </c>
      <c r="H29" s="53">
        <f>'DOE25'!K359+'DOE25'!K360+'DOE25'!K361</f>
        <v>712</v>
      </c>
      <c r="I29" s="255"/>
    </row>
    <row r="30" spans="1:9" x14ac:dyDescent="0.2">
      <c r="A30" s="32"/>
      <c r="C30" s="275"/>
      <c r="D30" s="20"/>
      <c r="E30" s="279"/>
      <c r="F30" s="269"/>
      <c r="G30" s="53"/>
      <c r="H30" s="53"/>
      <c r="I30" s="255"/>
    </row>
    <row r="31" spans="1:9" x14ac:dyDescent="0.2">
      <c r="A31" s="32" t="s">
        <v>818</v>
      </c>
      <c r="B31" t="s">
        <v>817</v>
      </c>
      <c r="C31" s="274">
        <f>SUM(D31:I31)</f>
        <v>1030273.05</v>
      </c>
      <c r="D31" s="20">
        <f>'DOE25'!L291+'DOE25'!L310+'DOE25'!L329+'DOE25'!L334+'DOE25'!L335+'DOE25'!L336-F31-G31-H31</f>
        <v>970522.14</v>
      </c>
      <c r="E31" s="242"/>
      <c r="F31" s="243"/>
      <c r="G31" s="53">
        <f>'DOE25'!J291+'DOE25'!J310+'DOE25'!J329+'DOE25'!J334+'DOE25'!J335+'DOE25'!J336</f>
        <v>58550.909999999996</v>
      </c>
      <c r="H31" s="53">
        <f>'DOE25'!K291+'DOE25'!K310+'DOE25'!K329+'DOE25'!K334+'DOE25'!K335+'DOE25'!K336</f>
        <v>1200</v>
      </c>
      <c r="I31" s="255"/>
    </row>
    <row r="32" spans="1:9" ht="12" thickBot="1" x14ac:dyDescent="0.25">
      <c r="C32" s="275"/>
      <c r="G32" s="250"/>
      <c r="H32" s="250"/>
      <c r="I32" s="257"/>
    </row>
    <row r="33" spans="1:9" ht="12" thickTop="1" x14ac:dyDescent="0.2">
      <c r="B33" t="s">
        <v>809</v>
      </c>
      <c r="D33" s="244">
        <f t="shared" ref="D33:I33" si="1">SUM(D5:D31)</f>
        <v>40938001.840999983</v>
      </c>
      <c r="E33" s="244">
        <f t="shared" si="1"/>
        <v>3835756.5200000005</v>
      </c>
      <c r="F33" s="244">
        <f t="shared" si="1"/>
        <v>1178328</v>
      </c>
      <c r="G33" s="244">
        <f t="shared" si="1"/>
        <v>930658.50000000012</v>
      </c>
      <c r="H33" s="244">
        <f t="shared" si="1"/>
        <v>113384.76000000001</v>
      </c>
      <c r="I33" s="244">
        <f t="shared" si="1"/>
        <v>2453999.08</v>
      </c>
    </row>
    <row r="35" spans="1:9" ht="12" thickBot="1" x14ac:dyDescent="0.25">
      <c r="B35" s="250" t="s">
        <v>831</v>
      </c>
      <c r="D35" s="251">
        <f>E33</f>
        <v>3835756.5200000005</v>
      </c>
      <c r="E35" s="247"/>
      <c r="F35" s="327" t="s">
        <v>1617</v>
      </c>
      <c r="G35" s="328"/>
      <c r="H35" s="328"/>
      <c r="I35" s="328"/>
    </row>
    <row r="36" spans="1:9" ht="12" thickTop="1" x14ac:dyDescent="0.2">
      <c r="B36" t="s">
        <v>810</v>
      </c>
      <c r="D36" s="20">
        <f>D33</f>
        <v>40938001.840999983</v>
      </c>
      <c r="F36" s="330" t="s">
        <v>1614</v>
      </c>
      <c r="G36" s="329" t="str">
        <f>IF(F36=0,"&lt;&lt;&lt;&lt;&lt; YOU HAVE NOT CHOSEN IF YOU WANT AN INDIRECT COST RATE!!","")</f>
        <v/>
      </c>
      <c r="H36" s="329"/>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4" t="s">
        <v>900</v>
      </c>
      <c r="C53" s="384"/>
      <c r="D53" s="384"/>
      <c r="E53" s="384"/>
      <c r="F53" s="384"/>
      <c r="G53" s="384"/>
      <c r="H53" s="384"/>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8" activeCellId="2" sqref="D37:E37 D25 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Oyster River Coop</v>
      </c>
      <c r="B2" s="126">
        <f>'DOE25'!B2</f>
        <v>423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14167400.930000002</v>
      </c>
      <c r="G4" s="299">
        <f>'DOE25'!L212+'DOE25'!L291</f>
        <v>14167400.929999998</v>
      </c>
      <c r="H4" s="339">
        <f>F4-G4</f>
        <v>0</v>
      </c>
      <c r="I4" s="385"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6"/>
      <c r="N5"/>
    </row>
    <row r="6" spans="1:18" x14ac:dyDescent="0.2">
      <c r="A6" s="126" t="str" cm="1">
        <f t="array" ref="A6">IFERROR(INDEX('School Tables'!$A$4:$G$325,'School Tables'!$J4,3),"")</f>
        <v>Mast Way School</v>
      </c>
      <c r="B6" s="300">
        <f>IFERROR(VLOOKUP(A6,'School Tables'!$C$3:$D$365,2,FALSE),"")</f>
        <v>22805</v>
      </c>
      <c r="C6" s="293" t="str">
        <f>IFERROR(INDEX('School Tables'!$B$3:$B$365,MATCH('School Level Expenditures'!B6,'School Tables'!$D$3:$D$365,0)),"")</f>
        <v>Oyster River Coop</v>
      </c>
      <c r="D6" s="290">
        <f>7136568.3-223654.53</f>
        <v>6912913.7699999996</v>
      </c>
      <c r="E6" s="290">
        <v>108276.73</v>
      </c>
      <c r="F6" s="303">
        <f t="shared" ref="F6:F20" si="0">D6+E6</f>
        <v>7021190.5</v>
      </c>
      <c r="G6" s="293"/>
      <c r="H6" s="293"/>
      <c r="I6" s="386"/>
      <c r="N6"/>
    </row>
    <row r="7" spans="1:18" x14ac:dyDescent="0.2">
      <c r="A7" s="126" t="str" cm="1">
        <f t="array" ref="A7">IFERROR(INDEX('School Tables'!$A$4:$G$325,'School Tables'!$J5,3),"")</f>
        <v>Moharimet School</v>
      </c>
      <c r="B7" s="300">
        <f>IFERROR(VLOOKUP(A7,'School Tables'!$C$3:$D$365,2,FALSE),"")</f>
        <v>26660</v>
      </c>
      <c r="C7" s="293" t="str">
        <f>IFERROR(INDEX('School Tables'!$B$3:$B$365,MATCH('School Level Expenditures'!B7,'School Tables'!$D$3:$D$365,0)),"")</f>
        <v>Oyster River Coop</v>
      </c>
      <c r="D7" s="290">
        <f>6880691.23-223654.53</f>
        <v>6657036.7000000002</v>
      </c>
      <c r="E7" s="290">
        <v>41864.670000000013</v>
      </c>
      <c r="F7" s="303">
        <f t="shared" si="0"/>
        <v>6698901.3700000001</v>
      </c>
      <c r="G7" s="293"/>
      <c r="H7" s="293"/>
      <c r="I7" s="340"/>
      <c r="N7"/>
    </row>
    <row r="8" spans="1:18" x14ac:dyDescent="0.2">
      <c r="A8" s="126" t="str" cm="1">
        <f t="array" ref="A8">IFERROR(INDEX('School Tables'!$A$4:$G$325,'School Tables'!$J6,3),"")</f>
        <v>Oyster River Preschool Education Program</v>
      </c>
      <c r="B8" s="300">
        <f>IFERROR(VLOOKUP(A8,'School Tables'!$C$3:$D$365,2,FALSE),"")</f>
        <v>29210</v>
      </c>
      <c r="C8" s="293" t="str">
        <f>IFERROR(INDEX('School Tables'!$B$3:$B$365,MATCH('School Level Expenditures'!B8,'School Tables'!$D$3:$D$365,0)),"")</f>
        <v>Oyster River Coop</v>
      </c>
      <c r="D8" s="290">
        <v>447309.06</v>
      </c>
      <c r="E8" s="290"/>
      <c r="F8" s="303">
        <f t="shared" si="0"/>
        <v>447309.06</v>
      </c>
      <c r="G8" s="293"/>
      <c r="H8" s="293"/>
      <c r="I8" s="340"/>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0"/>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7">
        <f>SUM(D5:D20)</f>
        <v>14017259.529999999</v>
      </c>
      <c r="E21" s="337">
        <f>SUM(E5:E20)</f>
        <v>150141.40000000002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13751511.91</v>
      </c>
      <c r="G24" s="299">
        <f>'DOE25'!L230+'DOE25'!L310</f>
        <v>13751511.91</v>
      </c>
      <c r="H24" s="339">
        <f>F24-G24</f>
        <v>0</v>
      </c>
      <c r="I24" s="385" t="str">
        <f>IF(H24=0,"","ISSUES!! Please review page 8 and 12 totals in comparison with total on this page")</f>
        <v/>
      </c>
      <c r="N24"/>
    </row>
    <row r="25" spans="1:14" x14ac:dyDescent="0.2">
      <c r="A25" s="126" t="s">
        <v>1548</v>
      </c>
      <c r="B25" s="300">
        <v>99999</v>
      </c>
      <c r="C25" s="293" t="s">
        <v>1548</v>
      </c>
      <c r="D25" s="290">
        <v>302447.18</v>
      </c>
      <c r="E25" s="290"/>
      <c r="F25" s="303">
        <f>D25+E25</f>
        <v>302447.18</v>
      </c>
      <c r="G25" s="293"/>
      <c r="H25" s="293"/>
      <c r="I25" s="386"/>
      <c r="N25"/>
    </row>
    <row r="26" spans="1:14" x14ac:dyDescent="0.2">
      <c r="A26" s="126" t="str" cm="1">
        <f t="array" ref="A26">IFERROR(INDEX('School Tables'!$L$4:$R$75,'School Tables'!$U4,3),"")</f>
        <v>Oyster River Middle School</v>
      </c>
      <c r="B26" s="300">
        <f>IFERROR(VLOOKUP(A26,'School Tables'!$N$4:$O$75,2,FALSE),"")</f>
        <v>22790</v>
      </c>
      <c r="C26" s="293" t="str">
        <f>IFERROR(INDEX('School Tables'!$M$4:$M$75,MATCH('School Level Expenditures'!A26,'School Tables'!$N$4:$N$75,0)),"")</f>
        <v>Oyster River Coop</v>
      </c>
      <c r="D26" s="290">
        <f>13252997.08-302447.18</f>
        <v>12950549.9</v>
      </c>
      <c r="E26" s="290">
        <v>498514.82999999996</v>
      </c>
      <c r="F26" s="303">
        <f t="shared" ref="F26:F32" si="1">D26+E26</f>
        <v>13449064.73</v>
      </c>
      <c r="G26" s="293"/>
      <c r="H26" s="293"/>
      <c r="I26" s="386"/>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7">
        <f>SUM(D25:D32)</f>
        <v>13252997.08</v>
      </c>
      <c r="E33" s="337">
        <f>SUM(E25:E32)</f>
        <v>498514.82999999996</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18001089.629999995</v>
      </c>
      <c r="G36" s="299">
        <f>'DOE25'!L248+'DOE25'!L329</f>
        <v>18001089.629999999</v>
      </c>
      <c r="H36" s="339">
        <f>F36-G36</f>
        <v>0</v>
      </c>
      <c r="I36" s="385" t="str">
        <f>IF(H36=0,"","ISSUES!! Please review page 9 and 13 totals in comparison with total on this page")</f>
        <v/>
      </c>
      <c r="N36"/>
    </row>
    <row r="37" spans="1:14" x14ac:dyDescent="0.2">
      <c r="A37" s="126" t="s">
        <v>1548</v>
      </c>
      <c r="B37" s="300">
        <v>99999</v>
      </c>
      <c r="C37" s="293" t="s">
        <v>1548</v>
      </c>
      <c r="D37" s="290">
        <v>390453.17</v>
      </c>
      <c r="E37" s="290">
        <v>23186.32</v>
      </c>
      <c r="F37" s="303">
        <f t="shared" ref="F37:F42" si="2">D37+E37</f>
        <v>413639.49</v>
      </c>
      <c r="G37" s="293"/>
      <c r="H37" s="293"/>
      <c r="I37" s="386"/>
      <c r="N37"/>
    </row>
    <row r="38" spans="1:14" x14ac:dyDescent="0.2">
      <c r="A38" s="126" t="str" cm="1">
        <f t="array" ref="A38">IFERROR(INDEX('School Tables'!$W$4:$AC$100,'School Tables'!$AF4,3),"")</f>
        <v>Oyster River High School</v>
      </c>
      <c r="B38" s="300">
        <f>IFERROR(VLOOKUP(A38,'School Tables'!$Y$4:$Z$100,2,FALSE),"")</f>
        <v>22800</v>
      </c>
      <c r="C38" s="293" t="str">
        <f>IFERROR(INDEX('School Tables'!$X$4:$X$100,MATCH('School Level Expenditures'!A38,'School Tables'!$Y$4:$Y$100,0)),"")</f>
        <v>Oyster River Coop</v>
      </c>
      <c r="D38" s="290">
        <f>17619472.81-390453.17</f>
        <v>17229019.639999997</v>
      </c>
      <c r="E38" s="290">
        <f>381616.82-23186.32</f>
        <v>358430.5</v>
      </c>
      <c r="F38" s="303">
        <f t="shared" si="2"/>
        <v>17587450.139999997</v>
      </c>
      <c r="G38" s="293"/>
      <c r="H38" s="293"/>
      <c r="I38" s="386"/>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7">
        <f>SUM(D37:D42)</f>
        <v>17619472.809999999</v>
      </c>
      <c r="E43" s="338">
        <f>SUM(E37:E42)</f>
        <v>381616.82</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4"/>
      <c r="B58" s="384"/>
      <c r="C58" s="384"/>
      <c r="D58" s="384"/>
      <c r="E58" s="384"/>
      <c r="F58" s="384"/>
      <c r="G58" s="384"/>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6" zoomScale="80" zoomScaleNormal="80" workbookViewId="0">
      <selection activeCell="C138" sqref="C13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Oyster River Coop</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2409017.969</v>
      </c>
      <c r="D8" s="95">
        <f>'DOE25'!G9</f>
        <v>0</v>
      </c>
      <c r="E8" s="95">
        <f>'DOE25'!H9</f>
        <v>0</v>
      </c>
      <c r="F8" s="95">
        <f>'DOE25'!I9</f>
        <v>5116930.45</v>
      </c>
      <c r="G8" s="95">
        <f>'DOE25'!J9</f>
        <v>0</v>
      </c>
      <c r="H8" s="124">
        <f>SUM(C8:G8)</f>
        <v>7525948.4189999998</v>
      </c>
      <c r="I8" s="124"/>
    </row>
    <row r="9" spans="1:9" x14ac:dyDescent="0.2">
      <c r="A9" s="1" t="s">
        <v>140</v>
      </c>
      <c r="B9" s="6">
        <v>110</v>
      </c>
      <c r="C9" s="95">
        <f>'DOE25'!F10</f>
        <v>0</v>
      </c>
      <c r="D9" s="95">
        <f>'DOE25'!G10</f>
        <v>0</v>
      </c>
      <c r="E9" s="95">
        <f>'DOE25'!H10</f>
        <v>0</v>
      </c>
      <c r="F9" s="95">
        <f>'DOE25'!I10</f>
        <v>0</v>
      </c>
      <c r="G9" s="95">
        <f>'DOE25'!J10</f>
        <v>1458248.5599999998</v>
      </c>
      <c r="H9" s="124">
        <f t="shared" ref="H9:H18" si="0">SUM(C9:G9)</f>
        <v>1458248.5599999998</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1319065.8799999999</v>
      </c>
      <c r="D11" s="95">
        <f>'DOE25'!G12</f>
        <v>86775.25</v>
      </c>
      <c r="E11" s="95">
        <f>'DOE25'!H12</f>
        <v>0</v>
      </c>
      <c r="F11" s="95">
        <f>'DOE25'!I12</f>
        <v>0</v>
      </c>
      <c r="G11" s="95">
        <f>'DOE25'!J12</f>
        <v>0</v>
      </c>
      <c r="H11" s="124">
        <f t="shared" si="0"/>
        <v>1405841.13</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19790.04</v>
      </c>
      <c r="D13" s="95">
        <f>'DOE25'!G14</f>
        <v>319734.07</v>
      </c>
      <c r="E13" s="95">
        <f>'DOE25'!H14</f>
        <v>359118.09</v>
      </c>
      <c r="F13" s="95">
        <f>'DOE25'!I14</f>
        <v>0</v>
      </c>
      <c r="G13" s="95">
        <f>'DOE25'!J14</f>
        <v>0</v>
      </c>
      <c r="H13" s="124">
        <f t="shared" si="0"/>
        <v>698642.2</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13760.69</v>
      </c>
      <c r="D16" s="95">
        <f>'DOE25'!G17</f>
        <v>0</v>
      </c>
      <c r="E16" s="95">
        <f>'DOE25'!H17</f>
        <v>0</v>
      </c>
      <c r="F16" s="95">
        <f>'DOE25'!I17</f>
        <v>0</v>
      </c>
      <c r="G16" s="95">
        <f>'DOE25'!J17</f>
        <v>0</v>
      </c>
      <c r="H16" s="124">
        <f t="shared" si="0"/>
        <v>13760.69</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3761634.5789999999</v>
      </c>
      <c r="D18" s="41">
        <f>SUM(D8:D17)</f>
        <v>406509.32</v>
      </c>
      <c r="E18" s="41">
        <f>SUM(E8:E17)</f>
        <v>359118.09</v>
      </c>
      <c r="F18" s="41">
        <f>SUM(F8:F17)</f>
        <v>5116930.45</v>
      </c>
      <c r="G18" s="41">
        <f>SUM(G8:G17)</f>
        <v>1458248.5599999998</v>
      </c>
      <c r="H18" s="41">
        <f t="shared" si="0"/>
        <v>11102440.999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268312.15999999997</v>
      </c>
      <c r="F21" s="95">
        <f>'DOE25'!I22</f>
        <v>1122202.97</v>
      </c>
      <c r="G21" s="95">
        <f>'DOE25'!J22</f>
        <v>15326</v>
      </c>
      <c r="H21" s="124">
        <f t="shared" ref="H21:H31" si="1">SUM(C21:G21)</f>
        <v>1405841.13</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308011.21000000002</v>
      </c>
      <c r="D23" s="95">
        <f>'DOE25'!G24</f>
        <v>1823.36</v>
      </c>
      <c r="E23" s="95">
        <f>'DOE25'!H24</f>
        <v>4400</v>
      </c>
      <c r="F23" s="95">
        <f>'DOE25'!I24</f>
        <v>0</v>
      </c>
      <c r="G23" s="95">
        <f>'DOE25'!J24</f>
        <v>0</v>
      </c>
      <c r="H23" s="124">
        <f t="shared" si="1"/>
        <v>314234.57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11412</v>
      </c>
      <c r="D27" s="95">
        <f>'DOE25'!G28</f>
        <v>0</v>
      </c>
      <c r="E27" s="95">
        <f>'DOE25'!H28</f>
        <v>0</v>
      </c>
      <c r="F27" s="95">
        <f>'DOE25'!I28</f>
        <v>0</v>
      </c>
      <c r="G27" s="24" t="s">
        <v>288</v>
      </c>
      <c r="H27" s="124">
        <f t="shared" si="1"/>
        <v>11412</v>
      </c>
      <c r="I27" s="124"/>
    </row>
    <row r="28" spans="1:9" x14ac:dyDescent="0.2">
      <c r="A28" s="1" t="s">
        <v>157</v>
      </c>
      <c r="B28" s="6">
        <v>470</v>
      </c>
      <c r="C28" s="95">
        <f>'DOE25'!F29</f>
        <v>956091.71</v>
      </c>
      <c r="D28" s="95">
        <f>'DOE25'!G29</f>
        <v>0</v>
      </c>
      <c r="E28" s="95">
        <f>'DOE25'!H29</f>
        <v>0</v>
      </c>
      <c r="F28" s="95">
        <f>'DOE25'!I29</f>
        <v>0</v>
      </c>
      <c r="G28" s="24" t="s">
        <v>288</v>
      </c>
      <c r="H28" s="124">
        <f t="shared" si="1"/>
        <v>956091.71</v>
      </c>
      <c r="I28" s="124"/>
    </row>
    <row r="29" spans="1:9" x14ac:dyDescent="0.2">
      <c r="A29" s="1" t="s">
        <v>158</v>
      </c>
      <c r="B29" s="6">
        <v>480</v>
      </c>
      <c r="C29" s="95">
        <f>'DOE25'!F30</f>
        <v>0</v>
      </c>
      <c r="D29" s="95">
        <f>'DOE25'!G30</f>
        <v>44452.32</v>
      </c>
      <c r="E29" s="95">
        <f>'DOE25'!H30</f>
        <v>0</v>
      </c>
      <c r="F29" s="95">
        <f>'DOE25'!I30</f>
        <v>0</v>
      </c>
      <c r="G29" s="24" t="s">
        <v>288</v>
      </c>
      <c r="H29" s="124">
        <f t="shared" si="1"/>
        <v>44452.32</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1275514.92</v>
      </c>
      <c r="D31" s="41">
        <f>SUM(D21:D30)</f>
        <v>46275.68</v>
      </c>
      <c r="E31" s="41">
        <f>SUM(E21:E30)</f>
        <v>272712.15999999997</v>
      </c>
      <c r="F31" s="41">
        <f>SUM(F21:F30)</f>
        <v>1122202.97</v>
      </c>
      <c r="G31" s="41">
        <f>SUM(G21:G30)</f>
        <v>15326</v>
      </c>
      <c r="H31" s="41">
        <f t="shared" si="1"/>
        <v>2732031.7299999995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13760.69</v>
      </c>
      <c r="D35" s="95">
        <f>'DOE25'!G36</f>
        <v>0</v>
      </c>
      <c r="E35" s="95">
        <f>'DOE25'!H36</f>
        <v>0</v>
      </c>
      <c r="F35" s="95">
        <f>'DOE25'!I36</f>
        <v>0</v>
      </c>
      <c r="G35" s="24" t="s">
        <v>288</v>
      </c>
      <c r="H35" s="124">
        <f t="shared" si="2"/>
        <v>13760.69</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360233.64</v>
      </c>
      <c r="E39" s="24" t="s">
        <v>288</v>
      </c>
      <c r="F39" s="24" t="s">
        <v>288</v>
      </c>
      <c r="G39" s="24" t="s">
        <v>288</v>
      </c>
      <c r="H39" s="124">
        <f t="shared" si="2"/>
        <v>360233.64</v>
      </c>
      <c r="I39" s="124"/>
    </row>
    <row r="40" spans="1:9" x14ac:dyDescent="0.2">
      <c r="A40" s="1" t="s">
        <v>871</v>
      </c>
      <c r="B40" s="6"/>
      <c r="C40" s="24" t="s">
        <v>288</v>
      </c>
      <c r="D40" s="24" t="s">
        <v>288</v>
      </c>
      <c r="E40" s="24" t="s">
        <v>288</v>
      </c>
      <c r="F40" s="95">
        <f>'DOE25'!I41</f>
        <v>3994727.48</v>
      </c>
      <c r="G40" s="24" t="s">
        <v>288</v>
      </c>
      <c r="H40" s="124">
        <f t="shared" si="2"/>
        <v>3994727.48</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125000</v>
      </c>
      <c r="D43" s="95">
        <f>'DOE25'!G44</f>
        <v>0</v>
      </c>
      <c r="E43" s="95">
        <f>'DOE25'!H44</f>
        <v>0</v>
      </c>
      <c r="F43" s="95">
        <f>'DOE25'!I44</f>
        <v>0</v>
      </c>
      <c r="G43" s="24" t="s">
        <v>288</v>
      </c>
      <c r="H43" s="124">
        <f t="shared" si="2"/>
        <v>125000</v>
      </c>
      <c r="I43" s="124"/>
    </row>
    <row r="44" spans="1:9" x14ac:dyDescent="0.2">
      <c r="A44" s="1" t="s">
        <v>864</v>
      </c>
      <c r="B44" s="6">
        <v>753</v>
      </c>
      <c r="C44" s="95">
        <f>'DOE25'!F45</f>
        <v>93859.73</v>
      </c>
      <c r="D44" s="95">
        <f>'DOE25'!G45</f>
        <v>0</v>
      </c>
      <c r="E44" s="95">
        <f>'DOE25'!H45</f>
        <v>0</v>
      </c>
      <c r="F44" s="95">
        <f>'DOE25'!I45</f>
        <v>0</v>
      </c>
      <c r="G44" s="95">
        <f>'DOE25'!J45</f>
        <v>0</v>
      </c>
      <c r="H44" s="124">
        <f t="shared" si="2"/>
        <v>93859.73</v>
      </c>
      <c r="I44" s="124"/>
    </row>
    <row r="45" spans="1:9" x14ac:dyDescent="0.2">
      <c r="A45" s="1" t="s">
        <v>880</v>
      </c>
      <c r="B45" s="6"/>
      <c r="C45" s="95">
        <f>'DOE25'!F46</f>
        <v>1100000</v>
      </c>
      <c r="D45" s="24" t="s">
        <v>288</v>
      </c>
      <c r="E45" s="24" t="s">
        <v>288</v>
      </c>
      <c r="F45" s="24" t="s">
        <v>288</v>
      </c>
      <c r="G45" s="24" t="s">
        <v>288</v>
      </c>
      <c r="H45" s="124">
        <f t="shared" si="2"/>
        <v>1100000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86405.93</v>
      </c>
      <c r="F47" s="95">
        <f>'DOE25'!I48</f>
        <v>0</v>
      </c>
      <c r="G47" s="95">
        <f>'DOE25'!J48</f>
        <v>1442922.5599999998</v>
      </c>
      <c r="H47" s="124">
        <f t="shared" si="2"/>
        <v>1529328.4899999998</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1153499.24</v>
      </c>
      <c r="D49" s="24" t="s">
        <v>288</v>
      </c>
      <c r="E49" s="24" t="s">
        <v>288</v>
      </c>
      <c r="F49" s="24" t="s">
        <v>288</v>
      </c>
      <c r="G49" s="24" t="s">
        <v>288</v>
      </c>
      <c r="H49" s="124">
        <f t="shared" si="2"/>
        <v>1153499.24</v>
      </c>
      <c r="I49" s="124"/>
    </row>
    <row r="50" spans="1:9" ht="12.75" thickTop="1" thickBot="1" x14ac:dyDescent="0.25">
      <c r="A50" s="38" t="s">
        <v>884</v>
      </c>
      <c r="B50" s="48"/>
      <c r="C50" s="41">
        <f>SUM(C34:C49)</f>
        <v>2486119.66</v>
      </c>
      <c r="D50" s="41">
        <f>SUM(D34:D49)</f>
        <v>360233.64</v>
      </c>
      <c r="E50" s="41">
        <f>SUM(E34:E49)</f>
        <v>86405.93</v>
      </c>
      <c r="F50" s="41">
        <f>SUM(F34:F49)</f>
        <v>3994727.48</v>
      </c>
      <c r="G50" s="41">
        <f>SUM(G34:G49)</f>
        <v>1442922.5599999998</v>
      </c>
      <c r="H50" s="41">
        <f t="shared" si="2"/>
        <v>8370409.2700000005</v>
      </c>
      <c r="I50" s="124"/>
    </row>
    <row r="51" spans="1:9" ht="12" thickTop="1" x14ac:dyDescent="0.2">
      <c r="A51" s="38" t="s">
        <v>885</v>
      </c>
      <c r="B51" s="2"/>
      <c r="C51" s="41">
        <f>C50+C31</f>
        <v>3761634.58</v>
      </c>
      <c r="D51" s="41">
        <f>D50+D31</f>
        <v>406509.32</v>
      </c>
      <c r="E51" s="41">
        <f>E50+E31</f>
        <v>359118.08999999997</v>
      </c>
      <c r="F51" s="41">
        <f>F50+F31</f>
        <v>5116930.45</v>
      </c>
      <c r="G51" s="41">
        <f>G50+G31</f>
        <v>1458248.5599999998</v>
      </c>
      <c r="H51" s="41">
        <f t="shared" si="2"/>
        <v>11102441.000000002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34273004</v>
      </c>
      <c r="D56" s="95">
        <f>'DOE25'!G60</f>
        <v>0</v>
      </c>
      <c r="E56" s="95">
        <f>'DOE25'!H60</f>
        <v>0</v>
      </c>
      <c r="F56" s="95">
        <f>'DOE25'!I60</f>
        <v>0</v>
      </c>
      <c r="G56" s="95">
        <f>'DOE25'!J60</f>
        <v>0</v>
      </c>
      <c r="H56" s="124">
        <f t="shared" ref="H56:H63" si="3">SUM(C56:G56)</f>
        <v>34273004</v>
      </c>
      <c r="I56"/>
    </row>
    <row r="57" spans="1:9" x14ac:dyDescent="0.2">
      <c r="A57" s="1" t="s">
        <v>164</v>
      </c>
      <c r="B57" s="6" t="s">
        <v>165</v>
      </c>
      <c r="C57" s="95">
        <f>'DOE25'!F79</f>
        <v>3286021.06</v>
      </c>
      <c r="D57" s="24" t="s">
        <v>288</v>
      </c>
      <c r="E57" s="95">
        <f>'DOE25'!H79</f>
        <v>0</v>
      </c>
      <c r="F57" s="24" t="s">
        <v>288</v>
      </c>
      <c r="G57" s="24" t="s">
        <v>288</v>
      </c>
      <c r="H57" s="124">
        <f t="shared" si="3"/>
        <v>3286021.06</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2511.0500000000002</v>
      </c>
      <c r="D59" s="95">
        <f>'DOE25'!G96</f>
        <v>0</v>
      </c>
      <c r="E59" s="95">
        <f>'DOE25'!H96</f>
        <v>0</v>
      </c>
      <c r="F59" s="95">
        <f>'DOE25'!I96</f>
        <v>11776.11</v>
      </c>
      <c r="G59" s="95">
        <f>'DOE25'!J96</f>
        <v>-162209.09</v>
      </c>
      <c r="H59" s="124">
        <f t="shared" si="3"/>
        <v>-147921.93</v>
      </c>
      <c r="I59"/>
    </row>
    <row r="60" spans="1:9" x14ac:dyDescent="0.2">
      <c r="A60" s="1" t="s">
        <v>170</v>
      </c>
      <c r="B60" s="118" t="s">
        <v>171</v>
      </c>
      <c r="C60" s="24" t="s">
        <v>288</v>
      </c>
      <c r="D60" s="95">
        <f>'DOE25'!G97</f>
        <v>159211.22</v>
      </c>
      <c r="E60" s="24" t="s">
        <v>288</v>
      </c>
      <c r="F60" s="24" t="s">
        <v>288</v>
      </c>
      <c r="G60" s="24" t="s">
        <v>288</v>
      </c>
      <c r="H60" s="124">
        <f t="shared" si="3"/>
        <v>159211.22</v>
      </c>
      <c r="I60"/>
    </row>
    <row r="61" spans="1:9" ht="12" thickBot="1" x14ac:dyDescent="0.25">
      <c r="A61" s="1" t="s">
        <v>172</v>
      </c>
      <c r="B61" s="118" t="s">
        <v>173</v>
      </c>
      <c r="C61" s="95">
        <f>SUM('DOE25'!F98:F110)</f>
        <v>178195.15</v>
      </c>
      <c r="D61" s="95">
        <f>SUM('DOE25'!G98:G110)</f>
        <v>20767.53</v>
      </c>
      <c r="E61" s="95">
        <f>SUM('DOE25'!H98:H110)</f>
        <v>116586.72</v>
      </c>
      <c r="F61" s="95">
        <f>SUM('DOE25'!I98:I110)</f>
        <v>0</v>
      </c>
      <c r="G61" s="95">
        <f>SUM('DOE25'!J98:J110)</f>
        <v>8974</v>
      </c>
      <c r="H61" s="124">
        <f t="shared" si="3"/>
        <v>324523.40000000002</v>
      </c>
      <c r="I61"/>
    </row>
    <row r="62" spans="1:9" ht="12.75" thickTop="1" thickBot="1" x14ac:dyDescent="0.25">
      <c r="A62" s="29" t="s">
        <v>174</v>
      </c>
      <c r="B62" s="6"/>
      <c r="C62" s="130">
        <f>SUM(C57:C61)</f>
        <v>3466727.26</v>
      </c>
      <c r="D62" s="130">
        <f>SUM(D57:D61)</f>
        <v>179978.75</v>
      </c>
      <c r="E62" s="130">
        <f>SUM(E57:E61)</f>
        <v>116586.72</v>
      </c>
      <c r="F62" s="130">
        <f>SUM(F57:F61)</f>
        <v>11776.11</v>
      </c>
      <c r="G62" s="130">
        <f>SUM(G57:G61)</f>
        <v>-153235.09</v>
      </c>
      <c r="H62" s="124">
        <f t="shared" si="3"/>
        <v>3621833.75</v>
      </c>
      <c r="I62"/>
    </row>
    <row r="63" spans="1:9" ht="12" thickTop="1" x14ac:dyDescent="0.2">
      <c r="A63" s="29" t="s">
        <v>175</v>
      </c>
      <c r="B63" s="6"/>
      <c r="C63" s="22">
        <f>C56+C62</f>
        <v>37739731.259999998</v>
      </c>
      <c r="D63" s="22">
        <f>D56+D62</f>
        <v>179978.75</v>
      </c>
      <c r="E63" s="22">
        <f>E56+E62</f>
        <v>116586.72</v>
      </c>
      <c r="F63" s="22">
        <f>F56+F62</f>
        <v>11776.11</v>
      </c>
      <c r="G63" s="22">
        <f>G56+G62</f>
        <v>-153235.09</v>
      </c>
      <c r="H63" s="124">
        <f t="shared" si="3"/>
        <v>37894837.749999993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5503125.8399999999</v>
      </c>
      <c r="D66" s="24" t="s">
        <v>288</v>
      </c>
      <c r="E66" s="24" t="s">
        <v>288</v>
      </c>
      <c r="F66" s="24" t="s">
        <v>288</v>
      </c>
      <c r="G66" s="24" t="s">
        <v>288</v>
      </c>
      <c r="H66" s="124">
        <f t="shared" ref="H66:H81" si="4">SUM(C66:G66)</f>
        <v>5503125.8399999999</v>
      </c>
      <c r="I66"/>
    </row>
    <row r="67" spans="1:9" x14ac:dyDescent="0.2">
      <c r="A67" s="1" t="s">
        <v>770</v>
      </c>
      <c r="B67" s="6">
        <v>3112</v>
      </c>
      <c r="C67" s="95">
        <f>'DOE25'!F118</f>
        <v>3904459</v>
      </c>
      <c r="D67" s="24"/>
      <c r="E67" s="24"/>
      <c r="F67" s="24"/>
      <c r="G67" s="24"/>
      <c r="H67" s="124">
        <f t="shared" si="4"/>
        <v>3904459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9407584.8399999999</v>
      </c>
      <c r="D70" s="139">
        <f>D69</f>
        <v>0</v>
      </c>
      <c r="E70" s="139">
        <f>E69</f>
        <v>0</v>
      </c>
      <c r="F70" s="139">
        <f>F69</f>
        <v>0</v>
      </c>
      <c r="G70" s="139">
        <f>G69</f>
        <v>0</v>
      </c>
      <c r="H70" s="124">
        <f t="shared" si="4"/>
        <v>9407584.8399999999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523742.09</v>
      </c>
      <c r="D72" s="24" t="s">
        <v>288</v>
      </c>
      <c r="E72" s="24" t="s">
        <v>288</v>
      </c>
      <c r="F72" s="95">
        <f>'DOE25'!I123</f>
        <v>0</v>
      </c>
      <c r="G72" s="24" t="s">
        <v>288</v>
      </c>
      <c r="H72" s="124">
        <f t="shared" si="4"/>
        <v>523742.09</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94722.74</v>
      </c>
      <c r="D75" s="24" t="s">
        <v>288</v>
      </c>
      <c r="E75" s="24" t="s">
        <v>288</v>
      </c>
      <c r="F75" s="24" t="s">
        <v>288</v>
      </c>
      <c r="G75" s="24" t="s">
        <v>288</v>
      </c>
      <c r="H75" s="124">
        <f t="shared" si="4"/>
        <v>94722.74</v>
      </c>
      <c r="I75"/>
    </row>
    <row r="76" spans="1:9" x14ac:dyDescent="0.2">
      <c r="A76" s="1" t="s">
        <v>257</v>
      </c>
      <c r="B76" s="6" t="s">
        <v>179</v>
      </c>
      <c r="C76" s="95">
        <f>SUM('DOE25'!F127:F130)</f>
        <v>1965.6</v>
      </c>
      <c r="D76" s="24" t="s">
        <v>288</v>
      </c>
      <c r="E76" s="95">
        <f>SUM('DOE25'!H127:H130)</f>
        <v>0</v>
      </c>
      <c r="F76" s="95">
        <f>SUM('DOE25'!I127:I130)</f>
        <v>0</v>
      </c>
      <c r="G76" s="24" t="s">
        <v>288</v>
      </c>
      <c r="H76" s="124">
        <f t="shared" si="4"/>
        <v>1965.6</v>
      </c>
      <c r="I76"/>
    </row>
    <row r="77" spans="1:9" ht="12" thickBot="1" x14ac:dyDescent="0.25">
      <c r="A77" s="1" t="s">
        <v>258</v>
      </c>
      <c r="B77" s="6" t="s">
        <v>180</v>
      </c>
      <c r="C77" s="95">
        <f>SUM('DOE25'!F131:F135)</f>
        <v>0</v>
      </c>
      <c r="D77" s="95">
        <f>SUM('DOE25'!G131:G135)</f>
        <v>2065.8000000000002</v>
      </c>
      <c r="E77" s="95">
        <f>SUM('DOE25'!H131:H135)</f>
        <v>11712.69</v>
      </c>
      <c r="F77" s="95">
        <f>SUM('DOE25'!I131:I135)</f>
        <v>0</v>
      </c>
      <c r="G77" s="95">
        <f>SUM('DOE25'!J131:J135)</f>
        <v>0</v>
      </c>
      <c r="H77" s="124">
        <f t="shared" si="4"/>
        <v>13778.490000000002</v>
      </c>
      <c r="I77"/>
    </row>
    <row r="78" spans="1:9" ht="12.75" thickTop="1" thickBot="1" x14ac:dyDescent="0.25">
      <c r="A78" s="29" t="s">
        <v>259</v>
      </c>
      <c r="B78" s="6"/>
      <c r="C78" s="130">
        <f>SUM(C72:C77)</f>
        <v>620430.43000000005</v>
      </c>
      <c r="D78" s="130">
        <f>SUM(D72:D77)</f>
        <v>2065.8000000000002</v>
      </c>
      <c r="E78" s="130">
        <f>SUM(E72:E77)</f>
        <v>11712.69</v>
      </c>
      <c r="F78" s="130">
        <f>SUM(F72:F77)</f>
        <v>0</v>
      </c>
      <c r="G78" s="130">
        <f>SUM(G72:G77)</f>
        <v>0</v>
      </c>
      <c r="H78" s="124">
        <f t="shared" si="4"/>
        <v>634208.92000000004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10028015.27</v>
      </c>
      <c r="D81" s="130">
        <f>SUM(D79:D80)+D78+D70</f>
        <v>2065.8000000000002</v>
      </c>
      <c r="E81" s="130">
        <f>SUM(E79:E80)+E78+E70</f>
        <v>11712.69</v>
      </c>
      <c r="F81" s="130">
        <f>SUM(F79:F80)+F78+F70</f>
        <v>0</v>
      </c>
      <c r="G81" s="130">
        <f>SUM(G79:G80)+G78+G70</f>
        <v>0</v>
      </c>
      <c r="H81" s="130">
        <f t="shared" si="4"/>
        <v>10041793.76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39537.839999999997</v>
      </c>
      <c r="D85" s="95">
        <f>'DOE25'!G147</f>
        <v>0</v>
      </c>
      <c r="E85" s="95">
        <f>'DOE25'!H147</f>
        <v>0</v>
      </c>
      <c r="F85" s="95">
        <f>'DOE25'!I147</f>
        <v>0</v>
      </c>
      <c r="G85" s="24" t="s">
        <v>288</v>
      </c>
      <c r="H85" s="124">
        <f t="shared" ref="H85:H104" si="5">SUM(C85:G85)</f>
        <v>39537.839999999997</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4" t="s">
        <v>184</v>
      </c>
      <c r="C88" s="325">
        <f>SUM('DOE25'!F153:F162)</f>
        <v>139063.72</v>
      </c>
      <c r="D88" s="325">
        <f>SUM('DOE25'!G153:G162)</f>
        <v>1132392.98</v>
      </c>
      <c r="E88" s="325">
        <f>SUM('DOE25'!H153:H162)</f>
        <v>940743.05</v>
      </c>
      <c r="F88" s="325">
        <f>SUM('DOE25'!I153:I162)</f>
        <v>0</v>
      </c>
      <c r="G88" s="24" t="s">
        <v>288</v>
      </c>
      <c r="H88" s="124">
        <f t="shared" si="5"/>
        <v>2212199.75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178601.56</v>
      </c>
      <c r="D91" s="131">
        <f>SUM(D85:D90)</f>
        <v>1132392.98</v>
      </c>
      <c r="E91" s="131">
        <f>SUM(E85:E90)</f>
        <v>940743.05</v>
      </c>
      <c r="F91" s="131">
        <f>SUM(F85:F90)</f>
        <v>0</v>
      </c>
      <c r="G91" s="24" t="s">
        <v>288</v>
      </c>
      <c r="H91" s="124">
        <f t="shared" si="5"/>
        <v>2251737.59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24847732</v>
      </c>
      <c r="G93" s="24" t="s">
        <v>288</v>
      </c>
      <c r="H93" s="124">
        <f t="shared" si="5"/>
        <v>24847732</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125000</v>
      </c>
      <c r="H96" s="124">
        <f t="shared" si="5"/>
        <v>125000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200000</v>
      </c>
      <c r="D100" s="95">
        <f>SUM('DOE25'!G187:G188)</f>
        <v>0</v>
      </c>
      <c r="E100" s="95">
        <f>SUM('DOE25'!H187:H188)</f>
        <v>0</v>
      </c>
      <c r="F100" s="95">
        <f>SUM('DOE25'!I187:I188)</f>
        <v>0</v>
      </c>
      <c r="G100" s="24" t="s">
        <v>288</v>
      </c>
      <c r="H100" s="124">
        <f t="shared" si="5"/>
        <v>200000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200000</v>
      </c>
      <c r="D103" s="86">
        <f>SUM(D93:D102)</f>
        <v>0</v>
      </c>
      <c r="E103" s="86">
        <f>SUM(E93:E102)</f>
        <v>0</v>
      </c>
      <c r="F103" s="86">
        <f>SUM(F93:F102)</f>
        <v>24847732</v>
      </c>
      <c r="G103" s="86">
        <f>SUM(G93:G102)</f>
        <v>125000</v>
      </c>
      <c r="H103" s="86">
        <f t="shared" si="5"/>
        <v>25172732</v>
      </c>
    </row>
    <row r="104" spans="1:8" ht="12.75" thickTop="1" thickBot="1" x14ac:dyDescent="0.25">
      <c r="A104" s="33" t="s">
        <v>761</v>
      </c>
      <c r="C104" s="86">
        <f>C63+C81+C91+C103</f>
        <v>48146348.090000004</v>
      </c>
      <c r="D104" s="86">
        <f>D63+D81+D91+D103</f>
        <v>1314437.53</v>
      </c>
      <c r="E104" s="86">
        <f>E63+E81+E91+E103</f>
        <v>1069042.46</v>
      </c>
      <c r="F104" s="86">
        <f>F63+F81+F91+F103</f>
        <v>24859508.109999999</v>
      </c>
      <c r="G104" s="86">
        <f>G63+G81+G103</f>
        <v>-28235.089999999997</v>
      </c>
      <c r="H104" s="86">
        <f t="shared" si="5"/>
        <v>75361101.099999994</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19752315.389999997</v>
      </c>
      <c r="D109" s="24" t="s">
        <v>288</v>
      </c>
      <c r="E109" s="95">
        <f>('DOE25'!L277)+('DOE25'!L296)+('DOE25'!L315)</f>
        <v>191537.65000000002</v>
      </c>
      <c r="F109" s="24" t="s">
        <v>288</v>
      </c>
      <c r="G109" s="24" t="s">
        <v>288</v>
      </c>
      <c r="H109" s="124">
        <f t="shared" ref="H109:H115" si="6">SUM(C109:G109)</f>
        <v>19943853.039999995</v>
      </c>
    </row>
    <row r="110" spans="1:8" x14ac:dyDescent="0.2">
      <c r="A110" t="s">
        <v>198</v>
      </c>
      <c r="B110" s="32" t="s">
        <v>199</v>
      </c>
      <c r="C110" s="95">
        <f>('DOE25'!L199)+('DOE25'!L217)+('DOE25'!L235)</f>
        <v>6490582.5099999998</v>
      </c>
      <c r="D110" s="24" t="s">
        <v>288</v>
      </c>
      <c r="E110" s="95">
        <f>('DOE25'!L278)+('DOE25'!L297)+('DOE25'!L316)</f>
        <v>503001.9</v>
      </c>
      <c r="F110" s="24" t="s">
        <v>288</v>
      </c>
      <c r="G110" s="24" t="s">
        <v>288</v>
      </c>
      <c r="H110" s="124">
        <f t="shared" si="6"/>
        <v>6993584.4100000001</v>
      </c>
    </row>
    <row r="111" spans="1:8" x14ac:dyDescent="0.2">
      <c r="A111" t="s">
        <v>200</v>
      </c>
      <c r="B111" s="32" t="s">
        <v>165</v>
      </c>
      <c r="C111" s="95">
        <f>('DOE25'!L200)+('DOE25'!L218)+('DOE25'!L236)</f>
        <v>75786.63</v>
      </c>
      <c r="D111" s="24" t="s">
        <v>288</v>
      </c>
      <c r="E111" s="95">
        <f>('DOE25'!L279)+('DOE25'!L298)+('DOE25'!L317)</f>
        <v>0</v>
      </c>
      <c r="F111" s="24" t="s">
        <v>288</v>
      </c>
      <c r="G111" s="24" t="s">
        <v>288</v>
      </c>
      <c r="H111" s="124">
        <f t="shared" si="6"/>
        <v>75786.63</v>
      </c>
    </row>
    <row r="112" spans="1:8" x14ac:dyDescent="0.2">
      <c r="A112" t="s">
        <v>201</v>
      </c>
      <c r="B112" s="32" t="s">
        <v>167</v>
      </c>
      <c r="C112" s="95">
        <f>('DOE25'!L201)+('DOE25'!L219)+('DOE25'!L237)</f>
        <v>720800.16999999993</v>
      </c>
      <c r="D112" s="24" t="s">
        <v>288</v>
      </c>
      <c r="E112" s="95">
        <f>+('DOE25'!L280)+('DOE25'!L299)+('DOE25'!L318)</f>
        <v>117519.12999999999</v>
      </c>
      <c r="F112" s="24" t="s">
        <v>288</v>
      </c>
      <c r="G112" s="24" t="s">
        <v>288</v>
      </c>
      <c r="H112" s="124">
        <f t="shared" si="6"/>
        <v>838319.29999999993</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27039484.699999996</v>
      </c>
      <c r="D115" s="86">
        <f>SUM(D109:D114)</f>
        <v>0</v>
      </c>
      <c r="E115" s="86">
        <f>SUM(E109:E114)</f>
        <v>812058.68</v>
      </c>
      <c r="F115" s="86">
        <f>SUM(F109:F114)</f>
        <v>0</v>
      </c>
      <c r="G115" s="86">
        <f>SUM(G109:G114)</f>
        <v>0</v>
      </c>
      <c r="H115" s="86">
        <f t="shared" si="6"/>
        <v>27851543.379999995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4555863.24</v>
      </c>
      <c r="D118" s="24" t="s">
        <v>288</v>
      </c>
      <c r="E118" s="95">
        <f>+('DOE25'!L282)+('DOE25'!L301)+('DOE25'!L320)</f>
        <v>77112</v>
      </c>
      <c r="F118" s="24" t="s">
        <v>288</v>
      </c>
      <c r="G118" s="24" t="s">
        <v>288</v>
      </c>
      <c r="H118" s="124">
        <f t="shared" ref="H118:H145" si="7">SUM(C118:G118)</f>
        <v>4632975.24</v>
      </c>
    </row>
    <row r="119" spans="1:8" x14ac:dyDescent="0.2">
      <c r="A119" t="s">
        <v>208</v>
      </c>
      <c r="B119" s="32" t="s">
        <v>209</v>
      </c>
      <c r="C119" s="95">
        <f>('DOE25'!L204)+('DOE25'!L222)+('DOE25'!L240)</f>
        <v>878346.54</v>
      </c>
      <c r="D119" s="24" t="s">
        <v>288</v>
      </c>
      <c r="E119" s="95">
        <f>+('DOE25'!L283)+('DOE25'!L302)+('DOE25'!L321)</f>
        <v>83164.13</v>
      </c>
      <c r="F119" s="24" t="s">
        <v>288</v>
      </c>
      <c r="G119" s="24" t="s">
        <v>288</v>
      </c>
      <c r="H119" s="124">
        <f t="shared" si="7"/>
        <v>961510.67</v>
      </c>
    </row>
    <row r="120" spans="1:8" x14ac:dyDescent="0.2">
      <c r="A120" t="s">
        <v>210</v>
      </c>
      <c r="B120" s="32" t="s">
        <v>211</v>
      </c>
      <c r="C120" s="95">
        <f>('DOE25'!L205)+('DOE25'!L223)+('DOE25'!L241)</f>
        <v>1665991.8</v>
      </c>
      <c r="D120" s="24" t="s">
        <v>288</v>
      </c>
      <c r="E120" s="95">
        <f>+('DOE25'!L284)+('DOE25'!L303)+('DOE25'!L322)</f>
        <v>0</v>
      </c>
      <c r="F120" s="24" t="s">
        <v>288</v>
      </c>
      <c r="G120" s="24" t="s">
        <v>288</v>
      </c>
      <c r="H120" s="124">
        <f t="shared" si="7"/>
        <v>1665991.8</v>
      </c>
    </row>
    <row r="121" spans="1:8" x14ac:dyDescent="0.2">
      <c r="A121" t="s">
        <v>212</v>
      </c>
      <c r="B121" s="32" t="s">
        <v>213</v>
      </c>
      <c r="C121" s="95">
        <f>('DOE25'!L206)+('DOE25'!L224)+('DOE25'!L242)</f>
        <v>1998252.67</v>
      </c>
      <c r="D121" s="24" t="s">
        <v>288</v>
      </c>
      <c r="E121" s="95">
        <f>+('DOE25'!L285)+('DOE25'!L304)+('DOE25'!L323)</f>
        <v>0</v>
      </c>
      <c r="F121" s="24" t="s">
        <v>288</v>
      </c>
      <c r="G121" s="24" t="s">
        <v>288</v>
      </c>
      <c r="H121" s="124">
        <f t="shared" si="7"/>
        <v>1998252.67</v>
      </c>
    </row>
    <row r="122" spans="1:8" x14ac:dyDescent="0.2">
      <c r="A122" t="s">
        <v>214</v>
      </c>
      <c r="B122" s="32" t="s">
        <v>215</v>
      </c>
      <c r="C122" s="95">
        <f>('DOE25'!L207)+('DOE25'!L225)+('DOE25'!L243)</f>
        <v>760465.79</v>
      </c>
      <c r="D122" s="24" t="s">
        <v>288</v>
      </c>
      <c r="E122" s="95">
        <f>+('DOE25'!L286)+('DOE25'!L305)+('DOE25'!L324)</f>
        <v>0</v>
      </c>
      <c r="F122" s="24" t="s">
        <v>288</v>
      </c>
      <c r="G122" s="24" t="s">
        <v>288</v>
      </c>
      <c r="H122" s="124">
        <f t="shared" si="7"/>
        <v>760465.79</v>
      </c>
    </row>
    <row r="123" spans="1:8" x14ac:dyDescent="0.2">
      <c r="A123" t="s">
        <v>216</v>
      </c>
      <c r="B123" s="32" t="s">
        <v>217</v>
      </c>
      <c r="C123" s="95">
        <f>('DOE25'!L208)+('DOE25'!L226)+('DOE25'!L244)</f>
        <v>4304093.55</v>
      </c>
      <c r="D123" s="24" t="s">
        <v>288</v>
      </c>
      <c r="E123" s="95">
        <f>+('DOE25'!L287)+('DOE25'!L306)+('DOE25'!L325)</f>
        <v>0</v>
      </c>
      <c r="F123" s="24" t="s">
        <v>288</v>
      </c>
      <c r="G123" s="24" t="s">
        <v>288</v>
      </c>
      <c r="H123" s="124">
        <f t="shared" si="7"/>
        <v>4304093.55</v>
      </c>
    </row>
    <row r="124" spans="1:8" x14ac:dyDescent="0.2">
      <c r="A124" t="s">
        <v>218</v>
      </c>
      <c r="B124" s="32" t="s">
        <v>219</v>
      </c>
      <c r="C124" s="95">
        <f>('DOE25'!L209)+('DOE25'!L227)+('DOE25'!L245+'DOE25'!L255)</f>
        <v>2162548.31</v>
      </c>
      <c r="D124" s="24" t="s">
        <v>288</v>
      </c>
      <c r="E124" s="95">
        <f>+('DOE25'!L288)+('DOE25'!L307)+('DOE25'!L326)</f>
        <v>0</v>
      </c>
      <c r="F124" s="24" t="s">
        <v>288</v>
      </c>
      <c r="G124" s="24" t="s">
        <v>288</v>
      </c>
      <c r="H124" s="124">
        <f t="shared" si="7"/>
        <v>2162548.31</v>
      </c>
    </row>
    <row r="125" spans="1:8" x14ac:dyDescent="0.2">
      <c r="A125" t="s">
        <v>220</v>
      </c>
      <c r="B125" s="32" t="s">
        <v>221</v>
      </c>
      <c r="C125" s="95">
        <f>('DOE25'!L210)+('DOE25'!L228)+('DOE25'!L246)</f>
        <v>1524682.82</v>
      </c>
      <c r="D125" s="24" t="s">
        <v>288</v>
      </c>
      <c r="E125" s="95">
        <f>+('DOE25'!L289)+('DOE25'!L308)+('DOE25'!L327)</f>
        <v>57938.239999999998</v>
      </c>
      <c r="F125" s="24" t="s">
        <v>288</v>
      </c>
      <c r="G125" s="24" t="s">
        <v>288</v>
      </c>
      <c r="H125" s="124">
        <f t="shared" si="7"/>
        <v>1582621.06</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954203.83100000001</v>
      </c>
      <c r="E127" s="24" t="s">
        <v>288</v>
      </c>
      <c r="F127" s="24" t="s">
        <v>288</v>
      </c>
      <c r="G127" s="24" t="s">
        <v>288</v>
      </c>
      <c r="H127" s="124">
        <f t="shared" si="7"/>
        <v>954203.83100000001</v>
      </c>
    </row>
    <row r="128" spans="1:8" ht="12.75" thickTop="1" thickBot="1" x14ac:dyDescent="0.25">
      <c r="A128" s="33" t="s">
        <v>226</v>
      </c>
      <c r="C128" s="86">
        <f>SUM(C118:C127)</f>
        <v>17850244.719999999</v>
      </c>
      <c r="D128" s="86">
        <f>SUM(D118:D127)</f>
        <v>954203.83100000001</v>
      </c>
      <c r="E128" s="86">
        <f>SUM(E118:E127)</f>
        <v>218214.37</v>
      </c>
      <c r="F128" s="86">
        <f>SUM(F118:F127)</f>
        <v>0</v>
      </c>
      <c r="G128" s="86">
        <f>SUM(G118:G127)</f>
        <v>0</v>
      </c>
      <c r="H128" s="86">
        <f t="shared" si="7"/>
        <v>19022662.921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519533.89</v>
      </c>
      <c r="D130" s="24" t="s">
        <v>288</v>
      </c>
      <c r="E130" s="129">
        <f>'DOE25'!L337</f>
        <v>0</v>
      </c>
      <c r="F130" s="129">
        <f>SUM('DOE25'!L375:'DOE25'!L381)</f>
        <v>16215787.720000001</v>
      </c>
      <c r="G130" s="24" t="s">
        <v>288</v>
      </c>
      <c r="H130" s="124">
        <f t="shared" si="7"/>
        <v>16735321.610000001</v>
      </c>
    </row>
    <row r="131" spans="1:8" x14ac:dyDescent="0.2">
      <c r="A131" t="s">
        <v>229</v>
      </c>
      <c r="B131" s="32">
        <v>5110</v>
      </c>
      <c r="C131" s="95">
        <f>'DOE25'!L261</f>
        <v>1285000</v>
      </c>
      <c r="D131" s="24" t="s">
        <v>288</v>
      </c>
      <c r="E131" s="129">
        <f>'DOE25'!L342</f>
        <v>0</v>
      </c>
      <c r="F131" s="24" t="s">
        <v>288</v>
      </c>
      <c r="G131" s="24" t="s">
        <v>288</v>
      </c>
      <c r="H131" s="124">
        <f t="shared" si="7"/>
        <v>1285000</v>
      </c>
    </row>
    <row r="132" spans="1:8" x14ac:dyDescent="0.2">
      <c r="A132" t="s">
        <v>230</v>
      </c>
      <c r="B132" s="32">
        <v>5120</v>
      </c>
      <c r="C132" s="95">
        <f>'DOE25'!L262</f>
        <v>1168999.08</v>
      </c>
      <c r="D132" s="24" t="s">
        <v>288</v>
      </c>
      <c r="E132" s="129">
        <f>'DOE25'!L343</f>
        <v>0</v>
      </c>
      <c r="F132" s="24" t="s">
        <v>288</v>
      </c>
      <c r="G132" s="24" t="s">
        <v>288</v>
      </c>
      <c r="H132" s="124">
        <f t="shared" si="7"/>
        <v>1168999.08</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3005383.33</v>
      </c>
      <c r="G134" s="95">
        <f>'DOE25'!K435</f>
        <v>214750</v>
      </c>
      <c r="H134" s="124">
        <f t="shared" si="7"/>
        <v>3220133.33</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-26663.81</v>
      </c>
      <c r="D138" s="24" t="s">
        <v>288</v>
      </c>
      <c r="E138" s="24" t="s">
        <v>288</v>
      </c>
      <c r="F138" s="24" t="s">
        <v>288</v>
      </c>
      <c r="G138" s="24" t="s">
        <v>288</v>
      </c>
      <c r="H138" s="124">
        <f t="shared" si="7"/>
        <v>-26663.81</v>
      </c>
    </row>
    <row r="139" spans="1:8" x14ac:dyDescent="0.2">
      <c r="A139" t="s">
        <v>239</v>
      </c>
      <c r="B139" s="32">
        <v>5252</v>
      </c>
      <c r="C139" s="95">
        <f>'DOE25'!L402</f>
        <v>-1571.2799999999916</v>
      </c>
      <c r="D139" s="24" t="s">
        <v>288</v>
      </c>
      <c r="E139" s="24" t="s">
        <v>288</v>
      </c>
      <c r="F139" s="24" t="s">
        <v>288</v>
      </c>
      <c r="G139" s="24" t="s">
        <v>288</v>
      </c>
      <c r="H139" s="124">
        <f t="shared" si="7"/>
        <v>-1571.2799999999916</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153235.09</v>
      </c>
      <c r="D141" s="24" t="s">
        <v>288</v>
      </c>
      <c r="E141" s="24" t="s">
        <v>288</v>
      </c>
      <c r="F141" s="24" t="s">
        <v>288</v>
      </c>
      <c r="G141" s="24" t="s">
        <v>288</v>
      </c>
      <c r="H141" s="124">
        <f t="shared" si="7"/>
        <v>153235.09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3098532.97</v>
      </c>
      <c r="D144" s="141">
        <f>SUM(D130:D143)</f>
        <v>0</v>
      </c>
      <c r="E144" s="141">
        <f>SUM(E130:E143)</f>
        <v>0</v>
      </c>
      <c r="F144" s="141">
        <f>SUM(F130:F143)</f>
        <v>19221171.050000001</v>
      </c>
      <c r="G144" s="141">
        <f>SUM(G130:G143)</f>
        <v>214750</v>
      </c>
      <c r="H144" s="141">
        <f t="shared" si="7"/>
        <v>22534454.02</v>
      </c>
    </row>
    <row r="145" spans="1:9" ht="12.75" thickTop="1" thickBot="1" x14ac:dyDescent="0.25">
      <c r="A145" s="33" t="s">
        <v>244</v>
      </c>
      <c r="C145" s="86">
        <f>(C115+C128+C144)</f>
        <v>47988262.389999993</v>
      </c>
      <c r="D145" s="86">
        <f>(D115+D128+D144)</f>
        <v>954203.83100000001</v>
      </c>
      <c r="E145" s="86">
        <f>(E115+E128+E144)</f>
        <v>1030273.05</v>
      </c>
      <c r="F145" s="86">
        <f>(F115+F128+F144)</f>
        <v>19221171.050000001</v>
      </c>
      <c r="G145" s="86">
        <f>(G115+G128+G144)</f>
        <v>214750</v>
      </c>
      <c r="H145" s="86">
        <f t="shared" si="7"/>
        <v>69408660.320999995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25</v>
      </c>
      <c r="D151" s="153">
        <f>'DOE25'!H491</f>
        <v>25</v>
      </c>
      <c r="E151" s="153">
        <f>'DOE25'!I491</f>
        <v>20</v>
      </c>
      <c r="F151" s="153">
        <f>'DOE25'!J491</f>
        <v>20</v>
      </c>
      <c r="G151" s="24" t="s">
        <v>288</v>
      </c>
    </row>
    <row r="152" spans="1:9" x14ac:dyDescent="0.2">
      <c r="A152" s="136" t="s">
        <v>28</v>
      </c>
      <c r="B152" s="152" t="str">
        <f>'DOE25'!F492</f>
        <v>6/16</v>
      </c>
      <c r="C152" s="152" t="str">
        <f>'DOE25'!G492</f>
        <v>07/20</v>
      </c>
      <c r="D152" s="152" t="str">
        <f>'DOE25'!H492</f>
        <v>08/21</v>
      </c>
      <c r="E152" s="152" t="str">
        <f>'DOE25'!I492</f>
        <v>11/01</v>
      </c>
      <c r="F152" s="152" t="str">
        <f>'DOE25'!J492</f>
        <v>08/03</v>
      </c>
      <c r="G152" s="24" t="s">
        <v>288</v>
      </c>
    </row>
    <row r="153" spans="1:9" x14ac:dyDescent="0.2">
      <c r="A153" s="136" t="s">
        <v>29</v>
      </c>
      <c r="B153" s="152" t="str">
        <f>'DOE25'!F493</f>
        <v>07/26</v>
      </c>
      <c r="C153" s="152" t="str">
        <f>'DOE25'!G493</f>
        <v>08/45</v>
      </c>
      <c r="D153" s="152" t="str">
        <f>'DOE25'!H493</f>
        <v>08/46</v>
      </c>
      <c r="E153" s="152" t="str">
        <f>'DOE25'!I493</f>
        <v>11/21</v>
      </c>
      <c r="F153" s="152" t="str">
        <f>'DOE25'!J493</f>
        <v>02/23</v>
      </c>
      <c r="G153" s="24" t="s">
        <v>288</v>
      </c>
    </row>
    <row r="154" spans="1:9" x14ac:dyDescent="0.2">
      <c r="A154" s="136" t="s">
        <v>30</v>
      </c>
      <c r="B154" s="137">
        <f>'DOE25'!F494</f>
        <v>1500000</v>
      </c>
      <c r="C154" s="137">
        <f>'DOE25'!G494</f>
        <v>23041800</v>
      </c>
      <c r="D154" s="137">
        <f>'DOE25'!H494</f>
        <v>22513950</v>
      </c>
      <c r="E154" s="137">
        <f>'DOE25'!I494</f>
        <v>2300000</v>
      </c>
      <c r="F154" s="137">
        <f>'DOE25'!J494</f>
        <v>20406711</v>
      </c>
      <c r="G154" s="24" t="s">
        <v>288</v>
      </c>
    </row>
    <row r="155" spans="1:9" x14ac:dyDescent="0.2">
      <c r="A155" s="136" t="s">
        <v>31</v>
      </c>
      <c r="B155" s="137">
        <f>'DOE25'!F495</f>
        <v>1.88</v>
      </c>
      <c r="C155" s="137">
        <f>'DOE25'!G495</f>
        <v>1.97</v>
      </c>
      <c r="D155" s="137">
        <f>'DOE25'!H495</f>
        <v>2.0099999999999998</v>
      </c>
      <c r="E155" s="137">
        <f>'DOE25'!I495</f>
        <v>4.22</v>
      </c>
      <c r="F155" s="137">
        <f>'DOE25'!J495</f>
        <v>4.09</v>
      </c>
      <c r="G155" s="24" t="s">
        <v>288</v>
      </c>
    </row>
    <row r="156" spans="1:9" x14ac:dyDescent="0.2">
      <c r="A156" s="22" t="s">
        <v>32</v>
      </c>
      <c r="B156" s="137">
        <f>'DOE25'!F496</f>
        <v>900000</v>
      </c>
      <c r="C156" s="137">
        <f>'DOE25'!G496</f>
        <v>23041800</v>
      </c>
      <c r="D156" s="137">
        <f>'DOE25'!H496</f>
        <v>0</v>
      </c>
      <c r="E156" s="137">
        <f>'DOE25'!I496</f>
        <v>115000</v>
      </c>
      <c r="F156" s="137">
        <f>'DOE25'!J496</f>
        <v>1020000</v>
      </c>
      <c r="G156" s="138">
        <f>SUM(B156:F156)</f>
        <v>25076800</v>
      </c>
    </row>
    <row r="157" spans="1:9" x14ac:dyDescent="0.2">
      <c r="A157" s="22" t="s">
        <v>33</v>
      </c>
      <c r="B157" s="137">
        <f>'DOE25'!F497</f>
        <v>0</v>
      </c>
      <c r="C157" s="137">
        <f>'DOE25'!G497</f>
        <v>0</v>
      </c>
      <c r="D157" s="137">
        <f>'DOE25'!H497</f>
        <v>22513950</v>
      </c>
      <c r="E157" s="137">
        <f>'DOE25'!I497</f>
        <v>0</v>
      </c>
      <c r="F157" s="137">
        <f>'DOE25'!J497</f>
        <v>0</v>
      </c>
      <c r="G157" s="138">
        <f t="shared" ref="G157:G164" si="8">SUM(B157:F157)</f>
        <v>22513950</v>
      </c>
    </row>
    <row r="158" spans="1:9" x14ac:dyDescent="0.2">
      <c r="A158" s="22" t="s">
        <v>34</v>
      </c>
      <c r="B158" s="137">
        <f>'DOE25'!F498</f>
        <v>150000</v>
      </c>
      <c r="C158" s="137">
        <f>'DOE25'!G498</f>
        <v>0</v>
      </c>
      <c r="D158" s="137">
        <f>'DOE25'!H498</f>
        <v>0</v>
      </c>
      <c r="E158" s="137">
        <f>'DOE25'!I498</f>
        <v>115000</v>
      </c>
      <c r="F158" s="137">
        <f>'DOE25'!J498</f>
        <v>1020000</v>
      </c>
      <c r="G158" s="138">
        <f t="shared" si="8"/>
        <v>1285000</v>
      </c>
    </row>
    <row r="159" spans="1:9" x14ac:dyDescent="0.2">
      <c r="A159" s="22" t="s">
        <v>35</v>
      </c>
      <c r="B159" s="137">
        <f>'DOE25'!F499</f>
        <v>750000</v>
      </c>
      <c r="C159" s="137">
        <f>'DOE25'!G499</f>
        <v>23041800</v>
      </c>
      <c r="D159" s="137">
        <f>'DOE25'!H499</f>
        <v>22513950</v>
      </c>
      <c r="E159" s="137">
        <f>'DOE25'!I499</f>
        <v>0</v>
      </c>
      <c r="F159" s="137">
        <f>'DOE25'!J499</f>
        <v>1020000</v>
      </c>
      <c r="G159" s="138">
        <f t="shared" si="8"/>
        <v>47325750</v>
      </c>
    </row>
    <row r="160" spans="1:9" x14ac:dyDescent="0.2">
      <c r="A160" s="22" t="s">
        <v>36</v>
      </c>
      <c r="B160" s="137">
        <f>'DOE25'!F500</f>
        <v>42300</v>
      </c>
      <c r="C160" s="137">
        <f>'DOE25'!G500</f>
        <v>8065481.0499999998</v>
      </c>
      <c r="D160" s="137">
        <f>'DOE25'!H500</f>
        <v>9234798.6500000004</v>
      </c>
      <c r="E160" s="137">
        <f>'DOE25'!I500</f>
        <v>0</v>
      </c>
      <c r="F160" s="137">
        <f>'DOE25'!J500</f>
        <v>23970</v>
      </c>
      <c r="G160" s="138">
        <f t="shared" si="8"/>
        <v>17366549.699999999</v>
      </c>
    </row>
    <row r="161" spans="1:7" x14ac:dyDescent="0.2">
      <c r="A161" s="22" t="s">
        <v>37</v>
      </c>
      <c r="B161" s="137">
        <f>'DOE25'!F501</f>
        <v>792300</v>
      </c>
      <c r="C161" s="137">
        <f>'DOE25'!G501</f>
        <v>31107281.050000001</v>
      </c>
      <c r="D161" s="137">
        <f>'DOE25'!H501</f>
        <v>31748748.649999999</v>
      </c>
      <c r="E161" s="137">
        <f>'DOE25'!I501</f>
        <v>0</v>
      </c>
      <c r="F161" s="137">
        <f>'DOE25'!J501</f>
        <v>1043970</v>
      </c>
      <c r="G161" s="138">
        <f t="shared" si="8"/>
        <v>64692299.700000003</v>
      </c>
    </row>
    <row r="162" spans="1:7" x14ac:dyDescent="0.2">
      <c r="A162" s="22" t="s">
        <v>38</v>
      </c>
      <c r="B162" s="137">
        <f>'DOE25'!F502</f>
        <v>150000</v>
      </c>
      <c r="C162" s="137">
        <f>'DOE25'!G502</f>
        <v>0</v>
      </c>
      <c r="D162" s="137">
        <f>'DOE25'!H502</f>
        <v>0</v>
      </c>
      <c r="E162" s="137">
        <f>'DOE25'!I502</f>
        <v>0</v>
      </c>
      <c r="F162" s="137">
        <f>'DOE25'!J502</f>
        <v>1020000</v>
      </c>
      <c r="G162" s="138">
        <f t="shared" si="8"/>
        <v>1170000</v>
      </c>
    </row>
    <row r="163" spans="1:7" x14ac:dyDescent="0.2">
      <c r="A163" s="22" t="s">
        <v>39</v>
      </c>
      <c r="B163" s="137">
        <f>'DOE25'!F503</f>
        <v>14100</v>
      </c>
      <c r="C163" s="137">
        <f>'DOE25'!G503</f>
        <v>703238.06</v>
      </c>
      <c r="D163" s="137">
        <f>'DOE25'!H503</f>
        <v>733061.46</v>
      </c>
      <c r="E163" s="137">
        <f>'DOE25'!I503</f>
        <v>0</v>
      </c>
      <c r="F163" s="137">
        <f>'DOE25'!J503</f>
        <v>23970</v>
      </c>
      <c r="G163" s="138">
        <f t="shared" si="8"/>
        <v>1474369.52</v>
      </c>
    </row>
    <row r="164" spans="1:7" x14ac:dyDescent="0.2">
      <c r="A164" s="22" t="s">
        <v>246</v>
      </c>
      <c r="B164" s="137">
        <f>'DOE25'!F504</f>
        <v>164100</v>
      </c>
      <c r="C164" s="137">
        <f>'DOE25'!G504</f>
        <v>703238.06</v>
      </c>
      <c r="D164" s="137">
        <f>'DOE25'!H504</f>
        <v>733061.46</v>
      </c>
      <c r="E164" s="137">
        <f>'DOE25'!I504</f>
        <v>0</v>
      </c>
      <c r="F164" s="137">
        <f>'DOE25'!J504</f>
        <v>1043970</v>
      </c>
      <c r="G164" s="138">
        <f t="shared" si="8"/>
        <v>2644369.52</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9"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7" t="s">
        <v>736</v>
      </c>
      <c r="B1" s="387"/>
      <c r="C1" s="387"/>
      <c r="D1" s="387"/>
    </row>
    <row r="2" spans="1:4" x14ac:dyDescent="0.2">
      <c r="A2" s="186" t="s">
        <v>713</v>
      </c>
      <c r="B2" s="185" t="str">
        <f>'DOE25'!A2</f>
        <v>Oyster River Coop</v>
      </c>
    </row>
    <row r="3" spans="1:4" x14ac:dyDescent="0.2">
      <c r="B3" s="187" t="s">
        <v>1799</v>
      </c>
    </row>
    <row r="4" spans="1:4" x14ac:dyDescent="0.2">
      <c r="B4" t="s">
        <v>61</v>
      </c>
      <c r="C4" s="178">
        <f>IF('DOE25'!F666+'DOE25'!F671=0,0,ROUND('DOE25'!F673,0))</f>
        <v>20831</v>
      </c>
    </row>
    <row r="5" spans="1:4" x14ac:dyDescent="0.2">
      <c r="B5" t="s">
        <v>700</v>
      </c>
      <c r="C5" s="178">
        <f>IF('DOE25'!G666+'DOE25'!G671=0,0,ROUND('DOE25'!G673,0))</f>
        <v>20613</v>
      </c>
    </row>
    <row r="6" spans="1:4" x14ac:dyDescent="0.2">
      <c r="B6" t="s">
        <v>62</v>
      </c>
      <c r="C6" s="178">
        <f>IF('DOE25'!H666+'DOE25'!H671=0,0,ROUND('DOE25'!H673,0))</f>
        <v>20235</v>
      </c>
    </row>
    <row r="7" spans="1:4" x14ac:dyDescent="0.2">
      <c r="B7" t="s">
        <v>701</v>
      </c>
      <c r="C7" s="178">
        <f>IF('DOE25'!I666+'DOE25'!I671=0,0,ROUND('DOE25'!I673,0))</f>
        <v>20530</v>
      </c>
    </row>
    <row r="9" spans="1:4" x14ac:dyDescent="0.2">
      <c r="A9" s="186" t="s">
        <v>94</v>
      </c>
      <c r="B9" s="187" t="s">
        <v>1800</v>
      </c>
      <c r="C9" s="180" t="s">
        <v>720</v>
      </c>
      <c r="D9" s="180" t="s">
        <v>721</v>
      </c>
    </row>
    <row r="10" spans="1:4" x14ac:dyDescent="0.2">
      <c r="A10">
        <v>1100</v>
      </c>
      <c r="B10" t="s">
        <v>702</v>
      </c>
      <c r="C10" s="178">
        <f>ROUND('DOE25'!L198+'DOE25'!L216+'DOE25'!L234+'DOE25'!L277+'DOE25'!L296+'DOE25'!L315,0)</f>
        <v>19943853</v>
      </c>
      <c r="D10" s="181">
        <f>ROUND((C10/$C$28)*100,1)</f>
        <v>41.7</v>
      </c>
    </row>
    <row r="11" spans="1:4" x14ac:dyDescent="0.2">
      <c r="A11">
        <v>1200</v>
      </c>
      <c r="B11" t="s">
        <v>703</v>
      </c>
      <c r="C11" s="178">
        <f>ROUND('DOE25'!L199+'DOE25'!L217+'DOE25'!L235+'DOE25'!L278+'DOE25'!L297+'DOE25'!L316,0)</f>
        <v>6993584</v>
      </c>
      <c r="D11" s="181">
        <f>ROUND((C11/$C$28)*100,1)</f>
        <v>14.6</v>
      </c>
    </row>
    <row r="12" spans="1:4" x14ac:dyDescent="0.2">
      <c r="A12">
        <v>1300</v>
      </c>
      <c r="B12" t="s">
        <v>704</v>
      </c>
      <c r="C12" s="178">
        <f>ROUND('DOE25'!L200+'DOE25'!L218+'DOE25'!L236+'DOE25'!L279+'DOE25'!L298+'DOE25'!L317,0)</f>
        <v>75787</v>
      </c>
      <c r="D12" s="181">
        <f>ROUND((C12/$C$28)*100,1)</f>
        <v>0.2</v>
      </c>
    </row>
    <row r="13" spans="1:4" x14ac:dyDescent="0.2">
      <c r="A13">
        <v>1400</v>
      </c>
      <c r="B13" t="s">
        <v>705</v>
      </c>
      <c r="C13" s="178">
        <f>ROUND('DOE25'!L201+'DOE25'!L219+'DOE25'!L237+'DOE25'!L280+'DOE25'!L299+'DOE25'!L318,0)</f>
        <v>838319</v>
      </c>
      <c r="D13" s="181">
        <f>ROUND((C13/$C$28)*100,1)</f>
        <v>1.8</v>
      </c>
    </row>
    <row r="14" spans="1:4" x14ac:dyDescent="0.2">
      <c r="D14" s="181"/>
    </row>
    <row r="15" spans="1:4" x14ac:dyDescent="0.2">
      <c r="A15">
        <v>2100</v>
      </c>
      <c r="B15" t="s">
        <v>706</v>
      </c>
      <c r="C15" s="178">
        <f>ROUND('DOE25'!L203+'DOE25'!L221+'DOE25'!L239+'DOE25'!L282+'DOE25'!L301+'DOE25'!L320,0)</f>
        <v>4632975</v>
      </c>
      <c r="D15" s="181">
        <f t="shared" ref="D15:D27" si="0">ROUND((C15/$C$28)*100,1)</f>
        <v>9.6999999999999993</v>
      </c>
    </row>
    <row r="16" spans="1:4" x14ac:dyDescent="0.2">
      <c r="A16">
        <v>2200</v>
      </c>
      <c r="B16" t="s">
        <v>707</v>
      </c>
      <c r="C16" s="178">
        <f>ROUND('DOE25'!L204+'DOE25'!L222+'DOE25'!L240+'DOE25'!L283+'DOE25'!L302+'DOE25'!L321,0)</f>
        <v>961511</v>
      </c>
      <c r="D16" s="181">
        <f t="shared" si="0"/>
        <v>2</v>
      </c>
    </row>
    <row r="17" spans="1:4" x14ac:dyDescent="0.2">
      <c r="A17" s="182" t="s">
        <v>723</v>
      </c>
      <c r="B17" t="s">
        <v>738</v>
      </c>
      <c r="C17" s="178">
        <f>ROUND('DOE25'!L205+'DOE25'!L210+'DOE25'!L223+'DOE25'!L228+'DOE25'!L241+'DOE25'!L246+'DOE25'!L284+'DOE25'!L289+'DOE25'!L303+'DOE25'!L308+'DOE25'!L322+'DOE25'!L327,0)</f>
        <v>3248613</v>
      </c>
      <c r="D17" s="181">
        <f t="shared" si="0"/>
        <v>6.8</v>
      </c>
    </row>
    <row r="18" spans="1:4" x14ac:dyDescent="0.2">
      <c r="A18">
        <v>2400</v>
      </c>
      <c r="B18" t="s">
        <v>711</v>
      </c>
      <c r="C18" s="178">
        <f>ROUND('DOE25'!L206+'DOE25'!L224+'DOE25'!L242+'DOE25'!L285+'DOE25'!L304+'DOE25'!L323,0)</f>
        <v>1998253</v>
      </c>
      <c r="D18" s="181">
        <f t="shared" si="0"/>
        <v>4.2</v>
      </c>
    </row>
    <row r="19" spans="1:4" x14ac:dyDescent="0.2">
      <c r="A19">
        <v>2500</v>
      </c>
      <c r="B19" t="s">
        <v>708</v>
      </c>
      <c r="C19" s="178">
        <f>ROUND('DOE25'!L207+'DOE25'!L225+'DOE25'!L243+'DOE25'!L286+'DOE25'!L305+'DOE25'!L324,0)</f>
        <v>760466</v>
      </c>
      <c r="D19" s="181">
        <f t="shared" si="0"/>
        <v>1.6</v>
      </c>
    </row>
    <row r="20" spans="1:4" x14ac:dyDescent="0.2">
      <c r="A20">
        <v>2600</v>
      </c>
      <c r="B20" t="s">
        <v>709</v>
      </c>
      <c r="C20" s="178">
        <f>ROUND('DOE25'!L208+'DOE25'!L226+'DOE25'!L244+'DOE25'!L287+'DOE25'!L306+'DOE25'!L325,0)</f>
        <v>4304094</v>
      </c>
      <c r="D20" s="181">
        <f t="shared" si="0"/>
        <v>9</v>
      </c>
    </row>
    <row r="21" spans="1:4" x14ac:dyDescent="0.2">
      <c r="A21">
        <v>2700</v>
      </c>
      <c r="B21" t="s">
        <v>710</v>
      </c>
      <c r="C21" s="178">
        <f>ROUND('DOE25'!L209+'DOE25'!L227+'DOE25'!L245+'DOE25'!L288+'DOE25'!L307+'DOE25'!L326,0)</f>
        <v>2162548</v>
      </c>
      <c r="D21" s="181">
        <f t="shared" si="0"/>
        <v>4.5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1168999</v>
      </c>
      <c r="D25" s="181">
        <f t="shared" si="0"/>
        <v>2.4</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774225.25</v>
      </c>
      <c r="D27" s="181">
        <f t="shared" si="0"/>
        <v>1.6</v>
      </c>
    </row>
    <row r="28" spans="1:4" x14ac:dyDescent="0.2">
      <c r="B28" s="186" t="s">
        <v>719</v>
      </c>
      <c r="C28" s="179">
        <f>SUM(C10:C27)</f>
        <v>47863227.25</v>
      </c>
      <c r="D28" s="183">
        <f>ROUND(SUM(D10:D27),0)</f>
        <v>100</v>
      </c>
    </row>
    <row r="29" spans="1:4" x14ac:dyDescent="0.2">
      <c r="A29">
        <v>4000</v>
      </c>
      <c r="B29" t="s">
        <v>724</v>
      </c>
      <c r="C29" s="178">
        <f>ROUND('DOE25'!L256+'DOE25'!L337+'DOE25'!L375+'DOE25'!L376+'DOE25'!L377+'DOE25'!L378+'DOE25'!L379+'DOE25'!L380+'DOE25'!L381,0)</f>
        <v>16735322</v>
      </c>
    </row>
    <row r="30" spans="1:4" x14ac:dyDescent="0.2">
      <c r="B30" s="186" t="s">
        <v>725</v>
      </c>
      <c r="C30" s="179">
        <f>SUM(C28:C29)</f>
        <v>64598549.25</v>
      </c>
    </row>
    <row r="31" spans="1:4" x14ac:dyDescent="0.2">
      <c r="B31" s="33"/>
      <c r="C31" s="179"/>
    </row>
    <row r="32" spans="1:4" x14ac:dyDescent="0.2">
      <c r="A32">
        <v>5100</v>
      </c>
      <c r="B32" s="33" t="s">
        <v>726</v>
      </c>
      <c r="C32" s="179">
        <f>ROUND('DOE25'!L261+'DOE25'!L342,0)</f>
        <v>1285000</v>
      </c>
    </row>
    <row r="34" spans="1:4" x14ac:dyDescent="0.2">
      <c r="A34" s="186" t="s">
        <v>94</v>
      </c>
      <c r="B34" s="187" t="s">
        <v>1801</v>
      </c>
      <c r="C34" s="180" t="s">
        <v>720</v>
      </c>
      <c r="D34" s="180" t="s">
        <v>721</v>
      </c>
    </row>
    <row r="35" spans="1:4" x14ac:dyDescent="0.2">
      <c r="A35">
        <v>1100</v>
      </c>
      <c r="B35" s="184" t="s">
        <v>727</v>
      </c>
      <c r="C35" s="178">
        <f>ROUND('DOE25'!F60+'DOE25'!G60+'DOE25'!H60+'DOE25'!I60+'DOE25'!J60,0)</f>
        <v>34273004</v>
      </c>
      <c r="D35" s="181">
        <f t="shared" ref="D35:D40" si="1">ROUND((C35/$C$41)*100,1)</f>
        <v>68.5</v>
      </c>
    </row>
    <row r="36" spans="1:4" x14ac:dyDescent="0.2">
      <c r="B36" s="184" t="s">
        <v>739</v>
      </c>
      <c r="C36" s="178">
        <f>SUM('DOE25'!F112:J112)-SUM('DOE25'!G97:G110)+('DOE25'!F175+'DOE25'!F176+'DOE25'!I175+'DOE25'!I176)-C35</f>
        <v>3441855</v>
      </c>
      <c r="D36" s="181">
        <f t="shared" si="1"/>
        <v>6.9</v>
      </c>
    </row>
    <row r="37" spans="1:4" x14ac:dyDescent="0.2">
      <c r="A37" s="182" t="s">
        <v>835</v>
      </c>
      <c r="B37" s="184" t="s">
        <v>728</v>
      </c>
      <c r="C37" s="178">
        <f>ROUND('DOE25'!F117+'DOE25'!F118,0)</f>
        <v>9407585</v>
      </c>
      <c r="D37" s="181">
        <f t="shared" si="1"/>
        <v>18.8</v>
      </c>
    </row>
    <row r="38" spans="1:4" x14ac:dyDescent="0.2">
      <c r="A38" s="182" t="s">
        <v>734</v>
      </c>
      <c r="B38" s="184" t="s">
        <v>729</v>
      </c>
      <c r="C38" s="178">
        <f>ROUND(SUM('DOE25'!F140:J140)-SUM('DOE25'!F117:F119),0)</f>
        <v>634209</v>
      </c>
      <c r="D38" s="181">
        <f t="shared" si="1"/>
        <v>1.3</v>
      </c>
    </row>
    <row r="39" spans="1:4" x14ac:dyDescent="0.2">
      <c r="A39">
        <v>4000</v>
      </c>
      <c r="B39" s="184" t="s">
        <v>730</v>
      </c>
      <c r="C39" s="178">
        <f>ROUND('DOE25'!F170+'DOE25'!G170+'DOE25'!H170+'DOE25'!I170,0)</f>
        <v>2251738</v>
      </c>
      <c r="D39" s="181">
        <f t="shared" si="1"/>
        <v>4.5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50008391</v>
      </c>
      <c r="D41" s="183">
        <f>SUM(D35:D40)</f>
        <v>100</v>
      </c>
    </row>
    <row r="42" spans="1:4" x14ac:dyDescent="0.2">
      <c r="A42" s="182" t="s">
        <v>737</v>
      </c>
      <c r="B42" s="184" t="s">
        <v>733</v>
      </c>
      <c r="C42" s="178">
        <f>ROUND('DOE25'!F174+'DOE25'!I174+'DOE25'!F177+'DOE25'!I177,0)</f>
        <v>24847732</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9" sqref="C9:M9"/>
    </sheetView>
  </sheetViews>
  <sheetFormatPr defaultRowHeight="11.25" x14ac:dyDescent="0.2"/>
  <cols>
    <col min="1" max="1" width="10.33203125" customWidth="1"/>
    <col min="14" max="14" width="6.1640625" customWidth="1"/>
  </cols>
  <sheetData>
    <row r="1" spans="1:26" ht="16.5" thickTop="1" x14ac:dyDescent="0.25">
      <c r="A1" s="392" t="s">
        <v>766</v>
      </c>
      <c r="B1" s="393"/>
      <c r="C1" s="393"/>
      <c r="D1" s="393"/>
      <c r="E1" s="393"/>
      <c r="F1" s="393"/>
      <c r="G1" s="393"/>
      <c r="H1" s="393"/>
      <c r="I1" s="393"/>
      <c r="J1" s="212"/>
      <c r="K1" s="212"/>
      <c r="L1" s="212"/>
      <c r="M1" s="213"/>
    </row>
    <row r="2" spans="1:26" ht="12.75" x14ac:dyDescent="0.2">
      <c r="A2" s="398" t="s">
        <v>763</v>
      </c>
      <c r="B2" s="399"/>
      <c r="C2" s="399"/>
      <c r="D2" s="399"/>
      <c r="E2" s="399"/>
      <c r="F2" s="396" t="str">
        <f>'DOE25'!A2</f>
        <v>Oyster River Coop</v>
      </c>
      <c r="G2" s="397"/>
      <c r="H2" s="397"/>
      <c r="I2" s="397"/>
      <c r="J2" s="52"/>
      <c r="K2" s="52"/>
      <c r="L2" s="52"/>
      <c r="M2" s="214"/>
    </row>
    <row r="3" spans="1:26" x14ac:dyDescent="0.2">
      <c r="A3" s="215" t="s">
        <v>764</v>
      </c>
      <c r="B3" s="216" t="s">
        <v>765</v>
      </c>
      <c r="C3" s="394" t="s">
        <v>767</v>
      </c>
      <c r="D3" s="394"/>
      <c r="E3" s="394"/>
      <c r="F3" s="394"/>
      <c r="G3" s="394"/>
      <c r="H3" s="394"/>
      <c r="I3" s="394"/>
      <c r="J3" s="394"/>
      <c r="K3" s="394"/>
      <c r="L3" s="394"/>
      <c r="M3" s="395"/>
    </row>
    <row r="4" spans="1:26" x14ac:dyDescent="0.2">
      <c r="A4" s="372">
        <v>19</v>
      </c>
      <c r="B4" s="373">
        <v>3</v>
      </c>
      <c r="C4" s="390" t="s">
        <v>1812</v>
      </c>
      <c r="D4" s="390"/>
      <c r="E4" s="390"/>
      <c r="F4" s="390"/>
      <c r="G4" s="390"/>
      <c r="H4" s="390"/>
      <c r="I4" s="390"/>
      <c r="J4" s="390"/>
      <c r="K4" s="390"/>
      <c r="L4" s="390"/>
      <c r="M4" s="391"/>
      <c r="N4" s="126"/>
      <c r="O4" s="126"/>
      <c r="P4" s="126"/>
      <c r="Q4" s="126"/>
      <c r="R4" s="126"/>
      <c r="S4" s="126"/>
      <c r="T4" s="126"/>
      <c r="U4" s="126"/>
      <c r="V4" s="126"/>
      <c r="W4" s="126"/>
      <c r="X4" s="126"/>
      <c r="Y4" s="126"/>
      <c r="Z4" s="126"/>
    </row>
    <row r="5" spans="1:26" x14ac:dyDescent="0.2">
      <c r="A5" s="217"/>
      <c r="B5" s="218"/>
      <c r="C5" s="390" t="s">
        <v>1813</v>
      </c>
      <c r="D5" s="390"/>
      <c r="E5" s="390"/>
      <c r="F5" s="390"/>
      <c r="G5" s="390"/>
      <c r="H5" s="390"/>
      <c r="I5" s="390"/>
      <c r="J5" s="390"/>
      <c r="K5" s="390"/>
      <c r="L5" s="390"/>
      <c r="M5" s="391"/>
      <c r="N5" s="126"/>
      <c r="O5" s="126"/>
      <c r="P5" s="126"/>
      <c r="Q5" s="126"/>
      <c r="R5" s="126"/>
      <c r="S5" s="126"/>
      <c r="T5" s="126"/>
      <c r="U5" s="126"/>
      <c r="V5" s="126"/>
      <c r="W5" s="126"/>
      <c r="X5" s="126"/>
      <c r="Y5" s="126"/>
      <c r="Z5" s="126"/>
    </row>
    <row r="6" spans="1:26" x14ac:dyDescent="0.2">
      <c r="A6" s="217"/>
      <c r="B6" s="218"/>
      <c r="C6" s="390"/>
      <c r="D6" s="390"/>
      <c r="E6" s="390"/>
      <c r="F6" s="390"/>
      <c r="G6" s="390"/>
      <c r="H6" s="390"/>
      <c r="I6" s="390"/>
      <c r="J6" s="390"/>
      <c r="K6" s="390"/>
      <c r="L6" s="390"/>
      <c r="M6" s="391"/>
      <c r="N6" s="126"/>
      <c r="O6" s="126"/>
      <c r="P6" s="126"/>
      <c r="Q6" s="126"/>
      <c r="R6" s="126"/>
      <c r="S6" s="126"/>
      <c r="T6" s="126"/>
      <c r="U6" s="126"/>
      <c r="V6" s="126"/>
      <c r="W6" s="126"/>
      <c r="X6" s="126"/>
      <c r="Y6" s="126"/>
      <c r="Z6" s="126"/>
    </row>
    <row r="7" spans="1:26" x14ac:dyDescent="0.2">
      <c r="A7" s="217">
        <v>7</v>
      </c>
      <c r="B7" s="218">
        <v>9</v>
      </c>
      <c r="C7" s="390" t="s">
        <v>1814</v>
      </c>
      <c r="D7" s="390"/>
      <c r="E7" s="390"/>
      <c r="F7" s="390"/>
      <c r="G7" s="390"/>
      <c r="H7" s="390"/>
      <c r="I7" s="390"/>
      <c r="J7" s="390"/>
      <c r="K7" s="390"/>
      <c r="L7" s="390"/>
      <c r="M7" s="391"/>
      <c r="N7" s="126"/>
      <c r="O7" s="126"/>
      <c r="P7" s="126"/>
      <c r="Q7" s="126"/>
      <c r="R7" s="126"/>
      <c r="S7" s="126"/>
      <c r="T7" s="126"/>
      <c r="U7" s="126"/>
      <c r="V7" s="126"/>
      <c r="W7" s="126"/>
      <c r="X7" s="126"/>
      <c r="Y7" s="126"/>
      <c r="Z7" s="126"/>
    </row>
    <row r="8" spans="1:26" x14ac:dyDescent="0.2">
      <c r="A8" s="217">
        <v>8</v>
      </c>
      <c r="B8" s="218">
        <v>9</v>
      </c>
      <c r="C8" s="390" t="s">
        <v>1816</v>
      </c>
      <c r="D8" s="390"/>
      <c r="E8" s="390"/>
      <c r="F8" s="390"/>
      <c r="G8" s="390"/>
      <c r="H8" s="390"/>
      <c r="I8" s="390"/>
      <c r="J8" s="390"/>
      <c r="K8" s="390"/>
      <c r="L8" s="390"/>
      <c r="M8" s="391"/>
      <c r="N8" s="126"/>
      <c r="O8" s="126"/>
      <c r="P8" s="126"/>
      <c r="Q8" s="126"/>
      <c r="R8" s="126"/>
      <c r="S8" s="126"/>
      <c r="T8" s="126"/>
      <c r="U8" s="126"/>
      <c r="V8" s="126"/>
      <c r="W8" s="126"/>
      <c r="X8" s="126"/>
      <c r="Y8" s="126"/>
      <c r="Z8" s="126"/>
    </row>
    <row r="9" spans="1:26" x14ac:dyDescent="0.2">
      <c r="A9" s="217">
        <v>9</v>
      </c>
      <c r="B9" s="218">
        <v>9</v>
      </c>
      <c r="C9" s="390" t="s">
        <v>1815</v>
      </c>
      <c r="D9" s="390"/>
      <c r="E9" s="390"/>
      <c r="F9" s="390"/>
      <c r="G9" s="390"/>
      <c r="H9" s="390"/>
      <c r="I9" s="390"/>
      <c r="J9" s="390"/>
      <c r="K9" s="390"/>
      <c r="L9" s="390"/>
      <c r="M9" s="391"/>
      <c r="N9" s="126"/>
      <c r="O9" s="126"/>
      <c r="P9" s="126"/>
      <c r="Q9" s="126"/>
      <c r="R9" s="126"/>
      <c r="S9" s="126"/>
      <c r="T9" s="126"/>
      <c r="U9" s="126"/>
      <c r="V9" s="126"/>
      <c r="W9" s="126"/>
      <c r="X9" s="126"/>
      <c r="Y9" s="126"/>
      <c r="Z9" s="126"/>
    </row>
    <row r="10" spans="1:26" x14ac:dyDescent="0.2">
      <c r="A10" s="217"/>
      <c r="B10" s="218"/>
      <c r="C10" s="390"/>
      <c r="D10" s="390"/>
      <c r="E10" s="390"/>
      <c r="F10" s="390"/>
      <c r="G10" s="390"/>
      <c r="H10" s="390"/>
      <c r="I10" s="390"/>
      <c r="J10" s="390"/>
      <c r="K10" s="390"/>
      <c r="L10" s="390"/>
      <c r="M10" s="391"/>
      <c r="N10" s="126"/>
      <c r="O10" s="126"/>
      <c r="P10" s="126"/>
      <c r="Q10" s="126"/>
      <c r="R10" s="126"/>
      <c r="S10" s="126"/>
      <c r="T10" s="126"/>
      <c r="U10" s="126"/>
      <c r="V10" s="126"/>
      <c r="W10" s="126"/>
      <c r="X10" s="126"/>
      <c r="Y10" s="126"/>
      <c r="Z10" s="126"/>
    </row>
    <row r="11" spans="1:26" x14ac:dyDescent="0.2">
      <c r="A11" s="217"/>
      <c r="B11" s="218"/>
      <c r="C11" s="390"/>
      <c r="D11" s="390"/>
      <c r="E11" s="390"/>
      <c r="F11" s="390"/>
      <c r="G11" s="390"/>
      <c r="H11" s="390"/>
      <c r="I11" s="390"/>
      <c r="J11" s="390"/>
      <c r="K11" s="390"/>
      <c r="L11" s="390"/>
      <c r="M11" s="391"/>
      <c r="N11" s="126"/>
      <c r="O11" s="126"/>
      <c r="P11" s="126"/>
      <c r="Q11" s="126"/>
      <c r="R11" s="126"/>
      <c r="S11" s="126"/>
      <c r="T11" s="126"/>
      <c r="U11" s="126"/>
      <c r="V11" s="126"/>
      <c r="W11" s="126"/>
      <c r="X11" s="126"/>
      <c r="Y11" s="126"/>
      <c r="Z11" s="126"/>
    </row>
    <row r="12" spans="1:26" x14ac:dyDescent="0.2">
      <c r="A12" s="217"/>
      <c r="B12" s="218"/>
      <c r="C12" s="390"/>
      <c r="D12" s="390"/>
      <c r="E12" s="390"/>
      <c r="F12" s="390"/>
      <c r="G12" s="390"/>
      <c r="H12" s="390"/>
      <c r="I12" s="390"/>
      <c r="J12" s="390"/>
      <c r="K12" s="390"/>
      <c r="L12" s="390"/>
      <c r="M12" s="391"/>
      <c r="N12" s="126"/>
      <c r="O12" s="126"/>
      <c r="P12" s="126"/>
      <c r="Q12" s="126"/>
      <c r="R12" s="126"/>
      <c r="S12" s="126"/>
      <c r="T12" s="126"/>
      <c r="U12" s="126"/>
      <c r="V12" s="126"/>
      <c r="W12" s="126"/>
      <c r="X12" s="126"/>
      <c r="Y12" s="126"/>
      <c r="Z12" s="126"/>
    </row>
    <row r="13" spans="1:26" x14ac:dyDescent="0.2">
      <c r="A13" s="217"/>
      <c r="B13" s="218"/>
      <c r="C13" s="390"/>
      <c r="D13" s="390"/>
      <c r="E13" s="390"/>
      <c r="F13" s="390"/>
      <c r="G13" s="390"/>
      <c r="H13" s="390"/>
      <c r="I13" s="390"/>
      <c r="J13" s="390"/>
      <c r="K13" s="390"/>
      <c r="L13" s="390"/>
      <c r="M13" s="391"/>
      <c r="N13" s="126"/>
      <c r="O13" s="126"/>
      <c r="P13" s="126"/>
      <c r="Q13" s="126"/>
      <c r="R13" s="126"/>
      <c r="S13" s="126"/>
      <c r="T13" s="126"/>
      <c r="U13" s="126"/>
      <c r="V13" s="126"/>
      <c r="W13" s="126"/>
      <c r="X13" s="126"/>
      <c r="Y13" s="126"/>
      <c r="Z13" s="126"/>
    </row>
    <row r="14" spans="1:26" x14ac:dyDescent="0.2">
      <c r="A14" s="217"/>
      <c r="B14" s="218"/>
      <c r="C14" s="390"/>
      <c r="D14" s="390"/>
      <c r="E14" s="390"/>
      <c r="F14" s="390"/>
      <c r="G14" s="390"/>
      <c r="H14" s="390"/>
      <c r="I14" s="390"/>
      <c r="J14" s="390"/>
      <c r="K14" s="390"/>
      <c r="L14" s="390"/>
      <c r="M14" s="391"/>
      <c r="N14" s="126"/>
      <c r="O14" s="126"/>
      <c r="P14" s="126"/>
      <c r="Q14" s="126"/>
      <c r="R14" s="126"/>
      <c r="S14" s="126"/>
      <c r="T14" s="126"/>
      <c r="U14" s="126"/>
      <c r="V14" s="126"/>
      <c r="W14" s="126"/>
      <c r="X14" s="126"/>
      <c r="Y14" s="126"/>
      <c r="Z14" s="126"/>
    </row>
    <row r="15" spans="1:26" x14ac:dyDescent="0.2">
      <c r="A15" s="217"/>
      <c r="B15" s="218"/>
      <c r="C15" s="390"/>
      <c r="D15" s="390"/>
      <c r="E15" s="390"/>
      <c r="F15" s="390"/>
      <c r="G15" s="390"/>
      <c r="H15" s="390"/>
      <c r="I15" s="390"/>
      <c r="J15" s="390"/>
      <c r="K15" s="390"/>
      <c r="L15" s="390"/>
      <c r="M15" s="391"/>
      <c r="N15" s="126"/>
      <c r="O15" s="126"/>
      <c r="P15" s="126"/>
      <c r="Q15" s="126"/>
      <c r="R15" s="126"/>
      <c r="S15" s="126"/>
      <c r="T15" s="126"/>
      <c r="U15" s="126"/>
      <c r="V15" s="126"/>
      <c r="W15" s="126"/>
      <c r="X15" s="126"/>
      <c r="Y15" s="126"/>
      <c r="Z15" s="126"/>
    </row>
    <row r="16" spans="1:26" x14ac:dyDescent="0.2">
      <c r="A16" s="217"/>
      <c r="B16" s="218"/>
      <c r="C16" s="390"/>
      <c r="D16" s="390"/>
      <c r="E16" s="390"/>
      <c r="F16" s="390"/>
      <c r="G16" s="390"/>
      <c r="H16" s="390"/>
      <c r="I16" s="390"/>
      <c r="J16" s="390"/>
      <c r="K16" s="390"/>
      <c r="L16" s="390"/>
      <c r="M16" s="391"/>
      <c r="N16" s="126"/>
      <c r="O16" s="126"/>
      <c r="P16" s="126"/>
      <c r="Q16" s="126"/>
      <c r="R16" s="126"/>
      <c r="S16" s="126"/>
      <c r="T16" s="126"/>
      <c r="U16" s="126"/>
      <c r="V16" s="126"/>
      <c r="W16" s="126"/>
      <c r="X16" s="126"/>
      <c r="Y16" s="126"/>
      <c r="Z16" s="126"/>
    </row>
    <row r="17" spans="1:256" x14ac:dyDescent="0.2">
      <c r="A17" s="217"/>
      <c r="B17" s="218"/>
      <c r="C17" s="390"/>
      <c r="D17" s="390"/>
      <c r="E17" s="390"/>
      <c r="F17" s="390"/>
      <c r="G17" s="390"/>
      <c r="H17" s="390"/>
      <c r="I17" s="390"/>
      <c r="J17" s="390"/>
      <c r="K17" s="390"/>
      <c r="L17" s="390"/>
      <c r="M17" s="391"/>
      <c r="N17" s="126"/>
      <c r="O17" s="126"/>
      <c r="P17" s="126"/>
      <c r="Q17" s="126"/>
      <c r="R17" s="126"/>
      <c r="S17" s="126"/>
      <c r="T17" s="126"/>
      <c r="U17" s="126"/>
      <c r="V17" s="126"/>
      <c r="W17" s="126"/>
      <c r="X17" s="126"/>
      <c r="Y17" s="126"/>
      <c r="Z17" s="126"/>
    </row>
    <row r="18" spans="1:256" x14ac:dyDescent="0.2">
      <c r="A18" s="217"/>
      <c r="B18" s="218"/>
      <c r="C18" s="390"/>
      <c r="D18" s="390"/>
      <c r="E18" s="390"/>
      <c r="F18" s="390"/>
      <c r="G18" s="390"/>
      <c r="H18" s="390"/>
      <c r="I18" s="390"/>
      <c r="J18" s="390"/>
      <c r="K18" s="390"/>
      <c r="L18" s="390"/>
      <c r="M18" s="391"/>
      <c r="N18" s="126"/>
      <c r="O18" s="126"/>
      <c r="P18" s="126"/>
      <c r="Q18" s="126"/>
      <c r="R18" s="126"/>
      <c r="S18" s="126"/>
      <c r="T18" s="126"/>
      <c r="U18" s="126"/>
      <c r="V18" s="126"/>
      <c r="W18" s="126"/>
      <c r="X18" s="126"/>
      <c r="Y18" s="126"/>
      <c r="Z18" s="126"/>
    </row>
    <row r="19" spans="1:256" x14ac:dyDescent="0.2">
      <c r="A19" s="217"/>
      <c r="B19" s="218"/>
      <c r="C19" s="390"/>
      <c r="D19" s="390"/>
      <c r="E19" s="390"/>
      <c r="F19" s="390"/>
      <c r="G19" s="390"/>
      <c r="H19" s="390"/>
      <c r="I19" s="390"/>
      <c r="J19" s="390"/>
      <c r="K19" s="390"/>
      <c r="L19" s="390"/>
      <c r="M19" s="391"/>
      <c r="N19" s="126"/>
      <c r="O19" s="126"/>
      <c r="P19" s="126"/>
      <c r="Q19" s="126"/>
      <c r="R19" s="126"/>
      <c r="S19" s="126"/>
      <c r="T19" s="126"/>
      <c r="U19" s="126"/>
      <c r="V19" s="126"/>
      <c r="W19" s="126"/>
      <c r="X19" s="126"/>
      <c r="Y19" s="126"/>
      <c r="Z19" s="126"/>
    </row>
    <row r="20" spans="1:256" x14ac:dyDescent="0.2">
      <c r="A20" s="217"/>
      <c r="B20" s="218"/>
      <c r="C20" s="390"/>
      <c r="D20" s="390"/>
      <c r="E20" s="390"/>
      <c r="F20" s="390"/>
      <c r="G20" s="390"/>
      <c r="H20" s="390"/>
      <c r="I20" s="390"/>
      <c r="J20" s="390"/>
      <c r="K20" s="390"/>
      <c r="L20" s="390"/>
      <c r="M20" s="391"/>
      <c r="N20" s="126"/>
      <c r="O20" s="126"/>
      <c r="P20" s="126"/>
      <c r="Q20" s="126"/>
      <c r="R20" s="126"/>
      <c r="S20" s="126"/>
      <c r="T20" s="126"/>
      <c r="U20" s="126"/>
      <c r="V20" s="126"/>
      <c r="W20" s="126"/>
      <c r="X20" s="126"/>
      <c r="Y20" s="126"/>
      <c r="Z20" s="126"/>
    </row>
    <row r="21" spans="1:256" x14ac:dyDescent="0.2">
      <c r="A21" s="217"/>
      <c r="B21" s="218"/>
      <c r="C21" s="390"/>
      <c r="D21" s="390"/>
      <c r="E21" s="390"/>
      <c r="F21" s="390"/>
      <c r="G21" s="390"/>
      <c r="H21" s="390"/>
      <c r="I21" s="390"/>
      <c r="J21" s="390"/>
      <c r="K21" s="390"/>
      <c r="L21" s="390"/>
      <c r="M21" s="391"/>
      <c r="N21" s="126"/>
      <c r="O21" s="126"/>
      <c r="P21" s="126"/>
      <c r="Q21" s="126"/>
      <c r="R21" s="126"/>
      <c r="S21" s="126"/>
      <c r="T21" s="126"/>
      <c r="U21" s="126"/>
      <c r="V21" s="126"/>
      <c r="W21" s="126"/>
      <c r="X21" s="126"/>
      <c r="Y21" s="126"/>
      <c r="Z21" s="126"/>
    </row>
    <row r="22" spans="1:256" x14ac:dyDescent="0.2">
      <c r="A22" s="217"/>
      <c r="B22" s="218"/>
      <c r="C22" s="390"/>
      <c r="D22" s="390"/>
      <c r="E22" s="390"/>
      <c r="F22" s="390"/>
      <c r="G22" s="390"/>
      <c r="H22" s="390"/>
      <c r="I22" s="390"/>
      <c r="J22" s="390"/>
      <c r="K22" s="390"/>
      <c r="L22" s="390"/>
      <c r="M22" s="391"/>
      <c r="N22" s="126"/>
      <c r="O22" s="126"/>
      <c r="P22" s="126"/>
      <c r="Q22" s="126"/>
      <c r="R22" s="126"/>
      <c r="S22" s="126"/>
      <c r="T22" s="126"/>
      <c r="U22" s="126"/>
      <c r="V22" s="126"/>
      <c r="W22" s="126"/>
      <c r="X22" s="126"/>
      <c r="Y22" s="126"/>
      <c r="Z22" s="126"/>
    </row>
    <row r="23" spans="1:256" x14ac:dyDescent="0.2">
      <c r="A23" s="217"/>
      <c r="B23" s="218"/>
      <c r="C23" s="390"/>
      <c r="D23" s="390"/>
      <c r="E23" s="390"/>
      <c r="F23" s="390"/>
      <c r="G23" s="390"/>
      <c r="H23" s="390"/>
      <c r="I23" s="390"/>
      <c r="J23" s="390"/>
      <c r="K23" s="390"/>
      <c r="L23" s="390"/>
      <c r="M23" s="391"/>
      <c r="N23" s="126"/>
      <c r="O23" s="126"/>
      <c r="P23" s="126"/>
      <c r="Q23" s="126"/>
      <c r="R23" s="126"/>
      <c r="S23" s="126"/>
      <c r="T23" s="126"/>
      <c r="U23" s="126"/>
      <c r="V23" s="126"/>
      <c r="W23" s="126"/>
      <c r="X23" s="126"/>
      <c r="Y23" s="126"/>
      <c r="Z23" s="126"/>
    </row>
    <row r="24" spans="1:256" x14ac:dyDescent="0.2">
      <c r="A24" s="217"/>
      <c r="B24" s="218"/>
      <c r="C24" s="390"/>
      <c r="D24" s="390"/>
      <c r="E24" s="390"/>
      <c r="F24" s="390"/>
      <c r="G24" s="390"/>
      <c r="H24" s="390"/>
      <c r="I24" s="390"/>
      <c r="J24" s="390"/>
      <c r="K24" s="390"/>
      <c r="L24" s="390"/>
      <c r="M24" s="391"/>
      <c r="N24" s="126"/>
      <c r="O24" s="126"/>
      <c r="P24" s="126"/>
      <c r="Q24" s="126"/>
      <c r="R24" s="126"/>
      <c r="S24" s="126"/>
      <c r="T24" s="126"/>
      <c r="U24" s="126"/>
      <c r="V24" s="126"/>
      <c r="W24" s="126"/>
      <c r="X24" s="126"/>
      <c r="Y24" s="126"/>
      <c r="Z24" s="126"/>
    </row>
    <row r="25" spans="1:256" x14ac:dyDescent="0.2">
      <c r="A25" s="217"/>
      <c r="B25" s="218"/>
      <c r="C25" s="390"/>
      <c r="D25" s="390"/>
      <c r="E25" s="390"/>
      <c r="F25" s="390"/>
      <c r="G25" s="390"/>
      <c r="H25" s="390"/>
      <c r="I25" s="390"/>
      <c r="J25" s="390"/>
      <c r="K25" s="390"/>
      <c r="L25" s="390"/>
      <c r="M25" s="391"/>
      <c r="N25" s="126"/>
      <c r="O25" s="126"/>
      <c r="P25" s="126"/>
      <c r="Q25" s="126"/>
      <c r="R25" s="126"/>
      <c r="S25" s="126"/>
      <c r="T25" s="126"/>
      <c r="U25" s="126"/>
      <c r="V25" s="126"/>
      <c r="W25" s="126"/>
      <c r="X25" s="126"/>
      <c r="Y25" s="126"/>
      <c r="Z25" s="126"/>
    </row>
    <row r="26" spans="1:256" x14ac:dyDescent="0.2">
      <c r="A26" s="217"/>
      <c r="B26" s="218"/>
      <c r="C26" s="390"/>
      <c r="D26" s="390"/>
      <c r="E26" s="390"/>
      <c r="F26" s="390"/>
      <c r="G26" s="390"/>
      <c r="H26" s="390"/>
      <c r="I26" s="390"/>
      <c r="J26" s="390"/>
      <c r="K26" s="390"/>
      <c r="L26" s="390"/>
      <c r="M26" s="391"/>
      <c r="N26" s="126"/>
      <c r="O26" s="126"/>
      <c r="P26" s="126"/>
      <c r="Q26" s="126"/>
      <c r="R26" s="126"/>
      <c r="S26" s="126"/>
      <c r="T26" s="126"/>
      <c r="U26" s="126"/>
      <c r="V26" s="126"/>
      <c r="W26" s="126"/>
      <c r="X26" s="126"/>
      <c r="Y26" s="126"/>
      <c r="Z26" s="126"/>
    </row>
    <row r="27" spans="1:256" x14ac:dyDescent="0.2">
      <c r="A27" s="217"/>
      <c r="B27" s="218"/>
      <c r="C27" s="390"/>
      <c r="D27" s="390"/>
      <c r="E27" s="390"/>
      <c r="F27" s="390"/>
      <c r="G27" s="390"/>
      <c r="H27" s="390"/>
      <c r="I27" s="390"/>
      <c r="J27" s="390"/>
      <c r="K27" s="390"/>
      <c r="L27" s="390"/>
      <c r="M27" s="391"/>
      <c r="N27" s="126"/>
      <c r="O27" s="126"/>
      <c r="P27" s="126"/>
      <c r="Q27" s="126"/>
      <c r="R27" s="126"/>
      <c r="S27" s="126"/>
      <c r="T27" s="126"/>
      <c r="U27" s="126"/>
      <c r="V27" s="126"/>
      <c r="W27" s="126"/>
      <c r="X27" s="126"/>
      <c r="Y27" s="126"/>
      <c r="Z27" s="126"/>
    </row>
    <row r="28" spans="1:256" x14ac:dyDescent="0.2">
      <c r="A28" s="217"/>
      <c r="B28" s="218"/>
      <c r="C28" s="390"/>
      <c r="D28" s="390"/>
      <c r="E28" s="390"/>
      <c r="F28" s="390"/>
      <c r="G28" s="390"/>
      <c r="H28" s="390"/>
      <c r="I28" s="390"/>
      <c r="J28" s="390"/>
      <c r="K28" s="390"/>
      <c r="L28" s="390"/>
      <c r="M28" s="391"/>
      <c r="N28" s="126"/>
      <c r="O28" s="126"/>
      <c r="P28" s="126"/>
      <c r="Q28" s="126"/>
      <c r="R28" s="126"/>
      <c r="S28" s="126"/>
      <c r="T28" s="126"/>
      <c r="U28" s="126"/>
      <c r="V28" s="126"/>
      <c r="W28" s="126"/>
      <c r="X28" s="126"/>
      <c r="Y28" s="126"/>
      <c r="Z28" s="126"/>
    </row>
    <row r="29" spans="1:256" x14ac:dyDescent="0.2">
      <c r="A29" s="217"/>
      <c r="B29" s="218"/>
      <c r="C29" s="390"/>
      <c r="D29" s="390"/>
      <c r="E29" s="390"/>
      <c r="F29" s="390"/>
      <c r="G29" s="390"/>
      <c r="H29" s="390"/>
      <c r="I29" s="390"/>
      <c r="J29" s="390"/>
      <c r="K29" s="390"/>
      <c r="L29" s="390"/>
      <c r="M29" s="391"/>
      <c r="N29" s="210"/>
      <c r="O29" s="210"/>
      <c r="P29" s="389"/>
      <c r="Q29" s="389"/>
      <c r="R29" s="389"/>
      <c r="S29" s="389"/>
      <c r="T29" s="389"/>
      <c r="U29" s="389"/>
      <c r="V29" s="389"/>
      <c r="W29" s="389"/>
      <c r="X29" s="389"/>
      <c r="Y29" s="389"/>
      <c r="Z29" s="389"/>
      <c r="AA29" s="206"/>
      <c r="AB29" s="206"/>
      <c r="AC29" s="388"/>
      <c r="AD29" s="388"/>
      <c r="AE29" s="388"/>
      <c r="AF29" s="388"/>
      <c r="AG29" s="388"/>
      <c r="AH29" s="388"/>
      <c r="AI29" s="388"/>
      <c r="AJ29" s="388"/>
      <c r="AK29" s="388"/>
      <c r="AL29" s="388"/>
      <c r="AM29" s="388"/>
      <c r="AN29" s="206"/>
      <c r="AO29" s="206"/>
      <c r="AP29" s="388"/>
      <c r="AQ29" s="388"/>
      <c r="AR29" s="388"/>
      <c r="AS29" s="388"/>
      <c r="AT29" s="388"/>
      <c r="AU29" s="388"/>
      <c r="AV29" s="388"/>
      <c r="AW29" s="388"/>
      <c r="AX29" s="388"/>
      <c r="AY29" s="388"/>
      <c r="AZ29" s="388"/>
      <c r="BA29" s="206"/>
      <c r="BB29" s="206"/>
      <c r="BC29" s="388"/>
      <c r="BD29" s="388"/>
      <c r="BE29" s="388"/>
      <c r="BF29" s="388"/>
      <c r="BG29" s="388"/>
      <c r="BH29" s="388"/>
      <c r="BI29" s="388"/>
      <c r="BJ29" s="388"/>
      <c r="BK29" s="388"/>
      <c r="BL29" s="388"/>
      <c r="BM29" s="388"/>
      <c r="BN29" s="206"/>
      <c r="BO29" s="206"/>
      <c r="BP29" s="388"/>
      <c r="BQ29" s="388"/>
      <c r="BR29" s="388"/>
      <c r="BS29" s="388"/>
      <c r="BT29" s="388"/>
      <c r="BU29" s="388"/>
      <c r="BV29" s="388"/>
      <c r="BW29" s="388"/>
      <c r="BX29" s="388"/>
      <c r="BY29" s="388"/>
      <c r="BZ29" s="388"/>
      <c r="CA29" s="206"/>
      <c r="CB29" s="206"/>
      <c r="CC29" s="388"/>
      <c r="CD29" s="388"/>
      <c r="CE29" s="388"/>
      <c r="CF29" s="388"/>
      <c r="CG29" s="388"/>
      <c r="CH29" s="388"/>
      <c r="CI29" s="388"/>
      <c r="CJ29" s="388"/>
      <c r="CK29" s="388"/>
      <c r="CL29" s="388"/>
      <c r="CM29" s="388"/>
      <c r="CN29" s="206"/>
      <c r="CO29" s="206"/>
      <c r="CP29" s="388"/>
      <c r="CQ29" s="388"/>
      <c r="CR29" s="388"/>
      <c r="CS29" s="388"/>
      <c r="CT29" s="388"/>
      <c r="CU29" s="388"/>
      <c r="CV29" s="388"/>
      <c r="CW29" s="388"/>
      <c r="CX29" s="388"/>
      <c r="CY29" s="388"/>
      <c r="CZ29" s="388"/>
      <c r="DA29" s="206"/>
      <c r="DB29" s="206"/>
      <c r="DC29" s="388"/>
      <c r="DD29" s="388"/>
      <c r="DE29" s="388"/>
      <c r="DF29" s="388"/>
      <c r="DG29" s="388"/>
      <c r="DH29" s="388"/>
      <c r="DI29" s="388"/>
      <c r="DJ29" s="388"/>
      <c r="DK29" s="388"/>
      <c r="DL29" s="388"/>
      <c r="DM29" s="388"/>
      <c r="DN29" s="206"/>
      <c r="DO29" s="206"/>
      <c r="DP29" s="388"/>
      <c r="DQ29" s="388"/>
      <c r="DR29" s="388"/>
      <c r="DS29" s="388"/>
      <c r="DT29" s="388"/>
      <c r="DU29" s="388"/>
      <c r="DV29" s="388"/>
      <c r="DW29" s="388"/>
      <c r="DX29" s="388"/>
      <c r="DY29" s="388"/>
      <c r="DZ29" s="388"/>
      <c r="EA29" s="206"/>
      <c r="EB29" s="206"/>
      <c r="EC29" s="388"/>
      <c r="ED29" s="388"/>
      <c r="EE29" s="388"/>
      <c r="EF29" s="388"/>
      <c r="EG29" s="388"/>
      <c r="EH29" s="388"/>
      <c r="EI29" s="388"/>
      <c r="EJ29" s="388"/>
      <c r="EK29" s="388"/>
      <c r="EL29" s="388"/>
      <c r="EM29" s="388"/>
      <c r="EN29" s="206"/>
      <c r="EO29" s="206"/>
      <c r="EP29" s="388"/>
      <c r="EQ29" s="388"/>
      <c r="ER29" s="388"/>
      <c r="ES29" s="388"/>
      <c r="ET29" s="388"/>
      <c r="EU29" s="388"/>
      <c r="EV29" s="388"/>
      <c r="EW29" s="388"/>
      <c r="EX29" s="388"/>
      <c r="EY29" s="388"/>
      <c r="EZ29" s="388"/>
      <c r="FA29" s="206"/>
      <c r="FB29" s="206"/>
      <c r="FC29" s="388"/>
      <c r="FD29" s="388"/>
      <c r="FE29" s="388"/>
      <c r="FF29" s="388"/>
      <c r="FG29" s="388"/>
      <c r="FH29" s="388"/>
      <c r="FI29" s="388"/>
      <c r="FJ29" s="388"/>
      <c r="FK29" s="388"/>
      <c r="FL29" s="388"/>
      <c r="FM29" s="388"/>
      <c r="FN29" s="206"/>
      <c r="FO29" s="206"/>
      <c r="FP29" s="388"/>
      <c r="FQ29" s="388"/>
      <c r="FR29" s="388"/>
      <c r="FS29" s="388"/>
      <c r="FT29" s="388"/>
      <c r="FU29" s="388"/>
      <c r="FV29" s="388"/>
      <c r="FW29" s="388"/>
      <c r="FX29" s="388"/>
      <c r="FY29" s="388"/>
      <c r="FZ29" s="388"/>
      <c r="GA29" s="206"/>
      <c r="GB29" s="206"/>
      <c r="GC29" s="388"/>
      <c r="GD29" s="388"/>
      <c r="GE29" s="388"/>
      <c r="GF29" s="388"/>
      <c r="GG29" s="388"/>
      <c r="GH29" s="388"/>
      <c r="GI29" s="388"/>
      <c r="GJ29" s="388"/>
      <c r="GK29" s="388"/>
      <c r="GL29" s="388"/>
      <c r="GM29" s="388"/>
      <c r="GN29" s="206"/>
      <c r="GO29" s="206"/>
      <c r="GP29" s="388"/>
      <c r="GQ29" s="388"/>
      <c r="GR29" s="388"/>
      <c r="GS29" s="388"/>
      <c r="GT29" s="388"/>
      <c r="GU29" s="388"/>
      <c r="GV29" s="388"/>
      <c r="GW29" s="388"/>
      <c r="GX29" s="388"/>
      <c r="GY29" s="388"/>
      <c r="GZ29" s="388"/>
      <c r="HA29" s="206"/>
      <c r="HB29" s="206"/>
      <c r="HC29" s="388"/>
      <c r="HD29" s="388"/>
      <c r="HE29" s="388"/>
      <c r="HF29" s="388"/>
      <c r="HG29" s="388"/>
      <c r="HH29" s="388"/>
      <c r="HI29" s="388"/>
      <c r="HJ29" s="388"/>
      <c r="HK29" s="388"/>
      <c r="HL29" s="388"/>
      <c r="HM29" s="388"/>
      <c r="HN29" s="206"/>
      <c r="HO29" s="206"/>
      <c r="HP29" s="388"/>
      <c r="HQ29" s="388"/>
      <c r="HR29" s="388"/>
      <c r="HS29" s="388"/>
      <c r="HT29" s="388"/>
      <c r="HU29" s="388"/>
      <c r="HV29" s="388"/>
      <c r="HW29" s="388"/>
      <c r="HX29" s="388"/>
      <c r="HY29" s="388"/>
      <c r="HZ29" s="388"/>
      <c r="IA29" s="206"/>
      <c r="IB29" s="206"/>
      <c r="IC29" s="388"/>
      <c r="ID29" s="388"/>
      <c r="IE29" s="388"/>
      <c r="IF29" s="388"/>
      <c r="IG29" s="388"/>
      <c r="IH29" s="388"/>
      <c r="II29" s="388"/>
      <c r="IJ29" s="388"/>
      <c r="IK29" s="388"/>
      <c r="IL29" s="388"/>
      <c r="IM29" s="388"/>
      <c r="IN29" s="206"/>
      <c r="IO29" s="206"/>
      <c r="IP29" s="388"/>
      <c r="IQ29" s="388"/>
      <c r="IR29" s="388"/>
      <c r="IS29" s="388"/>
      <c r="IT29" s="388"/>
      <c r="IU29" s="388"/>
      <c r="IV29" s="388"/>
    </row>
    <row r="30" spans="1:256" x14ac:dyDescent="0.2">
      <c r="A30" s="217"/>
      <c r="B30" s="218"/>
      <c r="C30" s="390"/>
      <c r="D30" s="390"/>
      <c r="E30" s="390"/>
      <c r="F30" s="390"/>
      <c r="G30" s="390"/>
      <c r="H30" s="390"/>
      <c r="I30" s="390"/>
      <c r="J30" s="390"/>
      <c r="K30" s="390"/>
      <c r="L30" s="390"/>
      <c r="M30" s="391"/>
      <c r="N30" s="210"/>
      <c r="O30" s="210"/>
      <c r="P30" s="389"/>
      <c r="Q30" s="389"/>
      <c r="R30" s="389"/>
      <c r="S30" s="389"/>
      <c r="T30" s="389"/>
      <c r="U30" s="389"/>
      <c r="V30" s="389"/>
      <c r="W30" s="389"/>
      <c r="X30" s="389"/>
      <c r="Y30" s="389"/>
      <c r="Z30" s="389"/>
      <c r="AA30" s="206"/>
      <c r="AB30" s="206"/>
      <c r="AC30" s="388"/>
      <c r="AD30" s="388"/>
      <c r="AE30" s="388"/>
      <c r="AF30" s="388"/>
      <c r="AG30" s="388"/>
      <c r="AH30" s="388"/>
      <c r="AI30" s="388"/>
      <c r="AJ30" s="388"/>
      <c r="AK30" s="388"/>
      <c r="AL30" s="388"/>
      <c r="AM30" s="388"/>
      <c r="AN30" s="206"/>
      <c r="AO30" s="206"/>
      <c r="AP30" s="388"/>
      <c r="AQ30" s="388"/>
      <c r="AR30" s="388"/>
      <c r="AS30" s="388"/>
      <c r="AT30" s="388"/>
      <c r="AU30" s="388"/>
      <c r="AV30" s="388"/>
      <c r="AW30" s="388"/>
      <c r="AX30" s="388"/>
      <c r="AY30" s="388"/>
      <c r="AZ30" s="388"/>
      <c r="BA30" s="206"/>
      <c r="BB30" s="206"/>
      <c r="BC30" s="388"/>
      <c r="BD30" s="388"/>
      <c r="BE30" s="388"/>
      <c r="BF30" s="388"/>
      <c r="BG30" s="388"/>
      <c r="BH30" s="388"/>
      <c r="BI30" s="388"/>
      <c r="BJ30" s="388"/>
      <c r="BK30" s="388"/>
      <c r="BL30" s="388"/>
      <c r="BM30" s="388"/>
      <c r="BN30" s="206"/>
      <c r="BO30" s="206"/>
      <c r="BP30" s="388"/>
      <c r="BQ30" s="388"/>
      <c r="BR30" s="388"/>
      <c r="BS30" s="388"/>
      <c r="BT30" s="388"/>
      <c r="BU30" s="388"/>
      <c r="BV30" s="388"/>
      <c r="BW30" s="388"/>
      <c r="BX30" s="388"/>
      <c r="BY30" s="388"/>
      <c r="BZ30" s="388"/>
      <c r="CA30" s="206"/>
      <c r="CB30" s="206"/>
      <c r="CC30" s="388"/>
      <c r="CD30" s="388"/>
      <c r="CE30" s="388"/>
      <c r="CF30" s="388"/>
      <c r="CG30" s="388"/>
      <c r="CH30" s="388"/>
      <c r="CI30" s="388"/>
      <c r="CJ30" s="388"/>
      <c r="CK30" s="388"/>
      <c r="CL30" s="388"/>
      <c r="CM30" s="388"/>
      <c r="CN30" s="206"/>
      <c r="CO30" s="206"/>
      <c r="CP30" s="388"/>
      <c r="CQ30" s="388"/>
      <c r="CR30" s="388"/>
      <c r="CS30" s="388"/>
      <c r="CT30" s="388"/>
      <c r="CU30" s="388"/>
      <c r="CV30" s="388"/>
      <c r="CW30" s="388"/>
      <c r="CX30" s="388"/>
      <c r="CY30" s="388"/>
      <c r="CZ30" s="388"/>
      <c r="DA30" s="206"/>
      <c r="DB30" s="206"/>
      <c r="DC30" s="388"/>
      <c r="DD30" s="388"/>
      <c r="DE30" s="388"/>
      <c r="DF30" s="388"/>
      <c r="DG30" s="388"/>
      <c r="DH30" s="388"/>
      <c r="DI30" s="388"/>
      <c r="DJ30" s="388"/>
      <c r="DK30" s="388"/>
      <c r="DL30" s="388"/>
      <c r="DM30" s="388"/>
      <c r="DN30" s="206"/>
      <c r="DO30" s="206"/>
      <c r="DP30" s="388"/>
      <c r="DQ30" s="388"/>
      <c r="DR30" s="388"/>
      <c r="DS30" s="388"/>
      <c r="DT30" s="388"/>
      <c r="DU30" s="388"/>
      <c r="DV30" s="388"/>
      <c r="DW30" s="388"/>
      <c r="DX30" s="388"/>
      <c r="DY30" s="388"/>
      <c r="DZ30" s="388"/>
      <c r="EA30" s="206"/>
      <c r="EB30" s="206"/>
      <c r="EC30" s="388"/>
      <c r="ED30" s="388"/>
      <c r="EE30" s="388"/>
      <c r="EF30" s="388"/>
      <c r="EG30" s="388"/>
      <c r="EH30" s="388"/>
      <c r="EI30" s="388"/>
      <c r="EJ30" s="388"/>
      <c r="EK30" s="388"/>
      <c r="EL30" s="388"/>
      <c r="EM30" s="388"/>
      <c r="EN30" s="206"/>
      <c r="EO30" s="206"/>
      <c r="EP30" s="388"/>
      <c r="EQ30" s="388"/>
      <c r="ER30" s="388"/>
      <c r="ES30" s="388"/>
      <c r="ET30" s="388"/>
      <c r="EU30" s="388"/>
      <c r="EV30" s="388"/>
      <c r="EW30" s="388"/>
      <c r="EX30" s="388"/>
      <c r="EY30" s="388"/>
      <c r="EZ30" s="388"/>
      <c r="FA30" s="206"/>
      <c r="FB30" s="206"/>
      <c r="FC30" s="388"/>
      <c r="FD30" s="388"/>
      <c r="FE30" s="388"/>
      <c r="FF30" s="388"/>
      <c r="FG30" s="388"/>
      <c r="FH30" s="388"/>
      <c r="FI30" s="388"/>
      <c r="FJ30" s="388"/>
      <c r="FK30" s="388"/>
      <c r="FL30" s="388"/>
      <c r="FM30" s="388"/>
      <c r="FN30" s="206"/>
      <c r="FO30" s="206"/>
      <c r="FP30" s="388"/>
      <c r="FQ30" s="388"/>
      <c r="FR30" s="388"/>
      <c r="FS30" s="388"/>
      <c r="FT30" s="388"/>
      <c r="FU30" s="388"/>
      <c r="FV30" s="388"/>
      <c r="FW30" s="388"/>
      <c r="FX30" s="388"/>
      <c r="FY30" s="388"/>
      <c r="FZ30" s="388"/>
      <c r="GA30" s="206"/>
      <c r="GB30" s="206"/>
      <c r="GC30" s="388"/>
      <c r="GD30" s="388"/>
      <c r="GE30" s="388"/>
      <c r="GF30" s="388"/>
      <c r="GG30" s="388"/>
      <c r="GH30" s="388"/>
      <c r="GI30" s="388"/>
      <c r="GJ30" s="388"/>
      <c r="GK30" s="388"/>
      <c r="GL30" s="388"/>
      <c r="GM30" s="388"/>
      <c r="GN30" s="206"/>
      <c r="GO30" s="206"/>
      <c r="GP30" s="388"/>
      <c r="GQ30" s="388"/>
      <c r="GR30" s="388"/>
      <c r="GS30" s="388"/>
      <c r="GT30" s="388"/>
      <c r="GU30" s="388"/>
      <c r="GV30" s="388"/>
      <c r="GW30" s="388"/>
      <c r="GX30" s="388"/>
      <c r="GY30" s="388"/>
      <c r="GZ30" s="388"/>
      <c r="HA30" s="206"/>
      <c r="HB30" s="206"/>
      <c r="HC30" s="388"/>
      <c r="HD30" s="388"/>
      <c r="HE30" s="388"/>
      <c r="HF30" s="388"/>
      <c r="HG30" s="388"/>
      <c r="HH30" s="388"/>
      <c r="HI30" s="388"/>
      <c r="HJ30" s="388"/>
      <c r="HK30" s="388"/>
      <c r="HL30" s="388"/>
      <c r="HM30" s="388"/>
      <c r="HN30" s="206"/>
      <c r="HO30" s="206"/>
      <c r="HP30" s="388"/>
      <c r="HQ30" s="388"/>
      <c r="HR30" s="388"/>
      <c r="HS30" s="388"/>
      <c r="HT30" s="388"/>
      <c r="HU30" s="388"/>
      <c r="HV30" s="388"/>
      <c r="HW30" s="388"/>
      <c r="HX30" s="388"/>
      <c r="HY30" s="388"/>
      <c r="HZ30" s="388"/>
      <c r="IA30" s="206"/>
      <c r="IB30" s="206"/>
      <c r="IC30" s="388"/>
      <c r="ID30" s="388"/>
      <c r="IE30" s="388"/>
      <c r="IF30" s="388"/>
      <c r="IG30" s="388"/>
      <c r="IH30" s="388"/>
      <c r="II30" s="388"/>
      <c r="IJ30" s="388"/>
      <c r="IK30" s="388"/>
      <c r="IL30" s="388"/>
      <c r="IM30" s="388"/>
      <c r="IN30" s="206"/>
      <c r="IO30" s="206"/>
      <c r="IP30" s="388"/>
      <c r="IQ30" s="388"/>
      <c r="IR30" s="388"/>
      <c r="IS30" s="388"/>
      <c r="IT30" s="388"/>
      <c r="IU30" s="388"/>
      <c r="IV30" s="388"/>
    </row>
    <row r="31" spans="1:256" x14ac:dyDescent="0.2">
      <c r="A31" s="217"/>
      <c r="B31" s="218"/>
      <c r="C31" s="390"/>
      <c r="D31" s="390"/>
      <c r="E31" s="390"/>
      <c r="F31" s="390"/>
      <c r="G31" s="390"/>
      <c r="H31" s="390"/>
      <c r="I31" s="390"/>
      <c r="J31" s="390"/>
      <c r="K31" s="390"/>
      <c r="L31" s="390"/>
      <c r="M31" s="391"/>
      <c r="N31" s="210"/>
      <c r="O31" s="210"/>
      <c r="P31" s="389"/>
      <c r="Q31" s="389"/>
      <c r="R31" s="389"/>
      <c r="S31" s="389"/>
      <c r="T31" s="389"/>
      <c r="U31" s="389"/>
      <c r="V31" s="389"/>
      <c r="W31" s="389"/>
      <c r="X31" s="389"/>
      <c r="Y31" s="389"/>
      <c r="Z31" s="389"/>
      <c r="AA31" s="206"/>
      <c r="AB31" s="206"/>
      <c r="AC31" s="388"/>
      <c r="AD31" s="388"/>
      <c r="AE31" s="388"/>
      <c r="AF31" s="388"/>
      <c r="AG31" s="388"/>
      <c r="AH31" s="388"/>
      <c r="AI31" s="388"/>
      <c r="AJ31" s="388"/>
      <c r="AK31" s="388"/>
      <c r="AL31" s="388"/>
      <c r="AM31" s="388"/>
      <c r="AN31" s="206"/>
      <c r="AO31" s="206"/>
      <c r="AP31" s="388"/>
      <c r="AQ31" s="388"/>
      <c r="AR31" s="388"/>
      <c r="AS31" s="388"/>
      <c r="AT31" s="388"/>
      <c r="AU31" s="388"/>
      <c r="AV31" s="388"/>
      <c r="AW31" s="388"/>
      <c r="AX31" s="388"/>
      <c r="AY31" s="388"/>
      <c r="AZ31" s="388"/>
      <c r="BA31" s="206"/>
      <c r="BB31" s="206"/>
      <c r="BC31" s="388"/>
      <c r="BD31" s="388"/>
      <c r="BE31" s="388"/>
      <c r="BF31" s="388"/>
      <c r="BG31" s="388"/>
      <c r="BH31" s="388"/>
      <c r="BI31" s="388"/>
      <c r="BJ31" s="388"/>
      <c r="BK31" s="388"/>
      <c r="BL31" s="388"/>
      <c r="BM31" s="388"/>
      <c r="BN31" s="206"/>
      <c r="BO31" s="206"/>
      <c r="BP31" s="388"/>
      <c r="BQ31" s="388"/>
      <c r="BR31" s="388"/>
      <c r="BS31" s="388"/>
      <c r="BT31" s="388"/>
      <c r="BU31" s="388"/>
      <c r="BV31" s="388"/>
      <c r="BW31" s="388"/>
      <c r="BX31" s="388"/>
      <c r="BY31" s="388"/>
      <c r="BZ31" s="388"/>
      <c r="CA31" s="206"/>
      <c r="CB31" s="206"/>
      <c r="CC31" s="388"/>
      <c r="CD31" s="388"/>
      <c r="CE31" s="388"/>
      <c r="CF31" s="388"/>
      <c r="CG31" s="388"/>
      <c r="CH31" s="388"/>
      <c r="CI31" s="388"/>
      <c r="CJ31" s="388"/>
      <c r="CK31" s="388"/>
      <c r="CL31" s="388"/>
      <c r="CM31" s="388"/>
      <c r="CN31" s="206"/>
      <c r="CO31" s="206"/>
      <c r="CP31" s="388"/>
      <c r="CQ31" s="388"/>
      <c r="CR31" s="388"/>
      <c r="CS31" s="388"/>
      <c r="CT31" s="388"/>
      <c r="CU31" s="388"/>
      <c r="CV31" s="388"/>
      <c r="CW31" s="388"/>
      <c r="CX31" s="388"/>
      <c r="CY31" s="388"/>
      <c r="CZ31" s="388"/>
      <c r="DA31" s="206"/>
      <c r="DB31" s="206"/>
      <c r="DC31" s="388"/>
      <c r="DD31" s="388"/>
      <c r="DE31" s="388"/>
      <c r="DF31" s="388"/>
      <c r="DG31" s="388"/>
      <c r="DH31" s="388"/>
      <c r="DI31" s="388"/>
      <c r="DJ31" s="388"/>
      <c r="DK31" s="388"/>
      <c r="DL31" s="388"/>
      <c r="DM31" s="388"/>
      <c r="DN31" s="206"/>
      <c r="DO31" s="206"/>
      <c r="DP31" s="388"/>
      <c r="DQ31" s="388"/>
      <c r="DR31" s="388"/>
      <c r="DS31" s="388"/>
      <c r="DT31" s="388"/>
      <c r="DU31" s="388"/>
      <c r="DV31" s="388"/>
      <c r="DW31" s="388"/>
      <c r="DX31" s="388"/>
      <c r="DY31" s="388"/>
      <c r="DZ31" s="388"/>
      <c r="EA31" s="206"/>
      <c r="EB31" s="206"/>
      <c r="EC31" s="388"/>
      <c r="ED31" s="388"/>
      <c r="EE31" s="388"/>
      <c r="EF31" s="388"/>
      <c r="EG31" s="388"/>
      <c r="EH31" s="388"/>
      <c r="EI31" s="388"/>
      <c r="EJ31" s="388"/>
      <c r="EK31" s="388"/>
      <c r="EL31" s="388"/>
      <c r="EM31" s="388"/>
      <c r="EN31" s="206"/>
      <c r="EO31" s="206"/>
      <c r="EP31" s="388"/>
      <c r="EQ31" s="388"/>
      <c r="ER31" s="388"/>
      <c r="ES31" s="388"/>
      <c r="ET31" s="388"/>
      <c r="EU31" s="388"/>
      <c r="EV31" s="388"/>
      <c r="EW31" s="388"/>
      <c r="EX31" s="388"/>
      <c r="EY31" s="388"/>
      <c r="EZ31" s="388"/>
      <c r="FA31" s="206"/>
      <c r="FB31" s="206"/>
      <c r="FC31" s="388"/>
      <c r="FD31" s="388"/>
      <c r="FE31" s="388"/>
      <c r="FF31" s="388"/>
      <c r="FG31" s="388"/>
      <c r="FH31" s="388"/>
      <c r="FI31" s="388"/>
      <c r="FJ31" s="388"/>
      <c r="FK31" s="388"/>
      <c r="FL31" s="388"/>
      <c r="FM31" s="388"/>
      <c r="FN31" s="206"/>
      <c r="FO31" s="206"/>
      <c r="FP31" s="388"/>
      <c r="FQ31" s="388"/>
      <c r="FR31" s="388"/>
      <c r="FS31" s="388"/>
      <c r="FT31" s="388"/>
      <c r="FU31" s="388"/>
      <c r="FV31" s="388"/>
      <c r="FW31" s="388"/>
      <c r="FX31" s="388"/>
      <c r="FY31" s="388"/>
      <c r="FZ31" s="388"/>
      <c r="GA31" s="206"/>
      <c r="GB31" s="206"/>
      <c r="GC31" s="388"/>
      <c r="GD31" s="388"/>
      <c r="GE31" s="388"/>
      <c r="GF31" s="388"/>
      <c r="GG31" s="388"/>
      <c r="GH31" s="388"/>
      <c r="GI31" s="388"/>
      <c r="GJ31" s="388"/>
      <c r="GK31" s="388"/>
      <c r="GL31" s="388"/>
      <c r="GM31" s="388"/>
      <c r="GN31" s="206"/>
      <c r="GO31" s="206"/>
      <c r="GP31" s="388"/>
      <c r="GQ31" s="388"/>
      <c r="GR31" s="388"/>
      <c r="GS31" s="388"/>
      <c r="GT31" s="388"/>
      <c r="GU31" s="388"/>
      <c r="GV31" s="388"/>
      <c r="GW31" s="388"/>
      <c r="GX31" s="388"/>
      <c r="GY31" s="388"/>
      <c r="GZ31" s="388"/>
      <c r="HA31" s="206"/>
      <c r="HB31" s="206"/>
      <c r="HC31" s="388"/>
      <c r="HD31" s="388"/>
      <c r="HE31" s="388"/>
      <c r="HF31" s="388"/>
      <c r="HG31" s="388"/>
      <c r="HH31" s="388"/>
      <c r="HI31" s="388"/>
      <c r="HJ31" s="388"/>
      <c r="HK31" s="388"/>
      <c r="HL31" s="388"/>
      <c r="HM31" s="388"/>
      <c r="HN31" s="206"/>
      <c r="HO31" s="206"/>
      <c r="HP31" s="388"/>
      <c r="HQ31" s="388"/>
      <c r="HR31" s="388"/>
      <c r="HS31" s="388"/>
      <c r="HT31" s="388"/>
      <c r="HU31" s="388"/>
      <c r="HV31" s="388"/>
      <c r="HW31" s="388"/>
      <c r="HX31" s="388"/>
      <c r="HY31" s="388"/>
      <c r="HZ31" s="388"/>
      <c r="IA31" s="206"/>
      <c r="IB31" s="206"/>
      <c r="IC31" s="388"/>
      <c r="ID31" s="388"/>
      <c r="IE31" s="388"/>
      <c r="IF31" s="388"/>
      <c r="IG31" s="388"/>
      <c r="IH31" s="388"/>
      <c r="II31" s="388"/>
      <c r="IJ31" s="388"/>
      <c r="IK31" s="388"/>
      <c r="IL31" s="388"/>
      <c r="IM31" s="388"/>
      <c r="IN31" s="206"/>
      <c r="IO31" s="206"/>
      <c r="IP31" s="388"/>
      <c r="IQ31" s="388"/>
      <c r="IR31" s="388"/>
      <c r="IS31" s="388"/>
      <c r="IT31" s="388"/>
      <c r="IU31" s="388"/>
      <c r="IV31" s="388"/>
    </row>
    <row r="32" spans="1:256" x14ac:dyDescent="0.2">
      <c r="A32" s="217"/>
      <c r="B32" s="218"/>
      <c r="C32" s="390"/>
      <c r="D32" s="390"/>
      <c r="E32" s="390"/>
      <c r="F32" s="390"/>
      <c r="G32" s="390"/>
      <c r="H32" s="390"/>
      <c r="I32" s="390"/>
      <c r="J32" s="390"/>
      <c r="K32" s="390"/>
      <c r="L32" s="390"/>
      <c r="M32" s="391"/>
      <c r="N32" s="222"/>
      <c r="O32" s="222"/>
      <c r="P32" s="400"/>
      <c r="Q32" s="400"/>
      <c r="R32" s="400"/>
      <c r="S32" s="400"/>
      <c r="T32" s="400"/>
      <c r="U32" s="400"/>
      <c r="V32" s="400"/>
      <c r="W32" s="400"/>
      <c r="X32" s="400"/>
      <c r="Y32" s="400"/>
      <c r="Z32" s="401"/>
      <c r="AA32" s="217"/>
      <c r="AB32" s="218"/>
      <c r="AC32" s="390"/>
      <c r="AD32" s="390"/>
      <c r="AE32" s="390"/>
      <c r="AF32" s="390"/>
      <c r="AG32" s="390"/>
      <c r="AH32" s="390"/>
      <c r="AI32" s="390"/>
      <c r="AJ32" s="390"/>
      <c r="AK32" s="390"/>
      <c r="AL32" s="390"/>
      <c r="AM32" s="391"/>
      <c r="AN32" s="217"/>
      <c r="AO32" s="218"/>
      <c r="AP32" s="390"/>
      <c r="AQ32" s="390"/>
      <c r="AR32" s="390"/>
      <c r="AS32" s="390"/>
      <c r="AT32" s="390"/>
      <c r="AU32" s="390"/>
      <c r="AV32" s="390"/>
      <c r="AW32" s="390"/>
      <c r="AX32" s="390"/>
      <c r="AY32" s="390"/>
      <c r="AZ32" s="391"/>
      <c r="BA32" s="217"/>
      <c r="BB32" s="218"/>
      <c r="BC32" s="390"/>
      <c r="BD32" s="390"/>
      <c r="BE32" s="390"/>
      <c r="BF32" s="390"/>
      <c r="BG32" s="390"/>
      <c r="BH32" s="390"/>
      <c r="BI32" s="390"/>
      <c r="BJ32" s="390"/>
      <c r="BK32" s="390"/>
      <c r="BL32" s="390"/>
      <c r="BM32" s="391"/>
      <c r="BN32" s="217"/>
      <c r="BO32" s="218"/>
      <c r="BP32" s="390"/>
      <c r="BQ32" s="390"/>
      <c r="BR32" s="390"/>
      <c r="BS32" s="390"/>
      <c r="BT32" s="390"/>
      <c r="BU32" s="390"/>
      <c r="BV32" s="390"/>
      <c r="BW32" s="390"/>
      <c r="BX32" s="390"/>
      <c r="BY32" s="390"/>
      <c r="BZ32" s="391"/>
      <c r="CA32" s="217"/>
      <c r="CB32" s="218"/>
      <c r="CC32" s="390"/>
      <c r="CD32" s="390"/>
      <c r="CE32" s="390"/>
      <c r="CF32" s="390"/>
      <c r="CG32" s="390"/>
      <c r="CH32" s="390"/>
      <c r="CI32" s="390"/>
      <c r="CJ32" s="390"/>
      <c r="CK32" s="390"/>
      <c r="CL32" s="390"/>
      <c r="CM32" s="391"/>
      <c r="CN32" s="217"/>
      <c r="CO32" s="218"/>
      <c r="CP32" s="390"/>
      <c r="CQ32" s="390"/>
      <c r="CR32" s="390"/>
      <c r="CS32" s="390"/>
      <c r="CT32" s="390"/>
      <c r="CU32" s="390"/>
      <c r="CV32" s="390"/>
      <c r="CW32" s="390"/>
      <c r="CX32" s="390"/>
      <c r="CY32" s="390"/>
      <c r="CZ32" s="391"/>
      <c r="DA32" s="217"/>
      <c r="DB32" s="218"/>
      <c r="DC32" s="390"/>
      <c r="DD32" s="390"/>
      <c r="DE32" s="390"/>
      <c r="DF32" s="390"/>
      <c r="DG32" s="390"/>
      <c r="DH32" s="390"/>
      <c r="DI32" s="390"/>
      <c r="DJ32" s="390"/>
      <c r="DK32" s="390"/>
      <c r="DL32" s="390"/>
      <c r="DM32" s="391"/>
      <c r="DN32" s="217"/>
      <c r="DO32" s="218"/>
      <c r="DP32" s="390"/>
      <c r="DQ32" s="390"/>
      <c r="DR32" s="390"/>
      <c r="DS32" s="390"/>
      <c r="DT32" s="390"/>
      <c r="DU32" s="390"/>
      <c r="DV32" s="390"/>
      <c r="DW32" s="390"/>
      <c r="DX32" s="390"/>
      <c r="DY32" s="390"/>
      <c r="DZ32" s="391"/>
      <c r="EA32" s="217"/>
      <c r="EB32" s="218"/>
      <c r="EC32" s="390"/>
      <c r="ED32" s="390"/>
      <c r="EE32" s="390"/>
      <c r="EF32" s="390"/>
      <c r="EG32" s="390"/>
      <c r="EH32" s="390"/>
      <c r="EI32" s="390"/>
      <c r="EJ32" s="390"/>
      <c r="EK32" s="390"/>
      <c r="EL32" s="390"/>
      <c r="EM32" s="391"/>
      <c r="EN32" s="217"/>
      <c r="EO32" s="218"/>
      <c r="EP32" s="390"/>
      <c r="EQ32" s="390"/>
      <c r="ER32" s="390"/>
      <c r="ES32" s="390"/>
      <c r="ET32" s="390"/>
      <c r="EU32" s="390"/>
      <c r="EV32" s="390"/>
      <c r="EW32" s="390"/>
      <c r="EX32" s="390"/>
      <c r="EY32" s="390"/>
      <c r="EZ32" s="391"/>
      <c r="FA32" s="217"/>
      <c r="FB32" s="218"/>
      <c r="FC32" s="390"/>
      <c r="FD32" s="390"/>
      <c r="FE32" s="390"/>
      <c r="FF32" s="390"/>
      <c r="FG32" s="390"/>
      <c r="FH32" s="390"/>
      <c r="FI32" s="390"/>
      <c r="FJ32" s="390"/>
      <c r="FK32" s="390"/>
      <c r="FL32" s="390"/>
      <c r="FM32" s="391"/>
      <c r="FN32" s="217"/>
      <c r="FO32" s="218"/>
      <c r="FP32" s="390"/>
      <c r="FQ32" s="390"/>
      <c r="FR32" s="390"/>
      <c r="FS32" s="390"/>
      <c r="FT32" s="390"/>
      <c r="FU32" s="390"/>
      <c r="FV32" s="390"/>
      <c r="FW32" s="390"/>
      <c r="FX32" s="390"/>
      <c r="FY32" s="390"/>
      <c r="FZ32" s="391"/>
      <c r="GA32" s="217"/>
      <c r="GB32" s="218"/>
      <c r="GC32" s="390"/>
      <c r="GD32" s="390"/>
      <c r="GE32" s="390"/>
      <c r="GF32" s="390"/>
      <c r="GG32" s="390"/>
      <c r="GH32" s="390"/>
      <c r="GI32" s="390"/>
      <c r="GJ32" s="390"/>
      <c r="GK32" s="390"/>
      <c r="GL32" s="390"/>
      <c r="GM32" s="391"/>
      <c r="GN32" s="217"/>
      <c r="GO32" s="218"/>
      <c r="GP32" s="390"/>
      <c r="GQ32" s="390"/>
      <c r="GR32" s="390"/>
      <c r="GS32" s="390"/>
      <c r="GT32" s="390"/>
      <c r="GU32" s="390"/>
      <c r="GV32" s="390"/>
      <c r="GW32" s="390"/>
      <c r="GX32" s="390"/>
      <c r="GY32" s="390"/>
      <c r="GZ32" s="391"/>
      <c r="HA32" s="217"/>
      <c r="HB32" s="218"/>
      <c r="HC32" s="390"/>
      <c r="HD32" s="390"/>
      <c r="HE32" s="390"/>
      <c r="HF32" s="390"/>
      <c r="HG32" s="390"/>
      <c r="HH32" s="390"/>
      <c r="HI32" s="390"/>
      <c r="HJ32" s="390"/>
      <c r="HK32" s="390"/>
      <c r="HL32" s="390"/>
      <c r="HM32" s="391"/>
      <c r="HN32" s="217"/>
      <c r="HO32" s="218"/>
      <c r="HP32" s="390"/>
      <c r="HQ32" s="390"/>
      <c r="HR32" s="390"/>
      <c r="HS32" s="390"/>
      <c r="HT32" s="390"/>
      <c r="HU32" s="390"/>
      <c r="HV32" s="390"/>
      <c r="HW32" s="390"/>
      <c r="HX32" s="390"/>
      <c r="HY32" s="390"/>
      <c r="HZ32" s="391"/>
      <c r="IA32" s="217"/>
      <c r="IB32" s="218"/>
      <c r="IC32" s="390"/>
      <c r="ID32" s="390"/>
      <c r="IE32" s="390"/>
      <c r="IF32" s="390"/>
      <c r="IG32" s="390"/>
      <c r="IH32" s="390"/>
      <c r="II32" s="390"/>
      <c r="IJ32" s="390"/>
      <c r="IK32" s="390"/>
      <c r="IL32" s="390"/>
      <c r="IM32" s="391"/>
      <c r="IN32" s="217"/>
      <c r="IO32" s="218"/>
      <c r="IP32" s="390"/>
      <c r="IQ32" s="390"/>
      <c r="IR32" s="390"/>
      <c r="IS32" s="390"/>
      <c r="IT32" s="390"/>
      <c r="IU32" s="390"/>
      <c r="IV32" s="390"/>
    </row>
    <row r="33" spans="1:256" x14ac:dyDescent="0.2">
      <c r="A33" s="217"/>
      <c r="B33" s="218"/>
      <c r="C33" s="390"/>
      <c r="D33" s="390"/>
      <c r="E33" s="390"/>
      <c r="F33" s="390"/>
      <c r="G33" s="390"/>
      <c r="H33" s="390"/>
      <c r="I33" s="390"/>
      <c r="J33" s="390"/>
      <c r="K33" s="390"/>
      <c r="L33" s="390"/>
      <c r="M33" s="391"/>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90"/>
      <c r="D34" s="390"/>
      <c r="E34" s="390"/>
      <c r="F34" s="390"/>
      <c r="G34" s="390"/>
      <c r="H34" s="390"/>
      <c r="I34" s="390"/>
      <c r="J34" s="390"/>
      <c r="K34" s="390"/>
      <c r="L34" s="390"/>
      <c r="M34" s="391"/>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90"/>
      <c r="D35" s="390"/>
      <c r="E35" s="390"/>
      <c r="F35" s="390"/>
      <c r="G35" s="390"/>
      <c r="H35" s="390"/>
      <c r="I35" s="390"/>
      <c r="J35" s="390"/>
      <c r="K35" s="390"/>
      <c r="L35" s="390"/>
      <c r="M35" s="391"/>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90"/>
      <c r="D36" s="390"/>
      <c r="E36" s="390"/>
      <c r="F36" s="390"/>
      <c r="G36" s="390"/>
      <c r="H36" s="390"/>
      <c r="I36" s="390"/>
      <c r="J36" s="390"/>
      <c r="K36" s="390"/>
      <c r="L36" s="390"/>
      <c r="M36" s="391"/>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90"/>
      <c r="D37" s="390"/>
      <c r="E37" s="390"/>
      <c r="F37" s="390"/>
      <c r="G37" s="390"/>
      <c r="H37" s="390"/>
      <c r="I37" s="390"/>
      <c r="J37" s="390"/>
      <c r="K37" s="390"/>
      <c r="L37" s="390"/>
      <c r="M37" s="391"/>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90"/>
      <c r="D38" s="390"/>
      <c r="E38" s="390"/>
      <c r="F38" s="390"/>
      <c r="G38" s="390"/>
      <c r="H38" s="390"/>
      <c r="I38" s="390"/>
      <c r="J38" s="390"/>
      <c r="K38" s="390"/>
      <c r="L38" s="390"/>
      <c r="M38" s="391"/>
      <c r="N38" s="210"/>
      <c r="O38" s="210"/>
      <c r="P38" s="389"/>
      <c r="Q38" s="389"/>
      <c r="R38" s="389"/>
      <c r="S38" s="389"/>
      <c r="T38" s="389"/>
      <c r="U38" s="389"/>
      <c r="V38" s="389"/>
      <c r="W38" s="389"/>
      <c r="X38" s="389"/>
      <c r="Y38" s="389"/>
      <c r="Z38" s="389"/>
      <c r="AA38" s="206"/>
      <c r="AB38" s="206"/>
      <c r="AC38" s="388"/>
      <c r="AD38" s="388"/>
      <c r="AE38" s="388"/>
      <c r="AF38" s="388"/>
      <c r="AG38" s="388"/>
      <c r="AH38" s="388"/>
      <c r="AI38" s="388"/>
      <c r="AJ38" s="388"/>
      <c r="AK38" s="388"/>
      <c r="AL38" s="388"/>
      <c r="AM38" s="388"/>
      <c r="AN38" s="206"/>
      <c r="AO38" s="206"/>
      <c r="AP38" s="388"/>
      <c r="AQ38" s="388"/>
      <c r="AR38" s="388"/>
      <c r="AS38" s="388"/>
      <c r="AT38" s="388"/>
      <c r="AU38" s="388"/>
      <c r="AV38" s="388"/>
      <c r="AW38" s="388"/>
      <c r="AX38" s="388"/>
      <c r="AY38" s="388"/>
      <c r="AZ38" s="388"/>
      <c r="BA38" s="206"/>
      <c r="BB38" s="206"/>
      <c r="BC38" s="388"/>
      <c r="BD38" s="388"/>
      <c r="BE38" s="388"/>
      <c r="BF38" s="388"/>
      <c r="BG38" s="388"/>
      <c r="BH38" s="388"/>
      <c r="BI38" s="388"/>
      <c r="BJ38" s="388"/>
      <c r="BK38" s="388"/>
      <c r="BL38" s="388"/>
      <c r="BM38" s="388"/>
      <c r="BN38" s="206"/>
      <c r="BO38" s="206"/>
      <c r="BP38" s="388"/>
      <c r="BQ38" s="388"/>
      <c r="BR38" s="388"/>
      <c r="BS38" s="388"/>
      <c r="BT38" s="388"/>
      <c r="BU38" s="388"/>
      <c r="BV38" s="388"/>
      <c r="BW38" s="388"/>
      <c r="BX38" s="388"/>
      <c r="BY38" s="388"/>
      <c r="BZ38" s="388"/>
      <c r="CA38" s="206"/>
      <c r="CB38" s="206"/>
      <c r="CC38" s="388"/>
      <c r="CD38" s="388"/>
      <c r="CE38" s="388"/>
      <c r="CF38" s="388"/>
      <c r="CG38" s="388"/>
      <c r="CH38" s="388"/>
      <c r="CI38" s="388"/>
      <c r="CJ38" s="388"/>
      <c r="CK38" s="388"/>
      <c r="CL38" s="388"/>
      <c r="CM38" s="388"/>
      <c r="CN38" s="206"/>
      <c r="CO38" s="206"/>
      <c r="CP38" s="388"/>
      <c r="CQ38" s="388"/>
      <c r="CR38" s="388"/>
      <c r="CS38" s="388"/>
      <c r="CT38" s="388"/>
      <c r="CU38" s="388"/>
      <c r="CV38" s="388"/>
      <c r="CW38" s="388"/>
      <c r="CX38" s="388"/>
      <c r="CY38" s="388"/>
      <c r="CZ38" s="388"/>
      <c r="DA38" s="206"/>
      <c r="DB38" s="206"/>
      <c r="DC38" s="388"/>
      <c r="DD38" s="388"/>
      <c r="DE38" s="388"/>
      <c r="DF38" s="388"/>
      <c r="DG38" s="388"/>
      <c r="DH38" s="388"/>
      <c r="DI38" s="388"/>
      <c r="DJ38" s="388"/>
      <c r="DK38" s="388"/>
      <c r="DL38" s="388"/>
      <c r="DM38" s="388"/>
      <c r="DN38" s="206"/>
      <c r="DO38" s="206"/>
      <c r="DP38" s="388"/>
      <c r="DQ38" s="388"/>
      <c r="DR38" s="388"/>
      <c r="DS38" s="388"/>
      <c r="DT38" s="388"/>
      <c r="DU38" s="388"/>
      <c r="DV38" s="388"/>
      <c r="DW38" s="388"/>
      <c r="DX38" s="388"/>
      <c r="DY38" s="388"/>
      <c r="DZ38" s="388"/>
      <c r="EA38" s="206"/>
      <c r="EB38" s="206"/>
      <c r="EC38" s="388"/>
      <c r="ED38" s="388"/>
      <c r="EE38" s="388"/>
      <c r="EF38" s="388"/>
      <c r="EG38" s="388"/>
      <c r="EH38" s="388"/>
      <c r="EI38" s="388"/>
      <c r="EJ38" s="388"/>
      <c r="EK38" s="388"/>
      <c r="EL38" s="388"/>
      <c r="EM38" s="388"/>
      <c r="EN38" s="206"/>
      <c r="EO38" s="206"/>
      <c r="EP38" s="388"/>
      <c r="EQ38" s="388"/>
      <c r="ER38" s="388"/>
      <c r="ES38" s="388"/>
      <c r="ET38" s="388"/>
      <c r="EU38" s="388"/>
      <c r="EV38" s="388"/>
      <c r="EW38" s="388"/>
      <c r="EX38" s="388"/>
      <c r="EY38" s="388"/>
      <c r="EZ38" s="388"/>
      <c r="FA38" s="206"/>
      <c r="FB38" s="206"/>
      <c r="FC38" s="388"/>
      <c r="FD38" s="388"/>
      <c r="FE38" s="388"/>
      <c r="FF38" s="388"/>
      <c r="FG38" s="388"/>
      <c r="FH38" s="388"/>
      <c r="FI38" s="388"/>
      <c r="FJ38" s="388"/>
      <c r="FK38" s="388"/>
      <c r="FL38" s="388"/>
      <c r="FM38" s="388"/>
      <c r="FN38" s="206"/>
      <c r="FO38" s="206"/>
      <c r="FP38" s="388"/>
      <c r="FQ38" s="388"/>
      <c r="FR38" s="388"/>
      <c r="FS38" s="388"/>
      <c r="FT38" s="388"/>
      <c r="FU38" s="388"/>
      <c r="FV38" s="388"/>
      <c r="FW38" s="388"/>
      <c r="FX38" s="388"/>
      <c r="FY38" s="388"/>
      <c r="FZ38" s="388"/>
      <c r="GA38" s="206"/>
      <c r="GB38" s="206"/>
      <c r="GC38" s="388"/>
      <c r="GD38" s="388"/>
      <c r="GE38" s="388"/>
      <c r="GF38" s="388"/>
      <c r="GG38" s="388"/>
      <c r="GH38" s="388"/>
      <c r="GI38" s="388"/>
      <c r="GJ38" s="388"/>
      <c r="GK38" s="388"/>
      <c r="GL38" s="388"/>
      <c r="GM38" s="388"/>
      <c r="GN38" s="206"/>
      <c r="GO38" s="206"/>
      <c r="GP38" s="388"/>
      <c r="GQ38" s="388"/>
      <c r="GR38" s="388"/>
      <c r="GS38" s="388"/>
      <c r="GT38" s="388"/>
      <c r="GU38" s="388"/>
      <c r="GV38" s="388"/>
      <c r="GW38" s="388"/>
      <c r="GX38" s="388"/>
      <c r="GY38" s="388"/>
      <c r="GZ38" s="388"/>
      <c r="HA38" s="206"/>
      <c r="HB38" s="206"/>
      <c r="HC38" s="388"/>
      <c r="HD38" s="388"/>
      <c r="HE38" s="388"/>
      <c r="HF38" s="388"/>
      <c r="HG38" s="388"/>
      <c r="HH38" s="388"/>
      <c r="HI38" s="388"/>
      <c r="HJ38" s="388"/>
      <c r="HK38" s="388"/>
      <c r="HL38" s="388"/>
      <c r="HM38" s="388"/>
      <c r="HN38" s="206"/>
      <c r="HO38" s="206"/>
      <c r="HP38" s="388"/>
      <c r="HQ38" s="388"/>
      <c r="HR38" s="388"/>
      <c r="HS38" s="388"/>
      <c r="HT38" s="388"/>
      <c r="HU38" s="388"/>
      <c r="HV38" s="388"/>
      <c r="HW38" s="388"/>
      <c r="HX38" s="388"/>
      <c r="HY38" s="388"/>
      <c r="HZ38" s="388"/>
      <c r="IA38" s="206"/>
      <c r="IB38" s="206"/>
      <c r="IC38" s="388"/>
      <c r="ID38" s="388"/>
      <c r="IE38" s="388"/>
      <c r="IF38" s="388"/>
      <c r="IG38" s="388"/>
      <c r="IH38" s="388"/>
      <c r="II38" s="388"/>
      <c r="IJ38" s="388"/>
      <c r="IK38" s="388"/>
      <c r="IL38" s="388"/>
      <c r="IM38" s="388"/>
      <c r="IN38" s="206"/>
      <c r="IO38" s="206"/>
      <c r="IP38" s="388"/>
      <c r="IQ38" s="388"/>
      <c r="IR38" s="388"/>
      <c r="IS38" s="388"/>
      <c r="IT38" s="388"/>
      <c r="IU38" s="388"/>
      <c r="IV38" s="388"/>
    </row>
    <row r="39" spans="1:256" x14ac:dyDescent="0.2">
      <c r="A39" s="217"/>
      <c r="B39" s="218"/>
      <c r="C39" s="390"/>
      <c r="D39" s="390"/>
      <c r="E39" s="390"/>
      <c r="F39" s="390"/>
      <c r="G39" s="390"/>
      <c r="H39" s="390"/>
      <c r="I39" s="390"/>
      <c r="J39" s="390"/>
      <c r="K39" s="390"/>
      <c r="L39" s="390"/>
      <c r="M39" s="391"/>
      <c r="N39" s="210"/>
      <c r="O39" s="210"/>
      <c r="P39" s="389"/>
      <c r="Q39" s="389"/>
      <c r="R39" s="389"/>
      <c r="S39" s="389"/>
      <c r="T39" s="389"/>
      <c r="U39" s="389"/>
      <c r="V39" s="389"/>
      <c r="W39" s="389"/>
      <c r="X39" s="389"/>
      <c r="Y39" s="389"/>
      <c r="Z39" s="389"/>
      <c r="AA39" s="206"/>
      <c r="AB39" s="206"/>
      <c r="AC39" s="388"/>
      <c r="AD39" s="388"/>
      <c r="AE39" s="388"/>
      <c r="AF39" s="388"/>
      <c r="AG39" s="388"/>
      <c r="AH39" s="388"/>
      <c r="AI39" s="388"/>
      <c r="AJ39" s="388"/>
      <c r="AK39" s="388"/>
      <c r="AL39" s="388"/>
      <c r="AM39" s="388"/>
      <c r="AN39" s="206"/>
      <c r="AO39" s="206"/>
      <c r="AP39" s="388"/>
      <c r="AQ39" s="388"/>
      <c r="AR39" s="388"/>
      <c r="AS39" s="388"/>
      <c r="AT39" s="388"/>
      <c r="AU39" s="388"/>
      <c r="AV39" s="388"/>
      <c r="AW39" s="388"/>
      <c r="AX39" s="388"/>
      <c r="AY39" s="388"/>
      <c r="AZ39" s="388"/>
      <c r="BA39" s="206"/>
      <c r="BB39" s="206"/>
      <c r="BC39" s="388"/>
      <c r="BD39" s="388"/>
      <c r="BE39" s="388"/>
      <c r="BF39" s="388"/>
      <c r="BG39" s="388"/>
      <c r="BH39" s="388"/>
      <c r="BI39" s="388"/>
      <c r="BJ39" s="388"/>
      <c r="BK39" s="388"/>
      <c r="BL39" s="388"/>
      <c r="BM39" s="388"/>
      <c r="BN39" s="206"/>
      <c r="BO39" s="206"/>
      <c r="BP39" s="388"/>
      <c r="BQ39" s="388"/>
      <c r="BR39" s="388"/>
      <c r="BS39" s="388"/>
      <c r="BT39" s="388"/>
      <c r="BU39" s="388"/>
      <c r="BV39" s="388"/>
      <c r="BW39" s="388"/>
      <c r="BX39" s="388"/>
      <c r="BY39" s="388"/>
      <c r="BZ39" s="388"/>
      <c r="CA39" s="206"/>
      <c r="CB39" s="206"/>
      <c r="CC39" s="388"/>
      <c r="CD39" s="388"/>
      <c r="CE39" s="388"/>
      <c r="CF39" s="388"/>
      <c r="CG39" s="388"/>
      <c r="CH39" s="388"/>
      <c r="CI39" s="388"/>
      <c r="CJ39" s="388"/>
      <c r="CK39" s="388"/>
      <c r="CL39" s="388"/>
      <c r="CM39" s="388"/>
      <c r="CN39" s="206"/>
      <c r="CO39" s="206"/>
      <c r="CP39" s="388"/>
      <c r="CQ39" s="388"/>
      <c r="CR39" s="388"/>
      <c r="CS39" s="388"/>
      <c r="CT39" s="388"/>
      <c r="CU39" s="388"/>
      <c r="CV39" s="388"/>
      <c r="CW39" s="388"/>
      <c r="CX39" s="388"/>
      <c r="CY39" s="388"/>
      <c r="CZ39" s="388"/>
      <c r="DA39" s="206"/>
      <c r="DB39" s="206"/>
      <c r="DC39" s="388"/>
      <c r="DD39" s="388"/>
      <c r="DE39" s="388"/>
      <c r="DF39" s="388"/>
      <c r="DG39" s="388"/>
      <c r="DH39" s="388"/>
      <c r="DI39" s="388"/>
      <c r="DJ39" s="388"/>
      <c r="DK39" s="388"/>
      <c r="DL39" s="388"/>
      <c r="DM39" s="388"/>
      <c r="DN39" s="206"/>
      <c r="DO39" s="206"/>
      <c r="DP39" s="388"/>
      <c r="DQ39" s="388"/>
      <c r="DR39" s="388"/>
      <c r="DS39" s="388"/>
      <c r="DT39" s="388"/>
      <c r="DU39" s="388"/>
      <c r="DV39" s="388"/>
      <c r="DW39" s="388"/>
      <c r="DX39" s="388"/>
      <c r="DY39" s="388"/>
      <c r="DZ39" s="388"/>
      <c r="EA39" s="206"/>
      <c r="EB39" s="206"/>
      <c r="EC39" s="388"/>
      <c r="ED39" s="388"/>
      <c r="EE39" s="388"/>
      <c r="EF39" s="388"/>
      <c r="EG39" s="388"/>
      <c r="EH39" s="388"/>
      <c r="EI39" s="388"/>
      <c r="EJ39" s="388"/>
      <c r="EK39" s="388"/>
      <c r="EL39" s="388"/>
      <c r="EM39" s="388"/>
      <c r="EN39" s="206"/>
      <c r="EO39" s="206"/>
      <c r="EP39" s="388"/>
      <c r="EQ39" s="388"/>
      <c r="ER39" s="388"/>
      <c r="ES39" s="388"/>
      <c r="ET39" s="388"/>
      <c r="EU39" s="388"/>
      <c r="EV39" s="388"/>
      <c r="EW39" s="388"/>
      <c r="EX39" s="388"/>
      <c r="EY39" s="388"/>
      <c r="EZ39" s="388"/>
      <c r="FA39" s="206"/>
      <c r="FB39" s="206"/>
      <c r="FC39" s="388"/>
      <c r="FD39" s="388"/>
      <c r="FE39" s="388"/>
      <c r="FF39" s="388"/>
      <c r="FG39" s="388"/>
      <c r="FH39" s="388"/>
      <c r="FI39" s="388"/>
      <c r="FJ39" s="388"/>
      <c r="FK39" s="388"/>
      <c r="FL39" s="388"/>
      <c r="FM39" s="388"/>
      <c r="FN39" s="206"/>
      <c r="FO39" s="206"/>
      <c r="FP39" s="388"/>
      <c r="FQ39" s="388"/>
      <c r="FR39" s="388"/>
      <c r="FS39" s="388"/>
      <c r="FT39" s="388"/>
      <c r="FU39" s="388"/>
      <c r="FV39" s="388"/>
      <c r="FW39" s="388"/>
      <c r="FX39" s="388"/>
      <c r="FY39" s="388"/>
      <c r="FZ39" s="388"/>
      <c r="GA39" s="206"/>
      <c r="GB39" s="206"/>
      <c r="GC39" s="388"/>
      <c r="GD39" s="388"/>
      <c r="GE39" s="388"/>
      <c r="GF39" s="388"/>
      <c r="GG39" s="388"/>
      <c r="GH39" s="388"/>
      <c r="GI39" s="388"/>
      <c r="GJ39" s="388"/>
      <c r="GK39" s="388"/>
      <c r="GL39" s="388"/>
      <c r="GM39" s="388"/>
      <c r="GN39" s="206"/>
      <c r="GO39" s="206"/>
      <c r="GP39" s="388"/>
      <c r="GQ39" s="388"/>
      <c r="GR39" s="388"/>
      <c r="GS39" s="388"/>
      <c r="GT39" s="388"/>
      <c r="GU39" s="388"/>
      <c r="GV39" s="388"/>
      <c r="GW39" s="388"/>
      <c r="GX39" s="388"/>
      <c r="GY39" s="388"/>
      <c r="GZ39" s="388"/>
      <c r="HA39" s="206"/>
      <c r="HB39" s="206"/>
      <c r="HC39" s="388"/>
      <c r="HD39" s="388"/>
      <c r="HE39" s="388"/>
      <c r="HF39" s="388"/>
      <c r="HG39" s="388"/>
      <c r="HH39" s="388"/>
      <c r="HI39" s="388"/>
      <c r="HJ39" s="388"/>
      <c r="HK39" s="388"/>
      <c r="HL39" s="388"/>
      <c r="HM39" s="388"/>
      <c r="HN39" s="206"/>
      <c r="HO39" s="206"/>
      <c r="HP39" s="388"/>
      <c r="HQ39" s="388"/>
      <c r="HR39" s="388"/>
      <c r="HS39" s="388"/>
      <c r="HT39" s="388"/>
      <c r="HU39" s="388"/>
      <c r="HV39" s="388"/>
      <c r="HW39" s="388"/>
      <c r="HX39" s="388"/>
      <c r="HY39" s="388"/>
      <c r="HZ39" s="388"/>
      <c r="IA39" s="206"/>
      <c r="IB39" s="206"/>
      <c r="IC39" s="388"/>
      <c r="ID39" s="388"/>
      <c r="IE39" s="388"/>
      <c r="IF39" s="388"/>
      <c r="IG39" s="388"/>
      <c r="IH39" s="388"/>
      <c r="II39" s="388"/>
      <c r="IJ39" s="388"/>
      <c r="IK39" s="388"/>
      <c r="IL39" s="388"/>
      <c r="IM39" s="388"/>
      <c r="IN39" s="206"/>
      <c r="IO39" s="206"/>
      <c r="IP39" s="388"/>
      <c r="IQ39" s="388"/>
      <c r="IR39" s="388"/>
      <c r="IS39" s="388"/>
      <c r="IT39" s="388"/>
      <c r="IU39" s="388"/>
      <c r="IV39" s="388"/>
    </row>
    <row r="40" spans="1:256" x14ac:dyDescent="0.2">
      <c r="A40" s="217"/>
      <c r="B40" s="218"/>
      <c r="C40" s="390"/>
      <c r="D40" s="390"/>
      <c r="E40" s="390"/>
      <c r="F40" s="390"/>
      <c r="G40" s="390"/>
      <c r="H40" s="390"/>
      <c r="I40" s="390"/>
      <c r="J40" s="390"/>
      <c r="K40" s="390"/>
      <c r="L40" s="390"/>
      <c r="M40" s="391"/>
      <c r="N40" s="210"/>
      <c r="O40" s="210"/>
      <c r="P40" s="389"/>
      <c r="Q40" s="389"/>
      <c r="R40" s="389"/>
      <c r="S40" s="389"/>
      <c r="T40" s="389"/>
      <c r="U40" s="389"/>
      <c r="V40" s="389"/>
      <c r="W40" s="389"/>
      <c r="X40" s="389"/>
      <c r="Y40" s="389"/>
      <c r="Z40" s="389"/>
      <c r="AA40" s="206"/>
      <c r="AB40" s="206"/>
      <c r="AC40" s="388"/>
      <c r="AD40" s="388"/>
      <c r="AE40" s="388"/>
      <c r="AF40" s="388"/>
      <c r="AG40" s="388"/>
      <c r="AH40" s="388"/>
      <c r="AI40" s="388"/>
      <c r="AJ40" s="388"/>
      <c r="AK40" s="388"/>
      <c r="AL40" s="388"/>
      <c r="AM40" s="388"/>
      <c r="AN40" s="206"/>
      <c r="AO40" s="206"/>
      <c r="AP40" s="388"/>
      <c r="AQ40" s="388"/>
      <c r="AR40" s="388"/>
      <c r="AS40" s="388"/>
      <c r="AT40" s="388"/>
      <c r="AU40" s="388"/>
      <c r="AV40" s="388"/>
      <c r="AW40" s="388"/>
      <c r="AX40" s="388"/>
      <c r="AY40" s="388"/>
      <c r="AZ40" s="388"/>
      <c r="BA40" s="206"/>
      <c r="BB40" s="206"/>
      <c r="BC40" s="388"/>
      <c r="BD40" s="388"/>
      <c r="BE40" s="388"/>
      <c r="BF40" s="388"/>
      <c r="BG40" s="388"/>
      <c r="BH40" s="388"/>
      <c r="BI40" s="388"/>
      <c r="BJ40" s="388"/>
      <c r="BK40" s="388"/>
      <c r="BL40" s="388"/>
      <c r="BM40" s="388"/>
      <c r="BN40" s="206"/>
      <c r="BO40" s="206"/>
      <c r="BP40" s="388"/>
      <c r="BQ40" s="388"/>
      <c r="BR40" s="388"/>
      <c r="BS40" s="388"/>
      <c r="BT40" s="388"/>
      <c r="BU40" s="388"/>
      <c r="BV40" s="388"/>
      <c r="BW40" s="388"/>
      <c r="BX40" s="388"/>
      <c r="BY40" s="388"/>
      <c r="BZ40" s="388"/>
      <c r="CA40" s="206"/>
      <c r="CB40" s="206"/>
      <c r="CC40" s="388"/>
      <c r="CD40" s="388"/>
      <c r="CE40" s="388"/>
      <c r="CF40" s="388"/>
      <c r="CG40" s="388"/>
      <c r="CH40" s="388"/>
      <c r="CI40" s="388"/>
      <c r="CJ40" s="388"/>
      <c r="CK40" s="388"/>
      <c r="CL40" s="388"/>
      <c r="CM40" s="388"/>
      <c r="CN40" s="206"/>
      <c r="CO40" s="206"/>
      <c r="CP40" s="388"/>
      <c r="CQ40" s="388"/>
      <c r="CR40" s="388"/>
      <c r="CS40" s="388"/>
      <c r="CT40" s="388"/>
      <c r="CU40" s="388"/>
      <c r="CV40" s="388"/>
      <c r="CW40" s="388"/>
      <c r="CX40" s="388"/>
      <c r="CY40" s="388"/>
      <c r="CZ40" s="388"/>
      <c r="DA40" s="206"/>
      <c r="DB40" s="206"/>
      <c r="DC40" s="388"/>
      <c r="DD40" s="388"/>
      <c r="DE40" s="388"/>
      <c r="DF40" s="388"/>
      <c r="DG40" s="388"/>
      <c r="DH40" s="388"/>
      <c r="DI40" s="388"/>
      <c r="DJ40" s="388"/>
      <c r="DK40" s="388"/>
      <c r="DL40" s="388"/>
      <c r="DM40" s="388"/>
      <c r="DN40" s="206"/>
      <c r="DO40" s="206"/>
      <c r="DP40" s="388"/>
      <c r="DQ40" s="388"/>
      <c r="DR40" s="388"/>
      <c r="DS40" s="388"/>
      <c r="DT40" s="388"/>
      <c r="DU40" s="388"/>
      <c r="DV40" s="388"/>
      <c r="DW40" s="388"/>
      <c r="DX40" s="388"/>
      <c r="DY40" s="388"/>
      <c r="DZ40" s="388"/>
      <c r="EA40" s="206"/>
      <c r="EB40" s="206"/>
      <c r="EC40" s="388"/>
      <c r="ED40" s="388"/>
      <c r="EE40" s="388"/>
      <c r="EF40" s="388"/>
      <c r="EG40" s="388"/>
      <c r="EH40" s="388"/>
      <c r="EI40" s="388"/>
      <c r="EJ40" s="388"/>
      <c r="EK40" s="388"/>
      <c r="EL40" s="388"/>
      <c r="EM40" s="388"/>
      <c r="EN40" s="206"/>
      <c r="EO40" s="206"/>
      <c r="EP40" s="388"/>
      <c r="EQ40" s="388"/>
      <c r="ER40" s="388"/>
      <c r="ES40" s="388"/>
      <c r="ET40" s="388"/>
      <c r="EU40" s="388"/>
      <c r="EV40" s="388"/>
      <c r="EW40" s="388"/>
      <c r="EX40" s="388"/>
      <c r="EY40" s="388"/>
      <c r="EZ40" s="388"/>
      <c r="FA40" s="206"/>
      <c r="FB40" s="206"/>
      <c r="FC40" s="388"/>
      <c r="FD40" s="388"/>
      <c r="FE40" s="388"/>
      <c r="FF40" s="388"/>
      <c r="FG40" s="388"/>
      <c r="FH40" s="388"/>
      <c r="FI40" s="388"/>
      <c r="FJ40" s="388"/>
      <c r="FK40" s="388"/>
      <c r="FL40" s="388"/>
      <c r="FM40" s="388"/>
      <c r="FN40" s="206"/>
      <c r="FO40" s="206"/>
      <c r="FP40" s="388"/>
      <c r="FQ40" s="388"/>
      <c r="FR40" s="388"/>
      <c r="FS40" s="388"/>
      <c r="FT40" s="388"/>
      <c r="FU40" s="388"/>
      <c r="FV40" s="388"/>
      <c r="FW40" s="388"/>
      <c r="FX40" s="388"/>
      <c r="FY40" s="388"/>
      <c r="FZ40" s="388"/>
      <c r="GA40" s="206"/>
      <c r="GB40" s="206"/>
      <c r="GC40" s="388"/>
      <c r="GD40" s="388"/>
      <c r="GE40" s="388"/>
      <c r="GF40" s="388"/>
      <c r="GG40" s="388"/>
      <c r="GH40" s="388"/>
      <c r="GI40" s="388"/>
      <c r="GJ40" s="388"/>
      <c r="GK40" s="388"/>
      <c r="GL40" s="388"/>
      <c r="GM40" s="388"/>
      <c r="GN40" s="206"/>
      <c r="GO40" s="206"/>
      <c r="GP40" s="388"/>
      <c r="GQ40" s="388"/>
      <c r="GR40" s="388"/>
      <c r="GS40" s="388"/>
      <c r="GT40" s="388"/>
      <c r="GU40" s="388"/>
      <c r="GV40" s="388"/>
      <c r="GW40" s="388"/>
      <c r="GX40" s="388"/>
      <c r="GY40" s="388"/>
      <c r="GZ40" s="388"/>
      <c r="HA40" s="206"/>
      <c r="HB40" s="206"/>
      <c r="HC40" s="388"/>
      <c r="HD40" s="388"/>
      <c r="HE40" s="388"/>
      <c r="HF40" s="388"/>
      <c r="HG40" s="388"/>
      <c r="HH40" s="388"/>
      <c r="HI40" s="388"/>
      <c r="HJ40" s="388"/>
      <c r="HK40" s="388"/>
      <c r="HL40" s="388"/>
      <c r="HM40" s="388"/>
      <c r="HN40" s="206"/>
      <c r="HO40" s="206"/>
      <c r="HP40" s="388"/>
      <c r="HQ40" s="388"/>
      <c r="HR40" s="388"/>
      <c r="HS40" s="388"/>
      <c r="HT40" s="388"/>
      <c r="HU40" s="388"/>
      <c r="HV40" s="388"/>
      <c r="HW40" s="388"/>
      <c r="HX40" s="388"/>
      <c r="HY40" s="388"/>
      <c r="HZ40" s="388"/>
      <c r="IA40" s="206"/>
      <c r="IB40" s="206"/>
      <c r="IC40" s="388"/>
      <c r="ID40" s="388"/>
      <c r="IE40" s="388"/>
      <c r="IF40" s="388"/>
      <c r="IG40" s="388"/>
      <c r="IH40" s="388"/>
      <c r="II40" s="388"/>
      <c r="IJ40" s="388"/>
      <c r="IK40" s="388"/>
      <c r="IL40" s="388"/>
      <c r="IM40" s="388"/>
      <c r="IN40" s="206"/>
      <c r="IO40" s="206"/>
      <c r="IP40" s="388"/>
      <c r="IQ40" s="388"/>
      <c r="IR40" s="388"/>
      <c r="IS40" s="388"/>
      <c r="IT40" s="388"/>
      <c r="IU40" s="388"/>
      <c r="IV40" s="388"/>
    </row>
    <row r="41" spans="1:256" x14ac:dyDescent="0.2">
      <c r="A41" s="217"/>
      <c r="B41" s="218"/>
      <c r="C41" s="390"/>
      <c r="D41" s="390"/>
      <c r="E41" s="390"/>
      <c r="F41" s="390"/>
      <c r="G41" s="390"/>
      <c r="H41" s="390"/>
      <c r="I41" s="390"/>
      <c r="J41" s="390"/>
      <c r="K41" s="390"/>
      <c r="L41" s="390"/>
      <c r="M41" s="391"/>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90"/>
      <c r="D42" s="390"/>
      <c r="E42" s="390"/>
      <c r="F42" s="390"/>
      <c r="G42" s="390"/>
      <c r="H42" s="390"/>
      <c r="I42" s="390"/>
      <c r="J42" s="390"/>
      <c r="K42" s="390"/>
      <c r="L42" s="390"/>
      <c r="M42" s="391"/>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90"/>
      <c r="D43" s="390"/>
      <c r="E43" s="390"/>
      <c r="F43" s="390"/>
      <c r="G43" s="390"/>
      <c r="H43" s="390"/>
      <c r="I43" s="390"/>
      <c r="J43" s="390"/>
      <c r="K43" s="390"/>
      <c r="L43" s="390"/>
      <c r="M43" s="391"/>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90"/>
      <c r="D44" s="390"/>
      <c r="E44" s="390"/>
      <c r="F44" s="390"/>
      <c r="G44" s="390"/>
      <c r="H44" s="390"/>
      <c r="I44" s="390"/>
      <c r="J44" s="390"/>
      <c r="K44" s="390"/>
      <c r="L44" s="390"/>
      <c r="M44" s="391"/>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90"/>
      <c r="D45" s="390"/>
      <c r="E45" s="390"/>
      <c r="F45" s="390"/>
      <c r="G45" s="390"/>
      <c r="H45" s="390"/>
      <c r="I45" s="390"/>
      <c r="J45" s="390"/>
      <c r="K45" s="390"/>
      <c r="L45" s="390"/>
      <c r="M45" s="391"/>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90"/>
      <c r="D46" s="390"/>
      <c r="E46" s="390"/>
      <c r="F46" s="390"/>
      <c r="G46" s="390"/>
      <c r="H46" s="390"/>
      <c r="I46" s="390"/>
      <c r="J46" s="390"/>
      <c r="K46" s="390"/>
      <c r="L46" s="390"/>
      <c r="M46" s="391"/>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90"/>
      <c r="D47" s="390"/>
      <c r="E47" s="390"/>
      <c r="F47" s="390"/>
      <c r="G47" s="390"/>
      <c r="H47" s="390"/>
      <c r="I47" s="390"/>
      <c r="J47" s="390"/>
      <c r="K47" s="390"/>
      <c r="L47" s="390"/>
      <c r="M47" s="391"/>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90"/>
      <c r="D48" s="390"/>
      <c r="E48" s="390"/>
      <c r="F48" s="390"/>
      <c r="G48" s="390"/>
      <c r="H48" s="390"/>
      <c r="I48" s="390"/>
      <c r="J48" s="390"/>
      <c r="K48" s="390"/>
      <c r="L48" s="390"/>
      <c r="M48" s="391"/>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90"/>
      <c r="D49" s="390"/>
      <c r="E49" s="390"/>
      <c r="F49" s="390"/>
      <c r="G49" s="390"/>
      <c r="H49" s="390"/>
      <c r="I49" s="390"/>
      <c r="J49" s="390"/>
      <c r="K49" s="390"/>
      <c r="L49" s="390"/>
      <c r="M49" s="391"/>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90"/>
      <c r="D50" s="390"/>
      <c r="E50" s="390"/>
      <c r="F50" s="390"/>
      <c r="G50" s="390"/>
      <c r="H50" s="390"/>
      <c r="I50" s="390"/>
      <c r="J50" s="390"/>
      <c r="K50" s="390"/>
      <c r="L50" s="390"/>
      <c r="M50" s="391"/>
      <c r="N50" s="126"/>
      <c r="O50" s="126"/>
      <c r="P50" s="126"/>
      <c r="Q50" s="126"/>
      <c r="R50" s="126"/>
      <c r="S50" s="126"/>
      <c r="T50" s="126"/>
      <c r="U50" s="126"/>
      <c r="V50" s="126"/>
      <c r="W50" s="126"/>
      <c r="X50" s="126"/>
      <c r="Y50" s="126"/>
      <c r="Z50" s="126"/>
    </row>
    <row r="51" spans="1:256" x14ac:dyDescent="0.2">
      <c r="A51" s="217"/>
      <c r="B51" s="218"/>
      <c r="C51" s="390"/>
      <c r="D51" s="390"/>
      <c r="E51" s="390"/>
      <c r="F51" s="390"/>
      <c r="G51" s="390"/>
      <c r="H51" s="390"/>
      <c r="I51" s="390"/>
      <c r="J51" s="390"/>
      <c r="K51" s="390"/>
      <c r="L51" s="390"/>
      <c r="M51" s="391"/>
      <c r="N51" s="126"/>
      <c r="O51" s="126"/>
      <c r="P51" s="126"/>
      <c r="Q51" s="126"/>
      <c r="R51" s="126"/>
      <c r="S51" s="126"/>
      <c r="T51" s="126"/>
      <c r="U51" s="126"/>
      <c r="V51" s="126"/>
      <c r="W51" s="126"/>
      <c r="X51" s="126"/>
      <c r="Y51" s="126"/>
      <c r="Z51" s="126"/>
    </row>
    <row r="52" spans="1:256" x14ac:dyDescent="0.2">
      <c r="A52" s="217"/>
      <c r="B52" s="218"/>
      <c r="C52" s="390"/>
      <c r="D52" s="390"/>
      <c r="E52" s="390"/>
      <c r="F52" s="390"/>
      <c r="G52" s="390"/>
      <c r="H52" s="390"/>
      <c r="I52" s="390"/>
      <c r="J52" s="390"/>
      <c r="K52" s="390"/>
      <c r="L52" s="390"/>
      <c r="M52" s="391"/>
      <c r="N52" s="126"/>
      <c r="O52" s="126"/>
      <c r="P52" s="126"/>
      <c r="Q52" s="126"/>
      <c r="R52" s="126"/>
      <c r="S52" s="126"/>
      <c r="T52" s="126"/>
      <c r="U52" s="126"/>
      <c r="V52" s="126"/>
      <c r="W52" s="126"/>
      <c r="X52" s="126"/>
      <c r="Y52" s="126"/>
      <c r="Z52" s="126"/>
    </row>
    <row r="53" spans="1:256" x14ac:dyDescent="0.2">
      <c r="A53" s="217"/>
      <c r="B53" s="218"/>
      <c r="C53" s="390"/>
      <c r="D53" s="390"/>
      <c r="E53" s="390"/>
      <c r="F53" s="390"/>
      <c r="G53" s="390"/>
      <c r="H53" s="390"/>
      <c r="I53" s="390"/>
      <c r="J53" s="390"/>
      <c r="K53" s="390"/>
      <c r="L53" s="390"/>
      <c r="M53" s="391"/>
      <c r="N53" s="126"/>
      <c r="O53" s="126"/>
      <c r="P53" s="126"/>
      <c r="Q53" s="126"/>
      <c r="R53" s="126"/>
      <c r="S53" s="126"/>
      <c r="T53" s="126"/>
      <c r="U53" s="126"/>
      <c r="V53" s="126"/>
      <c r="W53" s="126"/>
      <c r="X53" s="126"/>
      <c r="Y53" s="126"/>
      <c r="Z53" s="126"/>
    </row>
    <row r="54" spans="1:256" x14ac:dyDescent="0.2">
      <c r="A54" s="217"/>
      <c r="B54" s="218"/>
      <c r="C54" s="390"/>
      <c r="D54" s="390"/>
      <c r="E54" s="390"/>
      <c r="F54" s="390"/>
      <c r="G54" s="390"/>
      <c r="H54" s="390"/>
      <c r="I54" s="390"/>
      <c r="J54" s="390"/>
      <c r="K54" s="390"/>
      <c r="L54" s="390"/>
      <c r="M54" s="391"/>
      <c r="N54" s="126"/>
      <c r="O54" s="126"/>
      <c r="P54" s="126"/>
      <c r="Q54" s="126"/>
      <c r="R54" s="126"/>
      <c r="S54" s="126"/>
      <c r="T54" s="126"/>
      <c r="U54" s="126"/>
      <c r="V54" s="126"/>
      <c r="W54" s="126"/>
      <c r="X54" s="126"/>
      <c r="Y54" s="126"/>
      <c r="Z54" s="126"/>
    </row>
    <row r="55" spans="1:256" x14ac:dyDescent="0.2">
      <c r="A55" s="217"/>
      <c r="B55" s="218"/>
      <c r="C55" s="390"/>
      <c r="D55" s="390"/>
      <c r="E55" s="390"/>
      <c r="F55" s="390"/>
      <c r="G55" s="390"/>
      <c r="H55" s="390"/>
      <c r="I55" s="390"/>
      <c r="J55" s="390"/>
      <c r="K55" s="390"/>
      <c r="L55" s="390"/>
      <c r="M55" s="391"/>
      <c r="N55" s="126"/>
      <c r="O55" s="126"/>
      <c r="P55" s="126"/>
      <c r="Q55" s="126"/>
      <c r="R55" s="126"/>
      <c r="S55" s="126"/>
      <c r="T55" s="126"/>
      <c r="U55" s="126"/>
      <c r="V55" s="126"/>
      <c r="W55" s="126"/>
      <c r="X55" s="126"/>
      <c r="Y55" s="126"/>
      <c r="Z55" s="126"/>
    </row>
    <row r="56" spans="1:256" x14ac:dyDescent="0.2">
      <c r="A56" s="217"/>
      <c r="B56" s="218"/>
      <c r="C56" s="390"/>
      <c r="D56" s="390"/>
      <c r="E56" s="390"/>
      <c r="F56" s="390"/>
      <c r="G56" s="390"/>
      <c r="H56" s="390"/>
      <c r="I56" s="390"/>
      <c r="J56" s="390"/>
      <c r="K56" s="390"/>
      <c r="L56" s="390"/>
      <c r="M56" s="391"/>
      <c r="N56" s="126"/>
      <c r="O56" s="126"/>
      <c r="P56" s="126"/>
      <c r="Q56" s="126"/>
      <c r="R56" s="126"/>
      <c r="S56" s="126"/>
      <c r="T56" s="126"/>
      <c r="U56" s="126"/>
      <c r="V56" s="126"/>
      <c r="W56" s="126"/>
      <c r="X56" s="126"/>
      <c r="Y56" s="126"/>
      <c r="Z56" s="126"/>
    </row>
    <row r="57" spans="1:256" x14ac:dyDescent="0.2">
      <c r="A57" s="217"/>
      <c r="B57" s="218"/>
      <c r="C57" s="390"/>
      <c r="D57" s="390"/>
      <c r="E57" s="390"/>
      <c r="F57" s="390"/>
      <c r="G57" s="390"/>
      <c r="H57" s="390"/>
      <c r="I57" s="390"/>
      <c r="J57" s="390"/>
      <c r="K57" s="390"/>
      <c r="L57" s="390"/>
      <c r="M57" s="391"/>
      <c r="N57" s="126"/>
      <c r="O57" s="126"/>
      <c r="P57" s="126"/>
      <c r="Q57" s="126"/>
      <c r="R57" s="126"/>
      <c r="S57" s="126"/>
      <c r="T57" s="126"/>
      <c r="U57" s="126"/>
      <c r="V57" s="126"/>
      <c r="W57" s="126"/>
      <c r="X57" s="126"/>
      <c r="Y57" s="126"/>
      <c r="Z57" s="126"/>
    </row>
    <row r="58" spans="1:256" x14ac:dyDescent="0.2">
      <c r="A58" s="217"/>
      <c r="B58" s="218"/>
      <c r="C58" s="390"/>
      <c r="D58" s="390"/>
      <c r="E58" s="390"/>
      <c r="F58" s="390"/>
      <c r="G58" s="390"/>
      <c r="H58" s="390"/>
      <c r="I58" s="390"/>
      <c r="J58" s="390"/>
      <c r="K58" s="390"/>
      <c r="L58" s="390"/>
      <c r="M58" s="391"/>
      <c r="N58" s="126"/>
      <c r="O58" s="126"/>
      <c r="P58" s="126"/>
      <c r="Q58" s="126"/>
      <c r="R58" s="126"/>
      <c r="S58" s="126"/>
      <c r="T58" s="126"/>
      <c r="U58" s="126"/>
      <c r="V58" s="126"/>
      <c r="W58" s="126"/>
      <c r="X58" s="126"/>
      <c r="Y58" s="126"/>
      <c r="Z58" s="126"/>
    </row>
    <row r="59" spans="1:256" x14ac:dyDescent="0.2">
      <c r="A59" s="217"/>
      <c r="B59" s="218"/>
      <c r="C59" s="390"/>
      <c r="D59" s="390"/>
      <c r="E59" s="390"/>
      <c r="F59" s="390"/>
      <c r="G59" s="390"/>
      <c r="H59" s="390"/>
      <c r="I59" s="390"/>
      <c r="J59" s="390"/>
      <c r="K59" s="390"/>
      <c r="L59" s="390"/>
      <c r="M59" s="391"/>
    </row>
    <row r="60" spans="1:256" x14ac:dyDescent="0.2">
      <c r="A60" s="217"/>
      <c r="B60" s="218"/>
      <c r="C60" s="390"/>
      <c r="D60" s="390"/>
      <c r="E60" s="390"/>
      <c r="F60" s="390"/>
      <c r="G60" s="390"/>
      <c r="H60" s="390"/>
      <c r="I60" s="390"/>
      <c r="J60" s="390"/>
      <c r="K60" s="390"/>
      <c r="L60" s="390"/>
      <c r="M60" s="391"/>
    </row>
    <row r="61" spans="1:256" x14ac:dyDescent="0.2">
      <c r="A61" s="217"/>
      <c r="B61" s="218"/>
      <c r="C61" s="390"/>
      <c r="D61" s="390"/>
      <c r="E61" s="390"/>
      <c r="F61" s="390"/>
      <c r="G61" s="390"/>
      <c r="H61" s="390"/>
      <c r="I61" s="390"/>
      <c r="J61" s="390"/>
      <c r="K61" s="390"/>
      <c r="L61" s="390"/>
      <c r="M61" s="391"/>
    </row>
    <row r="62" spans="1:256" x14ac:dyDescent="0.2">
      <c r="A62" s="217"/>
      <c r="B62" s="218"/>
      <c r="C62" s="390"/>
      <c r="D62" s="390"/>
      <c r="E62" s="390"/>
      <c r="F62" s="390"/>
      <c r="G62" s="390"/>
      <c r="H62" s="390"/>
      <c r="I62" s="390"/>
      <c r="J62" s="390"/>
      <c r="K62" s="390"/>
      <c r="L62" s="390"/>
      <c r="M62" s="391"/>
    </row>
    <row r="63" spans="1:256" x14ac:dyDescent="0.2">
      <c r="A63" s="217"/>
      <c r="B63" s="218"/>
      <c r="C63" s="390"/>
      <c r="D63" s="390"/>
      <c r="E63" s="390"/>
      <c r="F63" s="390"/>
      <c r="G63" s="390"/>
      <c r="H63" s="390"/>
      <c r="I63" s="390"/>
      <c r="J63" s="390"/>
      <c r="K63" s="390"/>
      <c r="L63" s="390"/>
      <c r="M63" s="391"/>
    </row>
    <row r="64" spans="1:256" x14ac:dyDescent="0.2">
      <c r="A64" s="217"/>
      <c r="B64" s="218"/>
      <c r="C64" s="390"/>
      <c r="D64" s="390"/>
      <c r="E64" s="390"/>
      <c r="F64" s="390"/>
      <c r="G64" s="390"/>
      <c r="H64" s="390"/>
      <c r="I64" s="390"/>
      <c r="J64" s="390"/>
      <c r="K64" s="390"/>
      <c r="L64" s="390"/>
      <c r="M64" s="391"/>
    </row>
    <row r="65" spans="1:13" x14ac:dyDescent="0.2">
      <c r="A65" s="217"/>
      <c r="B65" s="218"/>
      <c r="C65" s="390"/>
      <c r="D65" s="390"/>
      <c r="E65" s="390"/>
      <c r="F65" s="390"/>
      <c r="G65" s="390"/>
      <c r="H65" s="390"/>
      <c r="I65" s="390"/>
      <c r="J65" s="390"/>
      <c r="K65" s="390"/>
      <c r="L65" s="390"/>
      <c r="M65" s="391"/>
    </row>
    <row r="66" spans="1:13" x14ac:dyDescent="0.2">
      <c r="A66" s="217"/>
      <c r="B66" s="218"/>
      <c r="C66" s="390"/>
      <c r="D66" s="390"/>
      <c r="E66" s="390"/>
      <c r="F66" s="390"/>
      <c r="G66" s="390"/>
      <c r="H66" s="390"/>
      <c r="I66" s="390"/>
      <c r="J66" s="390"/>
      <c r="K66" s="390"/>
      <c r="L66" s="390"/>
      <c r="M66" s="391"/>
    </row>
    <row r="67" spans="1:13" x14ac:dyDescent="0.2">
      <c r="A67" s="217"/>
      <c r="B67" s="218"/>
      <c r="C67" s="390"/>
      <c r="D67" s="390"/>
      <c r="E67" s="390"/>
      <c r="F67" s="390"/>
      <c r="G67" s="390"/>
      <c r="H67" s="390"/>
      <c r="I67" s="390"/>
      <c r="J67" s="390"/>
      <c r="K67" s="390"/>
      <c r="L67" s="390"/>
      <c r="M67" s="391"/>
    </row>
    <row r="68" spans="1:13" x14ac:dyDescent="0.2">
      <c r="A68" s="217"/>
      <c r="B68" s="218"/>
      <c r="C68" s="390"/>
      <c r="D68" s="390"/>
      <c r="E68" s="390"/>
      <c r="F68" s="390"/>
      <c r="G68" s="390"/>
      <c r="H68" s="390"/>
      <c r="I68" s="390"/>
      <c r="J68" s="390"/>
      <c r="K68" s="390"/>
      <c r="L68" s="390"/>
      <c r="M68" s="391"/>
    </row>
    <row r="69" spans="1:13" x14ac:dyDescent="0.2">
      <c r="A69" s="217"/>
      <c r="B69" s="218"/>
      <c r="C69" s="390"/>
      <c r="D69" s="390"/>
      <c r="E69" s="390"/>
      <c r="F69" s="390"/>
      <c r="G69" s="390"/>
      <c r="H69" s="390"/>
      <c r="I69" s="390"/>
      <c r="J69" s="390"/>
      <c r="K69" s="390"/>
      <c r="L69" s="390"/>
      <c r="M69" s="391"/>
    </row>
    <row r="70" spans="1:13" ht="12" thickBot="1" x14ac:dyDescent="0.25">
      <c r="A70" s="219"/>
      <c r="B70" s="220"/>
      <c r="C70" s="403"/>
      <c r="D70" s="403"/>
      <c r="E70" s="403"/>
      <c r="F70" s="403"/>
      <c r="G70" s="403"/>
      <c r="H70" s="403"/>
      <c r="I70" s="403"/>
      <c r="J70" s="403"/>
      <c r="K70" s="403"/>
      <c r="L70" s="403"/>
      <c r="M70" s="404"/>
    </row>
    <row r="71" spans="1:13" ht="12" thickTop="1" x14ac:dyDescent="0.2">
      <c r="A71" s="207"/>
      <c r="B71" s="207"/>
      <c r="C71" s="208"/>
      <c r="D71" s="208"/>
      <c r="E71" s="208"/>
      <c r="F71" s="208"/>
      <c r="G71" s="208"/>
      <c r="H71" s="208"/>
      <c r="I71" s="208"/>
      <c r="J71" s="208"/>
      <c r="K71" s="208"/>
      <c r="L71" s="208"/>
    </row>
    <row r="72" spans="1:13" ht="12.75" x14ac:dyDescent="0.2">
      <c r="A72" s="405" t="s">
        <v>832</v>
      </c>
      <c r="B72" s="405"/>
      <c r="C72" s="405"/>
      <c r="D72" s="405"/>
      <c r="E72" s="405"/>
      <c r="F72" s="126"/>
      <c r="G72" s="126"/>
      <c r="H72" s="126"/>
      <c r="I72" s="126"/>
      <c r="J72" s="126"/>
      <c r="K72" s="126"/>
      <c r="L72" s="126"/>
      <c r="M72" s="126"/>
    </row>
    <row r="73" spans="1:13" x14ac:dyDescent="0.2">
      <c r="A73" s="209" t="s">
        <v>764</v>
      </c>
      <c r="B73" s="209" t="s">
        <v>765</v>
      </c>
      <c r="C73" s="402"/>
      <c r="D73" s="402"/>
      <c r="E73" s="402"/>
      <c r="F73" s="402"/>
      <c r="G73" s="402"/>
      <c r="H73" s="402"/>
      <c r="I73" s="402"/>
      <c r="J73" s="402"/>
      <c r="K73" s="402"/>
      <c r="L73" s="402"/>
      <c r="M73" s="402"/>
    </row>
    <row r="74" spans="1:13" x14ac:dyDescent="0.2">
      <c r="A74" s="210"/>
      <c r="B74" s="210"/>
      <c r="C74" s="402"/>
      <c r="D74" s="402"/>
      <c r="E74" s="402"/>
      <c r="F74" s="402"/>
      <c r="G74" s="402"/>
      <c r="H74" s="402"/>
      <c r="I74" s="402"/>
      <c r="J74" s="402"/>
      <c r="K74" s="402"/>
      <c r="L74" s="402"/>
      <c r="M74" s="402"/>
    </row>
    <row r="75" spans="1:13" x14ac:dyDescent="0.2">
      <c r="A75" s="210"/>
      <c r="B75" s="210"/>
      <c r="C75" s="402"/>
      <c r="D75" s="402"/>
      <c r="E75" s="402"/>
      <c r="F75" s="402"/>
      <c r="G75" s="402"/>
      <c r="H75" s="402"/>
      <c r="I75" s="402"/>
      <c r="J75" s="402"/>
      <c r="K75" s="402"/>
      <c r="L75" s="402"/>
      <c r="M75" s="402"/>
    </row>
    <row r="76" spans="1:13" x14ac:dyDescent="0.2">
      <c r="A76" s="210"/>
      <c r="B76" s="210"/>
      <c r="C76" s="402"/>
      <c r="D76" s="402"/>
      <c r="E76" s="402"/>
      <c r="F76" s="402"/>
      <c r="G76" s="402"/>
      <c r="H76" s="402"/>
      <c r="I76" s="402"/>
      <c r="J76" s="402"/>
      <c r="K76" s="402"/>
      <c r="L76" s="402"/>
      <c r="M76" s="402"/>
    </row>
    <row r="77" spans="1:13" x14ac:dyDescent="0.2">
      <c r="A77" s="210"/>
      <c r="B77" s="210"/>
      <c r="C77" s="402"/>
      <c r="D77" s="402"/>
      <c r="E77" s="402"/>
      <c r="F77" s="402"/>
      <c r="G77" s="402"/>
      <c r="H77" s="402"/>
      <c r="I77" s="402"/>
      <c r="J77" s="402"/>
      <c r="K77" s="402"/>
      <c r="L77" s="402"/>
      <c r="M77" s="402"/>
    </row>
    <row r="78" spans="1:13" x14ac:dyDescent="0.2">
      <c r="A78" s="210"/>
      <c r="B78" s="210"/>
      <c r="C78" s="402"/>
      <c r="D78" s="402"/>
      <c r="E78" s="402"/>
      <c r="F78" s="402"/>
      <c r="G78" s="402"/>
      <c r="H78" s="402"/>
      <c r="I78" s="402"/>
      <c r="J78" s="402"/>
      <c r="K78" s="402"/>
      <c r="L78" s="402"/>
      <c r="M78" s="402"/>
    </row>
    <row r="79" spans="1:13" x14ac:dyDescent="0.2">
      <c r="A79" s="210"/>
      <c r="B79" s="210"/>
      <c r="C79" s="402"/>
      <c r="D79" s="402"/>
      <c r="E79" s="402"/>
      <c r="F79" s="402"/>
      <c r="G79" s="402"/>
      <c r="H79" s="402"/>
      <c r="I79" s="402"/>
      <c r="J79" s="402"/>
      <c r="K79" s="402"/>
      <c r="L79" s="402"/>
      <c r="M79" s="402"/>
    </row>
    <row r="80" spans="1:13" x14ac:dyDescent="0.2">
      <c r="A80" s="210"/>
      <c r="B80" s="210"/>
      <c r="C80" s="402"/>
      <c r="D80" s="402"/>
      <c r="E80" s="402"/>
      <c r="F80" s="402"/>
      <c r="G80" s="402"/>
      <c r="H80" s="402"/>
      <c r="I80" s="402"/>
      <c r="J80" s="402"/>
      <c r="K80" s="402"/>
      <c r="L80" s="402"/>
      <c r="M80" s="402"/>
    </row>
    <row r="81" spans="1:13" x14ac:dyDescent="0.2">
      <c r="A81" s="210"/>
      <c r="B81" s="210"/>
      <c r="C81" s="402"/>
      <c r="D81" s="402"/>
      <c r="E81" s="402"/>
      <c r="F81" s="402"/>
      <c r="G81" s="402"/>
      <c r="H81" s="402"/>
      <c r="I81" s="402"/>
      <c r="J81" s="402"/>
      <c r="K81" s="402"/>
      <c r="L81" s="402"/>
      <c r="M81" s="402"/>
    </row>
    <row r="82" spans="1:13" x14ac:dyDescent="0.2">
      <c r="A82" s="210"/>
      <c r="B82" s="210"/>
      <c r="C82" s="402"/>
      <c r="D82" s="402"/>
      <c r="E82" s="402"/>
      <c r="F82" s="402"/>
      <c r="G82" s="402"/>
      <c r="H82" s="402"/>
      <c r="I82" s="402"/>
      <c r="J82" s="402"/>
      <c r="K82" s="402"/>
      <c r="L82" s="402"/>
      <c r="M82" s="402"/>
    </row>
    <row r="83" spans="1:13" x14ac:dyDescent="0.2">
      <c r="A83" s="210"/>
      <c r="B83" s="210"/>
      <c r="C83" s="402"/>
      <c r="D83" s="402"/>
      <c r="E83" s="402"/>
      <c r="F83" s="402"/>
      <c r="G83" s="402"/>
      <c r="H83" s="402"/>
      <c r="I83" s="402"/>
      <c r="J83" s="402"/>
      <c r="K83" s="402"/>
      <c r="L83" s="402"/>
      <c r="M83" s="402"/>
    </row>
    <row r="84" spans="1:13" x14ac:dyDescent="0.2">
      <c r="A84" s="210"/>
      <c r="B84" s="210"/>
      <c r="C84" s="402"/>
      <c r="D84" s="402"/>
      <c r="E84" s="402"/>
      <c r="F84" s="402"/>
      <c r="G84" s="402"/>
      <c r="H84" s="402"/>
      <c r="I84" s="402"/>
      <c r="J84" s="402"/>
      <c r="K84" s="402"/>
      <c r="L84" s="402"/>
      <c r="M84" s="402"/>
    </row>
    <row r="85" spans="1:13" x14ac:dyDescent="0.2">
      <c r="A85" s="210"/>
      <c r="B85" s="210"/>
      <c r="C85" s="402"/>
      <c r="D85" s="402"/>
      <c r="E85" s="402"/>
      <c r="F85" s="402"/>
      <c r="G85" s="402"/>
      <c r="H85" s="402"/>
      <c r="I85" s="402"/>
      <c r="J85" s="402"/>
      <c r="K85" s="402"/>
      <c r="L85" s="402"/>
      <c r="M85" s="402"/>
    </row>
    <row r="86" spans="1:13" x14ac:dyDescent="0.2">
      <c r="A86" s="210"/>
      <c r="B86" s="210"/>
      <c r="C86" s="402"/>
      <c r="D86" s="402"/>
      <c r="E86" s="402"/>
      <c r="F86" s="402"/>
      <c r="G86" s="402"/>
      <c r="H86" s="402"/>
      <c r="I86" s="402"/>
      <c r="J86" s="402"/>
      <c r="K86" s="402"/>
      <c r="L86" s="402"/>
      <c r="M86" s="402"/>
    </row>
    <row r="87" spans="1:13" x14ac:dyDescent="0.2">
      <c r="A87" s="210"/>
      <c r="B87" s="210"/>
      <c r="C87" s="402"/>
      <c r="D87" s="402"/>
      <c r="E87" s="402"/>
      <c r="F87" s="402"/>
      <c r="G87" s="402"/>
      <c r="H87" s="402"/>
      <c r="I87" s="402"/>
      <c r="J87" s="402"/>
      <c r="K87" s="402"/>
      <c r="L87" s="402"/>
      <c r="M87" s="402"/>
    </row>
    <row r="88" spans="1:13" x14ac:dyDescent="0.2">
      <c r="A88" s="210"/>
      <c r="B88" s="210"/>
      <c r="C88" s="402"/>
      <c r="D88" s="402"/>
      <c r="E88" s="402"/>
      <c r="F88" s="402"/>
      <c r="G88" s="402"/>
      <c r="H88" s="402"/>
      <c r="I88" s="402"/>
      <c r="J88" s="402"/>
      <c r="K88" s="402"/>
      <c r="L88" s="402"/>
      <c r="M88" s="402"/>
    </row>
    <row r="89" spans="1:13" x14ac:dyDescent="0.2">
      <c r="A89" s="210"/>
      <c r="B89" s="210"/>
      <c r="C89" s="402"/>
      <c r="D89" s="402"/>
      <c r="E89" s="402"/>
      <c r="F89" s="402"/>
      <c r="G89" s="402"/>
      <c r="H89" s="402"/>
      <c r="I89" s="402"/>
      <c r="J89" s="402"/>
      <c r="K89" s="402"/>
      <c r="L89" s="402"/>
      <c r="M89" s="402"/>
    </row>
    <row r="90" spans="1:13" x14ac:dyDescent="0.2">
      <c r="A90" s="210"/>
      <c r="B90" s="210"/>
      <c r="C90" s="402"/>
      <c r="D90" s="402"/>
      <c r="E90" s="402"/>
      <c r="F90" s="402"/>
      <c r="G90" s="402"/>
      <c r="H90" s="402"/>
      <c r="I90" s="402"/>
      <c r="J90" s="402"/>
      <c r="K90" s="402"/>
      <c r="L90" s="402"/>
      <c r="M90" s="402"/>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1" t="s">
        <v>365</v>
      </c>
      <c r="B1" s="362"/>
      <c r="C1" s="362"/>
      <c r="D1" s="362"/>
      <c r="E1" s="362"/>
      <c r="F1" s="362"/>
      <c r="G1" s="362"/>
      <c r="H1" s="362"/>
      <c r="I1" s="362"/>
      <c r="J1" s="362"/>
      <c r="K1" s="363"/>
      <c r="L1" s="364" t="s">
        <v>1543</v>
      </c>
      <c r="M1" s="365"/>
      <c r="N1" s="365"/>
      <c r="O1" s="365"/>
      <c r="P1" s="365"/>
      <c r="Q1" s="365"/>
      <c r="R1" s="365"/>
      <c r="S1" s="365"/>
      <c r="T1" s="365"/>
      <c r="U1" s="365"/>
      <c r="V1" s="366"/>
      <c r="W1" s="367" t="s">
        <v>367</v>
      </c>
      <c r="X1" s="368"/>
      <c r="Y1" s="368"/>
      <c r="Z1" s="368"/>
      <c r="AA1" s="368"/>
      <c r="AB1" s="368"/>
      <c r="AC1" s="368"/>
      <c r="AD1" s="368"/>
      <c r="AE1" s="368"/>
      <c r="AF1" s="368"/>
      <c r="AG1" s="369"/>
      <c r="AH1" s="329" t="s">
        <v>1767</v>
      </c>
    </row>
    <row r="2" spans="1:38" ht="57" x14ac:dyDescent="0.2">
      <c r="A2" s="354" t="s">
        <v>907</v>
      </c>
      <c r="B2" s="355" t="s">
        <v>1656</v>
      </c>
      <c r="C2" s="355" t="s">
        <v>909</v>
      </c>
      <c r="D2" s="354" t="s">
        <v>1657</v>
      </c>
      <c r="E2" s="355" t="s">
        <v>1658</v>
      </c>
      <c r="F2" s="354" t="s">
        <v>1659</v>
      </c>
      <c r="G2" s="355" t="s">
        <v>1660</v>
      </c>
      <c r="H2" s="357" t="s">
        <v>1769</v>
      </c>
      <c r="I2" s="357" t="s">
        <v>1770</v>
      </c>
      <c r="J2" s="357" t="s">
        <v>1771</v>
      </c>
      <c r="K2" s="357" t="s">
        <v>1797</v>
      </c>
      <c r="L2" s="354" t="s">
        <v>907</v>
      </c>
      <c r="M2" s="355" t="s">
        <v>1656</v>
      </c>
      <c r="N2" s="355" t="s">
        <v>909</v>
      </c>
      <c r="O2" s="354" t="s">
        <v>1657</v>
      </c>
      <c r="P2" s="355" t="s">
        <v>1658</v>
      </c>
      <c r="Q2" s="354" t="s">
        <v>1659</v>
      </c>
      <c r="R2" s="355" t="s">
        <v>1660</v>
      </c>
      <c r="S2" s="357" t="s">
        <v>1769</v>
      </c>
      <c r="T2" s="357" t="s">
        <v>1770</v>
      </c>
      <c r="U2" s="357" t="s">
        <v>1771</v>
      </c>
      <c r="V2" s="357" t="s">
        <v>1798</v>
      </c>
      <c r="W2" s="354" t="s">
        <v>907</v>
      </c>
      <c r="X2" s="355" t="s">
        <v>1656</v>
      </c>
      <c r="Y2" s="355" t="s">
        <v>909</v>
      </c>
      <c r="Z2" s="354" t="s">
        <v>1657</v>
      </c>
      <c r="AA2" s="355" t="s">
        <v>1658</v>
      </c>
      <c r="AB2" s="354" t="s">
        <v>1659</v>
      </c>
      <c r="AC2" s="355" t="s">
        <v>1660</v>
      </c>
      <c r="AD2" s="357" t="s">
        <v>1769</v>
      </c>
      <c r="AE2" s="357" t="s">
        <v>1770</v>
      </c>
      <c r="AF2" s="357" t="s">
        <v>1771</v>
      </c>
      <c r="AG2" s="357" t="s">
        <v>1798</v>
      </c>
      <c r="AH2" s="354" t="s">
        <v>907</v>
      </c>
      <c r="AI2" s="355" t="s">
        <v>1768</v>
      </c>
      <c r="AJ2" s="355" t="s">
        <v>1656</v>
      </c>
      <c r="AK2" s="354" t="s">
        <v>1659</v>
      </c>
      <c r="AL2" s="355" t="s">
        <v>1660</v>
      </c>
    </row>
    <row r="3" spans="1:38" ht="63.75" x14ac:dyDescent="0.25">
      <c r="A3" s="356">
        <v>999</v>
      </c>
      <c r="B3" s="356" t="s">
        <v>1548</v>
      </c>
      <c r="C3" s="356" t="s">
        <v>1548</v>
      </c>
      <c r="D3" s="356">
        <v>99999</v>
      </c>
      <c r="E3" s="356" t="s">
        <v>61</v>
      </c>
      <c r="F3" s="354"/>
      <c r="G3" s="355"/>
      <c r="H3" s="357"/>
      <c r="I3" s="357"/>
      <c r="J3" s="357"/>
      <c r="K3" s="307"/>
      <c r="L3" s="356">
        <v>999</v>
      </c>
      <c r="M3" s="356" t="s">
        <v>1548</v>
      </c>
      <c r="N3" s="356" t="s">
        <v>1548</v>
      </c>
      <c r="O3" s="356">
        <v>99999</v>
      </c>
      <c r="P3" s="356" t="s">
        <v>1533</v>
      </c>
      <c r="Q3" s="354"/>
      <c r="R3" s="355"/>
      <c r="S3" s="357"/>
      <c r="T3" s="357"/>
      <c r="U3" s="357"/>
      <c r="V3" s="308"/>
      <c r="W3" s="356">
        <v>999</v>
      </c>
      <c r="X3" s="356" t="s">
        <v>1548</v>
      </c>
      <c r="Y3" s="356" t="s">
        <v>1548</v>
      </c>
      <c r="Z3" s="356">
        <v>99999</v>
      </c>
      <c r="AA3" s="356" t="s">
        <v>1534</v>
      </c>
      <c r="AB3" s="354"/>
      <c r="AC3" s="355"/>
      <c r="AD3" s="357"/>
      <c r="AE3" s="357"/>
      <c r="AF3" s="357"/>
      <c r="AH3" s="359">
        <v>725</v>
      </c>
      <c r="AI3" s="359">
        <v>725</v>
      </c>
      <c r="AJ3" s="359" t="s">
        <v>1510</v>
      </c>
      <c r="AK3" s="359">
        <v>411</v>
      </c>
      <c r="AL3" s="359" t="s">
        <v>1510</v>
      </c>
    </row>
    <row r="4" spans="1:38" ht="63.75" x14ac:dyDescent="0.2">
      <c r="A4" s="356">
        <v>111</v>
      </c>
      <c r="B4" s="356" t="s">
        <v>969</v>
      </c>
      <c r="C4" s="356" t="s">
        <v>971</v>
      </c>
      <c r="D4" s="356">
        <v>20240</v>
      </c>
      <c r="E4" s="356" t="s">
        <v>61</v>
      </c>
      <c r="F4" s="356">
        <v>8</v>
      </c>
      <c r="G4" s="356" t="s">
        <v>1661</v>
      </c>
      <c r="H4" s="358">
        <f>ROWS($G$4:G4)</f>
        <v>1</v>
      </c>
      <c r="I4" s="358" t="str">
        <f>IF('School Level Expenditures'!$B$2=A4,'School Tables'!H4,"")</f>
        <v/>
      </c>
      <c r="J4" s="358">
        <f>IFERROR(SMALL($I$4:$I$325,ROWS($I$4:I4)),"")</f>
        <v>179</v>
      </c>
      <c r="K4" s="332" t="b">
        <f>C4=C5</f>
        <v>0</v>
      </c>
      <c r="L4" s="356">
        <v>113</v>
      </c>
      <c r="M4" s="356" t="s">
        <v>989</v>
      </c>
      <c r="N4" s="356" t="s">
        <v>1621</v>
      </c>
      <c r="O4" s="356">
        <v>27010</v>
      </c>
      <c r="P4" s="356" t="s">
        <v>1533</v>
      </c>
      <c r="Q4" s="356">
        <v>9</v>
      </c>
      <c r="R4" s="356" t="s">
        <v>1694</v>
      </c>
      <c r="S4" s="358">
        <f>ROWS($Q$4:Q4)</f>
        <v>1</v>
      </c>
      <c r="T4" s="358" t="str">
        <f>IF('School Level Expenditures'!$B$2='School Tables'!L4,'School Tables'!S4,"")</f>
        <v/>
      </c>
      <c r="U4" s="358">
        <f>IFERROR(SMALL($T$4:$T$75,ROWS($T$4:T4)),"")</f>
        <v>53</v>
      </c>
      <c r="V4" s="332" t="b">
        <f>N4=N5</f>
        <v>0</v>
      </c>
      <c r="W4" s="356">
        <v>725</v>
      </c>
      <c r="X4" s="356" t="s">
        <v>1510</v>
      </c>
      <c r="Y4" s="356" t="s">
        <v>1511</v>
      </c>
      <c r="Z4" s="356">
        <v>28615</v>
      </c>
      <c r="AA4" s="356" t="s">
        <v>1534</v>
      </c>
      <c r="AB4" s="356">
        <v>411</v>
      </c>
      <c r="AC4" s="356" t="s">
        <v>1510</v>
      </c>
      <c r="AD4" s="358">
        <f>ROWS($AC$4:AC4)</f>
        <v>1</v>
      </c>
      <c r="AE4" s="358" t="str">
        <f>IF('School Level Expenditures'!$B$2='School Tables'!W4,'School Tables'!AD4,"")</f>
        <v/>
      </c>
      <c r="AF4" s="358">
        <f>IFERROR(SMALL(AE4:$AE$100,ROWS($AE$4:AE4)),"")</f>
        <v>69</v>
      </c>
      <c r="AG4" s="332" t="b">
        <f>Y4=Y5</f>
        <v>0</v>
      </c>
      <c r="AH4">
        <v>5</v>
      </c>
      <c r="AI4">
        <v>5</v>
      </c>
      <c r="AJ4" t="s">
        <v>1772</v>
      </c>
      <c r="AK4">
        <v>9</v>
      </c>
      <c r="AL4" t="s">
        <v>1694</v>
      </c>
    </row>
    <row r="5" spans="1:38" ht="51" x14ac:dyDescent="0.2">
      <c r="A5" s="356">
        <v>174</v>
      </c>
      <c r="B5" s="356" t="s">
        <v>1033</v>
      </c>
      <c r="C5" s="356" t="s">
        <v>1034</v>
      </c>
      <c r="D5" s="356">
        <v>22960</v>
      </c>
      <c r="E5" s="356" t="s">
        <v>61</v>
      </c>
      <c r="F5" s="356">
        <v>60</v>
      </c>
      <c r="G5" s="356" t="s">
        <v>1662</v>
      </c>
      <c r="H5" s="358">
        <f>ROWS($G$4:G5)</f>
        <v>2</v>
      </c>
      <c r="I5" s="358" t="str">
        <f>IF('School Level Expenditures'!$B$2=A5,'School Tables'!H5,"")</f>
        <v/>
      </c>
      <c r="J5" s="358">
        <f>IFERROR(SMALL($I$4:$I$325,ROWS($I$4:I5)),"")</f>
        <v>194</v>
      </c>
      <c r="K5" s="332" t="b">
        <f t="shared" ref="K5:K68" si="0">C5=C6</f>
        <v>0</v>
      </c>
      <c r="L5" s="356">
        <v>725</v>
      </c>
      <c r="M5" s="356" t="s">
        <v>1510</v>
      </c>
      <c r="N5" s="356" t="s">
        <v>1512</v>
      </c>
      <c r="O5" s="356">
        <v>28580</v>
      </c>
      <c r="P5" s="356" t="s">
        <v>1533</v>
      </c>
      <c r="Q5" s="356">
        <v>411</v>
      </c>
      <c r="R5" s="356" t="s">
        <v>1510</v>
      </c>
      <c r="S5" s="358">
        <f>ROWS($Q$4:Q5)</f>
        <v>2</v>
      </c>
      <c r="T5" s="358" t="str">
        <f>IF('School Level Expenditures'!$B$2='School Tables'!L5,'School Tables'!S5,"")</f>
        <v/>
      </c>
      <c r="U5" s="358" t="str">
        <f>IFERROR(SMALL($T$4:$T$75,ROWS($T$4:T5)),"")</f>
        <v/>
      </c>
      <c r="V5" s="332" t="b">
        <f t="shared" ref="V5:V68" si="1">N5=N6</f>
        <v>0</v>
      </c>
      <c r="W5" s="356">
        <v>267</v>
      </c>
      <c r="X5" s="356" t="s">
        <v>1130</v>
      </c>
      <c r="Y5" s="356" t="s">
        <v>1132</v>
      </c>
      <c r="Z5" s="356">
        <v>21050</v>
      </c>
      <c r="AA5" s="356" t="s">
        <v>1534</v>
      </c>
      <c r="AB5" s="356">
        <v>81</v>
      </c>
      <c r="AC5" s="356" t="s">
        <v>1700</v>
      </c>
      <c r="AD5" s="358">
        <f>ROWS($AC$4:AC5)</f>
        <v>2</v>
      </c>
      <c r="AE5" s="358" t="str">
        <f>IF('School Level Expenditures'!$B$2='School Tables'!W5,'School Tables'!AD5,"")</f>
        <v/>
      </c>
      <c r="AF5" s="358" t="str">
        <f>IFERROR(SMALL(AE5:$AE$100,ROWS($AE$4:AE5)),"")</f>
        <v/>
      </c>
      <c r="AG5" s="332" t="b">
        <f t="shared" ref="AG5:AG30" si="2">Y5=Y6</f>
        <v>0</v>
      </c>
      <c r="AH5">
        <v>9</v>
      </c>
      <c r="AI5">
        <v>9</v>
      </c>
      <c r="AJ5" t="s">
        <v>910</v>
      </c>
      <c r="AK5">
        <v>53</v>
      </c>
      <c r="AL5" t="s">
        <v>1664</v>
      </c>
    </row>
    <row r="6" spans="1:38" ht="38.25" x14ac:dyDescent="0.2">
      <c r="A6" s="356">
        <v>225</v>
      </c>
      <c r="B6" s="356" t="s">
        <v>1088</v>
      </c>
      <c r="C6" s="356" t="s">
        <v>1090</v>
      </c>
      <c r="D6" s="356">
        <v>20795</v>
      </c>
      <c r="E6" s="356" t="s">
        <v>61</v>
      </c>
      <c r="F6" s="356">
        <v>90</v>
      </c>
      <c r="G6" s="356" t="s">
        <v>1663</v>
      </c>
      <c r="H6" s="358">
        <f>ROWS($G$4:G6)</f>
        <v>3</v>
      </c>
      <c r="I6" s="358" t="str">
        <f>IF('School Level Expenditures'!$B$2=A6,'School Tables'!H6,"")</f>
        <v/>
      </c>
      <c r="J6" s="358">
        <f>IFERROR(SMALL($I$4:$I$325,ROWS($I$4:I6)),"")</f>
        <v>226</v>
      </c>
      <c r="K6" s="332" t="b">
        <f t="shared" si="0"/>
        <v>0</v>
      </c>
      <c r="L6" s="356">
        <v>17</v>
      </c>
      <c r="M6" s="356" t="s">
        <v>915</v>
      </c>
      <c r="N6" s="356" t="s">
        <v>916</v>
      </c>
      <c r="O6" s="356">
        <v>21745</v>
      </c>
      <c r="P6" s="356" t="s">
        <v>1533</v>
      </c>
      <c r="Q6" s="356">
        <v>39</v>
      </c>
      <c r="R6" s="356" t="s">
        <v>1692</v>
      </c>
      <c r="S6" s="358">
        <f>ROWS($Q$4:Q6)</f>
        <v>3</v>
      </c>
      <c r="T6" s="358" t="str">
        <f>IF('School Level Expenditures'!$B$2='School Tables'!L6,'School Tables'!S6,"")</f>
        <v/>
      </c>
      <c r="U6" s="358" t="str">
        <f>IFERROR(SMALL($T$4:$T$75,ROWS($T$4:T6)),"")</f>
        <v/>
      </c>
      <c r="V6" s="332" t="b">
        <f t="shared" si="1"/>
        <v>0</v>
      </c>
      <c r="W6" s="356">
        <v>41</v>
      </c>
      <c r="X6" s="356" t="s">
        <v>934</v>
      </c>
      <c r="Y6" s="356" t="s">
        <v>938</v>
      </c>
      <c r="Z6" s="356">
        <v>28555</v>
      </c>
      <c r="AA6" s="356" t="s">
        <v>1534</v>
      </c>
      <c r="AB6" s="356">
        <v>25</v>
      </c>
      <c r="AC6" s="356" t="s">
        <v>1744</v>
      </c>
      <c r="AD6" s="358">
        <f>ROWS($AC$4:AC6)</f>
        <v>3</v>
      </c>
      <c r="AE6" s="358" t="str">
        <f>IF('School Level Expenditures'!$B$2='School Tables'!W6,'School Tables'!AD6,"")</f>
        <v/>
      </c>
      <c r="AF6" s="358" t="str">
        <f>IFERROR(SMALL(AE6:$AE$100,ROWS($AE$4:AE6)),"")</f>
        <v/>
      </c>
      <c r="AG6" s="332" t="b">
        <f t="shared" si="2"/>
        <v>0</v>
      </c>
      <c r="AH6">
        <v>15</v>
      </c>
      <c r="AI6">
        <v>15</v>
      </c>
      <c r="AJ6" t="s">
        <v>913</v>
      </c>
      <c r="AK6">
        <v>72</v>
      </c>
      <c r="AL6" t="s">
        <v>1665</v>
      </c>
    </row>
    <row r="7" spans="1:38" ht="38.25" x14ac:dyDescent="0.2">
      <c r="A7" s="356">
        <v>9</v>
      </c>
      <c r="B7" s="356" t="s">
        <v>910</v>
      </c>
      <c r="C7" s="356" t="s">
        <v>912</v>
      </c>
      <c r="D7" s="356">
        <v>22580</v>
      </c>
      <c r="E7" s="356" t="s">
        <v>61</v>
      </c>
      <c r="F7" s="356">
        <v>53</v>
      </c>
      <c r="G7" s="356" t="s">
        <v>1664</v>
      </c>
      <c r="H7" s="358">
        <f>ROWS($G$4:G7)</f>
        <v>4</v>
      </c>
      <c r="I7" s="358" t="str">
        <f>IF('School Level Expenditures'!$B$2=A7,'School Tables'!H7,"")</f>
        <v/>
      </c>
      <c r="J7" s="358" t="str">
        <f>IFERROR(SMALL($I$4:$I$325,ROWS($I$4:I7)),"")</f>
        <v/>
      </c>
      <c r="K7" s="332" t="b">
        <f t="shared" si="0"/>
        <v>0</v>
      </c>
      <c r="L7" s="356">
        <v>33</v>
      </c>
      <c r="M7" s="356" t="s">
        <v>926</v>
      </c>
      <c r="N7" s="356" t="s">
        <v>927</v>
      </c>
      <c r="O7" s="356">
        <v>22030</v>
      </c>
      <c r="P7" s="356" t="s">
        <v>1533</v>
      </c>
      <c r="Q7" s="356">
        <v>74</v>
      </c>
      <c r="R7" s="356" t="s">
        <v>1674</v>
      </c>
      <c r="S7" s="358">
        <f>ROWS($Q$4:Q7)</f>
        <v>4</v>
      </c>
      <c r="T7" s="358" t="str">
        <f>IF('School Level Expenditures'!$B$2='School Tables'!L7,'School Tables'!S7,"")</f>
        <v/>
      </c>
      <c r="U7" s="358" t="str">
        <f>IFERROR(SMALL($T$4:$T$75,ROWS($T$4:T7)),"")</f>
        <v/>
      </c>
      <c r="V7" s="332" t="b">
        <f t="shared" si="1"/>
        <v>0</v>
      </c>
      <c r="W7" s="356">
        <v>486</v>
      </c>
      <c r="X7" s="356" t="s">
        <v>1410</v>
      </c>
      <c r="Y7" s="356" t="s">
        <v>1413</v>
      </c>
      <c r="Z7" s="356">
        <v>22145</v>
      </c>
      <c r="AA7" s="356" t="s">
        <v>1534</v>
      </c>
      <c r="AB7" s="356">
        <v>80</v>
      </c>
      <c r="AC7" s="356" t="s">
        <v>1677</v>
      </c>
      <c r="AD7" s="358">
        <f>ROWS($AC$4:AC7)</f>
        <v>4</v>
      </c>
      <c r="AE7" s="358" t="str">
        <f>IF('School Level Expenditures'!$B$2='School Tables'!W7,'School Tables'!AD7,"")</f>
        <v/>
      </c>
      <c r="AF7" s="358" t="str">
        <f>IFERROR(SMALL(AE7:$AE$100,ROWS($AE$4:AE7)),"")</f>
        <v/>
      </c>
      <c r="AG7" s="332" t="b">
        <f t="shared" si="2"/>
        <v>0</v>
      </c>
      <c r="AH7">
        <v>17</v>
      </c>
      <c r="AI7">
        <v>17</v>
      </c>
      <c r="AJ7" t="s">
        <v>915</v>
      </c>
      <c r="AK7">
        <v>39</v>
      </c>
      <c r="AL7" t="s">
        <v>1692</v>
      </c>
    </row>
    <row r="8" spans="1:38" ht="38.25" x14ac:dyDescent="0.2">
      <c r="A8" s="356">
        <v>174</v>
      </c>
      <c r="B8" s="356" t="s">
        <v>1033</v>
      </c>
      <c r="C8" s="356" t="s">
        <v>1035</v>
      </c>
      <c r="D8" s="356">
        <v>22965</v>
      </c>
      <c r="E8" s="356" t="s">
        <v>61</v>
      </c>
      <c r="F8" s="356">
        <v>60</v>
      </c>
      <c r="G8" s="356" t="s">
        <v>1662</v>
      </c>
      <c r="H8" s="358">
        <f>ROWS($G$4:G8)</f>
        <v>5</v>
      </c>
      <c r="I8" s="358" t="str">
        <f>IF('School Level Expenditures'!$B$2=A8,'School Tables'!H8,"")</f>
        <v/>
      </c>
      <c r="J8" s="358" t="str">
        <f>IFERROR(SMALL($I$4:$I$325,ROWS($I$4:I8)),"")</f>
        <v/>
      </c>
      <c r="K8" s="332" t="b">
        <f t="shared" si="0"/>
        <v>0</v>
      </c>
      <c r="L8" s="356">
        <v>486</v>
      </c>
      <c r="M8" s="356" t="s">
        <v>1410</v>
      </c>
      <c r="N8" s="356" t="s">
        <v>1414</v>
      </c>
      <c r="O8" s="356">
        <v>22150</v>
      </c>
      <c r="P8" s="356" t="s">
        <v>1533</v>
      </c>
      <c r="Q8" s="356">
        <v>80</v>
      </c>
      <c r="R8" s="356" t="s">
        <v>1677</v>
      </c>
      <c r="S8" s="358">
        <f>ROWS($Q$4:Q8)</f>
        <v>5</v>
      </c>
      <c r="T8" s="358" t="str">
        <f>IF('School Level Expenditures'!$B$2='School Tables'!L8,'School Tables'!S8,"")</f>
        <v/>
      </c>
      <c r="U8" s="358" t="str">
        <f>IFERROR(SMALL($T$4:$T$75,ROWS($T$4:T8)),"")</f>
        <v/>
      </c>
      <c r="V8" s="332" t="b">
        <f t="shared" si="1"/>
        <v>0</v>
      </c>
      <c r="W8" s="356">
        <v>51</v>
      </c>
      <c r="X8" s="356" t="s">
        <v>940</v>
      </c>
      <c r="Y8" s="356" t="s">
        <v>942</v>
      </c>
      <c r="Z8" s="356">
        <v>20050</v>
      </c>
      <c r="AA8" s="356" t="s">
        <v>1534</v>
      </c>
      <c r="AB8" s="356">
        <v>3</v>
      </c>
      <c r="AC8" s="356" t="s">
        <v>1678</v>
      </c>
      <c r="AD8" s="358">
        <f>ROWS($AC$4:AC8)</f>
        <v>5</v>
      </c>
      <c r="AE8" s="358" t="str">
        <f>IF('School Level Expenditures'!$B$2='School Tables'!W8,'School Tables'!AD8,"")</f>
        <v/>
      </c>
      <c r="AF8" s="358" t="str">
        <f>IFERROR(SMALL(AE8:$AE$100,ROWS($AE$4:AE8)),"")</f>
        <v/>
      </c>
      <c r="AG8" s="332" t="b">
        <f t="shared" si="2"/>
        <v>0</v>
      </c>
      <c r="AH8">
        <v>19</v>
      </c>
      <c r="AI8">
        <v>19</v>
      </c>
      <c r="AJ8" t="s">
        <v>918</v>
      </c>
      <c r="AK8">
        <v>46</v>
      </c>
      <c r="AL8" t="s">
        <v>1667</v>
      </c>
    </row>
    <row r="9" spans="1:38" ht="25.5" x14ac:dyDescent="0.2">
      <c r="A9" s="356">
        <v>15</v>
      </c>
      <c r="B9" s="356" t="s">
        <v>913</v>
      </c>
      <c r="C9" s="356" t="s">
        <v>914</v>
      </c>
      <c r="D9" s="356">
        <v>22480</v>
      </c>
      <c r="E9" s="356" t="s">
        <v>61</v>
      </c>
      <c r="F9" s="356">
        <v>72</v>
      </c>
      <c r="G9" s="356" t="s">
        <v>1665</v>
      </c>
      <c r="H9" s="358">
        <f>ROWS($G$4:G9)</f>
        <v>6</v>
      </c>
      <c r="I9" s="358" t="str">
        <f>IF('School Level Expenditures'!$B$2=A9,'School Tables'!H9,"")</f>
        <v/>
      </c>
      <c r="J9" s="358" t="str">
        <f>IFERROR(SMALL($I$4:$I$325,ROWS($I$4:I9)),"")</f>
        <v/>
      </c>
      <c r="K9" s="332" t="b">
        <f t="shared" si="0"/>
        <v>0</v>
      </c>
      <c r="L9" s="356">
        <v>51</v>
      </c>
      <c r="M9" s="356" t="s">
        <v>940</v>
      </c>
      <c r="N9" s="356" t="s">
        <v>941</v>
      </c>
      <c r="O9" s="356">
        <v>20045</v>
      </c>
      <c r="P9" s="356" t="s">
        <v>1533</v>
      </c>
      <c r="Q9" s="356">
        <v>3</v>
      </c>
      <c r="R9" s="356" t="s">
        <v>1678</v>
      </c>
      <c r="S9" s="358">
        <f>ROWS($Q$4:Q9)</f>
        <v>6</v>
      </c>
      <c r="T9" s="358" t="str">
        <f>IF('School Level Expenditures'!$B$2='School Tables'!L9,'School Tables'!S9,"")</f>
        <v/>
      </c>
      <c r="U9" s="358" t="str">
        <f>IFERROR(SMALL($T$4:$T$75,ROWS($T$4:T9)),"")</f>
        <v/>
      </c>
      <c r="V9" s="332" t="b">
        <f t="shared" si="1"/>
        <v>0</v>
      </c>
      <c r="W9" s="356">
        <v>57</v>
      </c>
      <c r="X9" s="356" t="s">
        <v>945</v>
      </c>
      <c r="Y9" s="356" t="s">
        <v>948</v>
      </c>
      <c r="Z9" s="356">
        <v>27375</v>
      </c>
      <c r="AA9" s="356" t="s">
        <v>1534</v>
      </c>
      <c r="AB9" s="356">
        <v>67</v>
      </c>
      <c r="AC9" s="356" t="s">
        <v>1682</v>
      </c>
      <c r="AD9" s="358">
        <f>ROWS($AC$4:AC9)</f>
        <v>6</v>
      </c>
      <c r="AE9" s="358" t="str">
        <f>IF('School Level Expenditures'!$B$2='School Tables'!W9,'School Tables'!AD9,"")</f>
        <v/>
      </c>
      <c r="AF9" s="358" t="str">
        <f>IFERROR(SMALL(AE9:$AE$100,ROWS($AE$4:AE9)),"")</f>
        <v/>
      </c>
      <c r="AG9" s="332" t="b">
        <f t="shared" si="2"/>
        <v>0</v>
      </c>
      <c r="AH9">
        <v>23</v>
      </c>
      <c r="AI9">
        <v>23</v>
      </c>
      <c r="AJ9" t="s">
        <v>920</v>
      </c>
      <c r="AK9">
        <v>2</v>
      </c>
      <c r="AL9" t="s">
        <v>1669</v>
      </c>
    </row>
    <row r="10" spans="1:38" ht="38.25" x14ac:dyDescent="0.2">
      <c r="A10" s="356">
        <v>371</v>
      </c>
      <c r="B10" s="356" t="s">
        <v>1283</v>
      </c>
      <c r="C10" s="356" t="s">
        <v>1299</v>
      </c>
      <c r="D10" s="356">
        <v>21940</v>
      </c>
      <c r="E10" s="356" t="s">
        <v>61</v>
      </c>
      <c r="F10" s="356">
        <v>42</v>
      </c>
      <c r="G10" s="356" t="s">
        <v>1666</v>
      </c>
      <c r="H10" s="358">
        <f>ROWS($G$4:G10)</f>
        <v>7</v>
      </c>
      <c r="I10" s="358" t="str">
        <f>IF('School Level Expenditures'!$B$2=A10,'School Tables'!H10,"")</f>
        <v/>
      </c>
      <c r="J10" s="358" t="str">
        <f>IFERROR(SMALL($I$4:$I$325,ROWS($I$4:I10)),"")</f>
        <v/>
      </c>
      <c r="K10" s="332" t="b">
        <f t="shared" si="0"/>
        <v>0</v>
      </c>
      <c r="L10" s="356">
        <v>57</v>
      </c>
      <c r="M10" s="356" t="s">
        <v>945</v>
      </c>
      <c r="N10" s="356" t="s">
        <v>946</v>
      </c>
      <c r="O10" s="356">
        <v>20675</v>
      </c>
      <c r="P10" s="356" t="s">
        <v>1533</v>
      </c>
      <c r="Q10" s="356">
        <v>67</v>
      </c>
      <c r="R10" s="356" t="s">
        <v>1682</v>
      </c>
      <c r="S10" s="358">
        <f>ROWS($Q$4:Q10)</f>
        <v>7</v>
      </c>
      <c r="T10" s="358" t="str">
        <f>IF('School Level Expenditures'!$B$2='School Tables'!L10,'School Tables'!S10,"")</f>
        <v/>
      </c>
      <c r="U10" s="358" t="str">
        <f>IFERROR(SMALL($T$4:$T$75,ROWS($T$4:T10)),"")</f>
        <v/>
      </c>
      <c r="V10" s="332" t="b">
        <f t="shared" si="1"/>
        <v>0</v>
      </c>
      <c r="W10" s="356">
        <v>461</v>
      </c>
      <c r="X10" s="356" t="s">
        <v>1376</v>
      </c>
      <c r="Y10" s="356" t="s">
        <v>1380</v>
      </c>
      <c r="Z10" s="356">
        <v>22675</v>
      </c>
      <c r="AA10" s="356" t="s">
        <v>1534</v>
      </c>
      <c r="AB10" s="356">
        <v>54</v>
      </c>
      <c r="AC10" s="356" t="s">
        <v>1689</v>
      </c>
      <c r="AD10" s="358">
        <f>ROWS($AC$4:AC10)</f>
        <v>7</v>
      </c>
      <c r="AE10" s="358" t="str">
        <f>IF('School Level Expenditures'!$B$2='School Tables'!W10,'School Tables'!AD10,"")</f>
        <v/>
      </c>
      <c r="AF10" s="358" t="str">
        <f>IFERROR(SMALL(AE10:$AE$100,ROWS($AE$4:AE10)),"")</f>
        <v/>
      </c>
      <c r="AG10" s="332" t="b">
        <f t="shared" si="2"/>
        <v>0</v>
      </c>
      <c r="AH10">
        <v>29</v>
      </c>
      <c r="AI10">
        <v>29</v>
      </c>
      <c r="AJ10" t="s">
        <v>922</v>
      </c>
      <c r="AK10">
        <v>15</v>
      </c>
      <c r="AL10" t="s">
        <v>1671</v>
      </c>
    </row>
    <row r="11" spans="1:38" ht="38.25" x14ac:dyDescent="0.2">
      <c r="A11" s="356">
        <v>19</v>
      </c>
      <c r="B11" s="356" t="s">
        <v>918</v>
      </c>
      <c r="C11" s="356" t="s">
        <v>919</v>
      </c>
      <c r="D11" s="356">
        <v>22130</v>
      </c>
      <c r="E11" s="356" t="s">
        <v>61</v>
      </c>
      <c r="F11" s="356">
        <v>46</v>
      </c>
      <c r="G11" s="356" t="s">
        <v>1667</v>
      </c>
      <c r="H11" s="358">
        <f>ROWS($G$4:G11)</f>
        <v>8</v>
      </c>
      <c r="I11" s="358" t="str">
        <f>IF('School Level Expenditures'!$B$2=A11,'School Tables'!H11,"")</f>
        <v/>
      </c>
      <c r="J11" s="358" t="str">
        <f>IFERROR(SMALL($I$4:$I$325,ROWS($I$4:I11)),"")</f>
        <v/>
      </c>
      <c r="K11" s="332" t="b">
        <f t="shared" si="0"/>
        <v>0</v>
      </c>
      <c r="L11" s="356">
        <v>342</v>
      </c>
      <c r="M11" s="356" t="s">
        <v>1232</v>
      </c>
      <c r="N11" s="356" t="s">
        <v>1233</v>
      </c>
      <c r="O11" s="356">
        <v>26685</v>
      </c>
      <c r="P11" s="356" t="s">
        <v>1533</v>
      </c>
      <c r="Q11" s="356">
        <v>87</v>
      </c>
      <c r="R11" s="356" t="s">
        <v>1726</v>
      </c>
      <c r="S11" s="358">
        <f>ROWS($Q$4:Q11)</f>
        <v>8</v>
      </c>
      <c r="T11" s="358" t="str">
        <f>IF('School Level Expenditures'!$B$2='School Tables'!L11,'School Tables'!S11,"")</f>
        <v/>
      </c>
      <c r="U11" s="358" t="str">
        <f>IFERROR(SMALL($T$4:$T$75,ROWS($T$4:T11)),"")</f>
        <v/>
      </c>
      <c r="V11" s="332" t="b">
        <f t="shared" si="1"/>
        <v>0</v>
      </c>
      <c r="W11" s="356">
        <v>315</v>
      </c>
      <c r="X11" s="356" t="s">
        <v>1191</v>
      </c>
      <c r="Y11" s="356" t="s">
        <v>1193</v>
      </c>
      <c r="Z11" s="356">
        <v>27715</v>
      </c>
      <c r="AA11" s="356" t="s">
        <v>1534</v>
      </c>
      <c r="AB11" s="356">
        <v>27</v>
      </c>
      <c r="AC11" s="356" t="s">
        <v>1719</v>
      </c>
      <c r="AD11" s="358">
        <f>ROWS($AC$4:AC11)</f>
        <v>8</v>
      </c>
      <c r="AE11" s="358" t="str">
        <f>IF('School Level Expenditures'!$B$2='School Tables'!W11,'School Tables'!AD11,"")</f>
        <v/>
      </c>
      <c r="AF11" s="358" t="str">
        <f>IFERROR(SMALL(AE11:$AE$100,ROWS($AE$4:AE11)),"")</f>
        <v/>
      </c>
      <c r="AG11" s="332" t="b">
        <f t="shared" si="2"/>
        <v>0</v>
      </c>
      <c r="AH11">
        <v>31</v>
      </c>
      <c r="AI11">
        <v>31</v>
      </c>
      <c r="AJ11" t="s">
        <v>924</v>
      </c>
      <c r="AK11">
        <v>86</v>
      </c>
      <c r="AL11" t="s">
        <v>1673</v>
      </c>
    </row>
    <row r="12" spans="1:38" ht="38.25" x14ac:dyDescent="0.2">
      <c r="A12" s="356">
        <v>112</v>
      </c>
      <c r="B12" s="356" t="s">
        <v>977</v>
      </c>
      <c r="C12" s="356" t="s">
        <v>979</v>
      </c>
      <c r="D12" s="356">
        <v>22215</v>
      </c>
      <c r="E12" s="356" t="s">
        <v>61</v>
      </c>
      <c r="F12" s="356">
        <v>1</v>
      </c>
      <c r="G12" s="356" t="s">
        <v>1668</v>
      </c>
      <c r="H12" s="358">
        <f>ROWS($G$4:G12)</f>
        <v>9</v>
      </c>
      <c r="I12" s="358" t="str">
        <f>IF('School Level Expenditures'!$B$2=A12,'School Tables'!H12,"")</f>
        <v/>
      </c>
      <c r="J12" s="358" t="str">
        <f>IFERROR(SMALL($I$4:$I$325,ROWS($I$4:I12)),"")</f>
        <v/>
      </c>
      <c r="K12" s="332" t="b">
        <f t="shared" si="0"/>
        <v>0</v>
      </c>
      <c r="L12" s="356">
        <v>101</v>
      </c>
      <c r="M12" s="356" t="s">
        <v>963</v>
      </c>
      <c r="N12" s="356" t="s">
        <v>964</v>
      </c>
      <c r="O12" s="356">
        <v>20115</v>
      </c>
      <c r="P12" s="356" t="s">
        <v>1533</v>
      </c>
      <c r="Q12" s="356">
        <v>6</v>
      </c>
      <c r="R12" s="356" t="s">
        <v>1681</v>
      </c>
      <c r="S12" s="358">
        <f>ROWS($Q$4:Q12)</f>
        <v>9</v>
      </c>
      <c r="T12" s="358" t="str">
        <f>IF('School Level Expenditures'!$B$2='School Tables'!L12,'School Tables'!S12,"")</f>
        <v/>
      </c>
      <c r="U12" s="358" t="str">
        <f>IFERROR(SMALL($T$4:$T$75,ROWS($T$4:T12)),"")</f>
        <v/>
      </c>
      <c r="V12" s="332" t="b">
        <f t="shared" si="1"/>
        <v>0</v>
      </c>
      <c r="W12" s="356">
        <v>707</v>
      </c>
      <c r="X12" s="356" t="s">
        <v>1498</v>
      </c>
      <c r="Y12" s="356" t="s">
        <v>1498</v>
      </c>
      <c r="Z12" s="356">
        <v>28455</v>
      </c>
      <c r="AA12" s="356" t="s">
        <v>1534</v>
      </c>
      <c r="AB12" s="356">
        <v>405</v>
      </c>
      <c r="AC12" s="356" t="s">
        <v>1498</v>
      </c>
      <c r="AD12" s="358">
        <f>ROWS($AC$4:AC12)</f>
        <v>9</v>
      </c>
      <c r="AE12" s="358" t="str">
        <f>IF('School Level Expenditures'!$B$2='School Tables'!W12,'School Tables'!AD12,"")</f>
        <v/>
      </c>
      <c r="AF12" s="358" t="str">
        <f>IFERROR(SMALL(AE12:$AE$100,ROWS($AE$4:AE12)),"")</f>
        <v/>
      </c>
      <c r="AG12" s="332" t="b">
        <f t="shared" si="2"/>
        <v>0</v>
      </c>
      <c r="AH12">
        <v>33</v>
      </c>
      <c r="AI12">
        <v>33</v>
      </c>
      <c r="AJ12" t="s">
        <v>926</v>
      </c>
      <c r="AK12">
        <v>74</v>
      </c>
      <c r="AL12" t="s">
        <v>1674</v>
      </c>
    </row>
    <row r="13" spans="1:38" ht="38.25" x14ac:dyDescent="0.2">
      <c r="A13" s="356">
        <v>9</v>
      </c>
      <c r="B13" s="356" t="s">
        <v>910</v>
      </c>
      <c r="C13" s="356" t="s">
        <v>911</v>
      </c>
      <c r="D13" s="356">
        <v>22575</v>
      </c>
      <c r="E13" s="356" t="s">
        <v>61</v>
      </c>
      <c r="F13" s="356">
        <v>53</v>
      </c>
      <c r="G13" s="356" t="s">
        <v>1664</v>
      </c>
      <c r="H13" s="358">
        <f>ROWS($G$4:G13)</f>
        <v>10</v>
      </c>
      <c r="I13" s="358" t="str">
        <f>IF('School Level Expenditures'!$B$2=A13,'School Tables'!H13,"")</f>
        <v/>
      </c>
      <c r="J13" s="358" t="str">
        <f>IFERROR(SMALL($I$4:$I$325,ROWS($I$4:I13)),"")</f>
        <v/>
      </c>
      <c r="K13" s="332" t="b">
        <f t="shared" si="0"/>
        <v>0</v>
      </c>
      <c r="L13" s="356">
        <v>172</v>
      </c>
      <c r="M13" s="356" t="s">
        <v>1027</v>
      </c>
      <c r="N13" s="356" t="s">
        <v>1028</v>
      </c>
      <c r="O13" s="356">
        <v>20590</v>
      </c>
      <c r="P13" s="356" t="s">
        <v>1533</v>
      </c>
      <c r="Q13" s="356">
        <v>16</v>
      </c>
      <c r="R13" s="356" t="s">
        <v>1702</v>
      </c>
      <c r="S13" s="358">
        <f>ROWS($Q$4:Q13)</f>
        <v>10</v>
      </c>
      <c r="T13" s="358" t="str">
        <f>IF('School Level Expenditures'!$B$2='School Tables'!L13,'School Tables'!S13,"")</f>
        <v/>
      </c>
      <c r="U13" s="358" t="str">
        <f>IFERROR(SMALL($T$4:$T$75,ROWS($T$4:T13)),"")</f>
        <v/>
      </c>
      <c r="V13" s="332" t="b">
        <f t="shared" si="1"/>
        <v>0</v>
      </c>
      <c r="W13" s="356">
        <v>998</v>
      </c>
      <c r="X13" s="356" t="s">
        <v>1625</v>
      </c>
      <c r="Y13" s="356" t="s">
        <v>1625</v>
      </c>
      <c r="Z13" s="356">
        <v>22025</v>
      </c>
      <c r="AA13" s="356" t="s">
        <v>1534</v>
      </c>
      <c r="AB13" s="356">
        <v>201</v>
      </c>
      <c r="AC13" s="356" t="s">
        <v>1625</v>
      </c>
      <c r="AD13" s="358">
        <f>ROWS($AC$4:AC13)</f>
        <v>10</v>
      </c>
      <c r="AE13" s="358" t="str">
        <f>IF('School Level Expenditures'!$B$2='School Tables'!W13,'School Tables'!AD13,"")</f>
        <v/>
      </c>
      <c r="AF13" s="358" t="str">
        <f>IFERROR(SMALL(AE13:$AE$100,ROWS($AE$4:AE13)),"")</f>
        <v/>
      </c>
      <c r="AG13" s="332" t="b">
        <f t="shared" si="2"/>
        <v>0</v>
      </c>
      <c r="AH13">
        <v>35</v>
      </c>
      <c r="AI13">
        <v>35</v>
      </c>
      <c r="AJ13" t="s">
        <v>930</v>
      </c>
      <c r="AK13">
        <v>9</v>
      </c>
      <c r="AL13" t="s">
        <v>1694</v>
      </c>
    </row>
    <row r="14" spans="1:38" ht="51" x14ac:dyDescent="0.2">
      <c r="A14" s="356">
        <v>23</v>
      </c>
      <c r="B14" s="356" t="s">
        <v>920</v>
      </c>
      <c r="C14" s="356" t="s">
        <v>921</v>
      </c>
      <c r="D14" s="356">
        <v>20010</v>
      </c>
      <c r="E14" s="356" t="s">
        <v>61</v>
      </c>
      <c r="F14" s="356">
        <v>2</v>
      </c>
      <c r="G14" s="356" t="s">
        <v>1669</v>
      </c>
      <c r="H14" s="358">
        <f>ROWS($G$4:G14)</f>
        <v>11</v>
      </c>
      <c r="I14" s="358" t="str">
        <f>IF('School Level Expenditures'!$B$2=A14,'School Tables'!H14,"")</f>
        <v/>
      </c>
      <c r="J14" s="358" t="str">
        <f>IFERROR(SMALL($I$4:$I$325,ROWS($I$4:I14)),"")</f>
        <v/>
      </c>
      <c r="K14" s="332" t="b">
        <f t="shared" si="0"/>
        <v>0</v>
      </c>
      <c r="L14" s="356">
        <v>317</v>
      </c>
      <c r="M14" s="356" t="s">
        <v>1195</v>
      </c>
      <c r="N14" s="356" t="s">
        <v>1196</v>
      </c>
      <c r="O14" s="356">
        <v>21440</v>
      </c>
      <c r="P14" s="356" t="s">
        <v>1533</v>
      </c>
      <c r="Q14" s="356">
        <v>84</v>
      </c>
      <c r="R14" s="356" t="s">
        <v>1746</v>
      </c>
      <c r="S14" s="358">
        <f>ROWS($Q$4:Q14)</f>
        <v>11</v>
      </c>
      <c r="T14" s="358" t="str">
        <f>IF('School Level Expenditures'!$B$2='School Tables'!L14,'School Tables'!S14,"")</f>
        <v/>
      </c>
      <c r="U14" s="358" t="str">
        <f>IFERROR(SMALL($T$4:$T$75,ROWS($T$4:T14)),"")</f>
        <v/>
      </c>
      <c r="V14" s="332" t="b">
        <f t="shared" si="1"/>
        <v>0</v>
      </c>
      <c r="W14" s="356">
        <v>105</v>
      </c>
      <c r="X14" s="356" t="s">
        <v>968</v>
      </c>
      <c r="Y14" s="356" t="s">
        <v>1609</v>
      </c>
      <c r="Z14" s="356">
        <v>20185</v>
      </c>
      <c r="AA14" s="356" t="s">
        <v>1534</v>
      </c>
      <c r="AB14" s="356">
        <v>7</v>
      </c>
      <c r="AC14" s="356" t="s">
        <v>1693</v>
      </c>
      <c r="AD14" s="358">
        <f>ROWS($AC$4:AC14)</f>
        <v>11</v>
      </c>
      <c r="AE14" s="358" t="str">
        <f>IF('School Level Expenditures'!$B$2='School Tables'!W14,'School Tables'!AD14,"")</f>
        <v/>
      </c>
      <c r="AF14" s="358" t="str">
        <f>IFERROR(SMALL(AE14:$AE$100,ROWS($AE$4:AE14)),"")</f>
        <v/>
      </c>
      <c r="AG14" s="332" t="b">
        <f t="shared" si="2"/>
        <v>0</v>
      </c>
      <c r="AH14">
        <v>39</v>
      </c>
      <c r="AI14">
        <v>39</v>
      </c>
      <c r="AJ14" t="s">
        <v>932</v>
      </c>
      <c r="AK14">
        <v>23</v>
      </c>
      <c r="AL14" t="s">
        <v>1676</v>
      </c>
    </row>
    <row r="15" spans="1:38" ht="63.75" x14ac:dyDescent="0.2">
      <c r="A15" s="356">
        <v>534</v>
      </c>
      <c r="B15" s="356" t="s">
        <v>1443</v>
      </c>
      <c r="C15" s="356" t="s">
        <v>1445</v>
      </c>
      <c r="D15" s="356">
        <v>22740</v>
      </c>
      <c r="E15" s="356" t="s">
        <v>61</v>
      </c>
      <c r="F15" s="356">
        <v>106</v>
      </c>
      <c r="G15" s="356" t="s">
        <v>1670</v>
      </c>
      <c r="H15" s="358">
        <f>ROWS($G$4:G15)</f>
        <v>12</v>
      </c>
      <c r="I15" s="358" t="str">
        <f>IF('School Level Expenditures'!$B$2=A15,'School Tables'!H15,"")</f>
        <v/>
      </c>
      <c r="J15" s="358" t="str">
        <f>IFERROR(SMALL($I$4:$I$325,ROWS($I$4:I15)),"")</f>
        <v/>
      </c>
      <c r="K15" s="332" t="b">
        <f t="shared" si="0"/>
        <v>0</v>
      </c>
      <c r="L15" s="356">
        <v>261</v>
      </c>
      <c r="M15" s="356" t="s">
        <v>1121</v>
      </c>
      <c r="N15" s="356" t="s">
        <v>1124</v>
      </c>
      <c r="O15" s="356">
        <v>28050</v>
      </c>
      <c r="P15" s="356" t="s">
        <v>1533</v>
      </c>
      <c r="Q15" s="356">
        <v>15</v>
      </c>
      <c r="R15" s="356" t="s">
        <v>1671</v>
      </c>
      <c r="S15" s="358">
        <f>ROWS($Q$4:Q15)</f>
        <v>12</v>
      </c>
      <c r="T15" s="358" t="str">
        <f>IF('School Level Expenditures'!$B$2='School Tables'!L15,'School Tables'!S15,"")</f>
        <v/>
      </c>
      <c r="U15" s="358" t="str">
        <f>IFERROR(SMALL($T$4:$T$75,ROWS($T$4:T15)),"")</f>
        <v/>
      </c>
      <c r="V15" s="332" t="b">
        <f t="shared" si="1"/>
        <v>0</v>
      </c>
      <c r="W15" s="356">
        <v>743</v>
      </c>
      <c r="X15" s="356" t="s">
        <v>1529</v>
      </c>
      <c r="Y15" s="356" t="s">
        <v>1764</v>
      </c>
      <c r="Z15" s="356">
        <v>29224</v>
      </c>
      <c r="AA15" s="356" t="s">
        <v>1534</v>
      </c>
      <c r="AB15" s="356">
        <v>429</v>
      </c>
      <c r="AC15" s="356" t="s">
        <v>1529</v>
      </c>
      <c r="AD15" s="358">
        <f>ROWS($AC$4:AC15)</f>
        <v>12</v>
      </c>
      <c r="AE15" s="358" t="str">
        <f>IF('School Level Expenditures'!$B$2='School Tables'!W15,'School Tables'!AD15,"")</f>
        <v/>
      </c>
      <c r="AF15" s="358" t="str">
        <f>IFERROR(SMALL(AE15:$AE$100,ROWS($AE$4:AE15)),"")</f>
        <v/>
      </c>
      <c r="AG15" s="332" t="b">
        <f t="shared" si="2"/>
        <v>0</v>
      </c>
      <c r="AH15">
        <v>41</v>
      </c>
      <c r="AI15">
        <v>41</v>
      </c>
      <c r="AJ15" t="s">
        <v>934</v>
      </c>
      <c r="AK15">
        <v>25</v>
      </c>
      <c r="AL15" t="s">
        <v>1744</v>
      </c>
    </row>
    <row r="16" spans="1:38" ht="25.5" x14ac:dyDescent="0.2">
      <c r="A16" s="356">
        <v>29</v>
      </c>
      <c r="B16" s="356" t="s">
        <v>922</v>
      </c>
      <c r="C16" s="356" t="s">
        <v>923</v>
      </c>
      <c r="D16" s="356">
        <v>20530</v>
      </c>
      <c r="E16" s="356" t="s">
        <v>61</v>
      </c>
      <c r="F16" s="356">
        <v>15</v>
      </c>
      <c r="G16" s="356" t="s">
        <v>1671</v>
      </c>
      <c r="H16" s="358">
        <f>ROWS($G$4:G16)</f>
        <v>13</v>
      </c>
      <c r="I16" s="358" t="str">
        <f>IF('School Level Expenditures'!$B$2=A16,'School Tables'!H16,"")</f>
        <v/>
      </c>
      <c r="J16" s="358" t="str">
        <f>IFERROR(SMALL($I$4:$I$325,ROWS($I$4:I16)),"")</f>
        <v/>
      </c>
      <c r="K16" s="332" t="b">
        <f t="shared" si="0"/>
        <v>0</v>
      </c>
      <c r="L16" s="356">
        <v>141</v>
      </c>
      <c r="M16" s="356" t="s">
        <v>1008</v>
      </c>
      <c r="N16" s="356" t="s">
        <v>1010</v>
      </c>
      <c r="O16" s="356">
        <v>20435</v>
      </c>
      <c r="P16" s="356" t="s">
        <v>1533</v>
      </c>
      <c r="Q16" s="356">
        <v>11</v>
      </c>
      <c r="R16" s="356" t="s">
        <v>1710</v>
      </c>
      <c r="S16" s="358">
        <f>ROWS($Q$4:Q16)</f>
        <v>13</v>
      </c>
      <c r="T16" s="358" t="str">
        <f>IF('School Level Expenditures'!$B$2='School Tables'!L16,'School Tables'!S16,"")</f>
        <v/>
      </c>
      <c r="U16" s="358" t="str">
        <f>IFERROR(SMALL($T$4:$T$75,ROWS($T$4:T16)),"")</f>
        <v/>
      </c>
      <c r="V16" s="332" t="b">
        <f t="shared" si="1"/>
        <v>0</v>
      </c>
      <c r="W16" s="356">
        <v>274</v>
      </c>
      <c r="X16" s="356" t="s">
        <v>1143</v>
      </c>
      <c r="Y16" s="356" t="s">
        <v>1145</v>
      </c>
      <c r="Z16" s="356">
        <v>22265</v>
      </c>
      <c r="AA16" s="356" t="s">
        <v>1534</v>
      </c>
      <c r="AB16" s="356">
        <v>47</v>
      </c>
      <c r="AC16" s="356" t="s">
        <v>1730</v>
      </c>
      <c r="AD16" s="358">
        <f>ROWS($AC$4:AC16)</f>
        <v>13</v>
      </c>
      <c r="AE16" s="358" t="str">
        <f>IF('School Level Expenditures'!$B$2='School Tables'!W16,'School Tables'!AD16,"")</f>
        <v/>
      </c>
      <c r="AF16" s="358" t="str">
        <f>IFERROR(SMALL(AE16:$AE$100,ROWS($AE$4:AE16)),"")</f>
        <v/>
      </c>
      <c r="AG16" s="332" t="b">
        <f t="shared" si="2"/>
        <v>0</v>
      </c>
      <c r="AH16">
        <v>47</v>
      </c>
      <c r="AI16">
        <v>47</v>
      </c>
      <c r="AJ16" t="s">
        <v>1773</v>
      </c>
      <c r="AK16">
        <v>23</v>
      </c>
      <c r="AL16" t="s">
        <v>1676</v>
      </c>
    </row>
    <row r="17" spans="1:38" ht="38.25" x14ac:dyDescent="0.2">
      <c r="A17" s="356">
        <v>335</v>
      </c>
      <c r="B17" s="356" t="s">
        <v>906</v>
      </c>
      <c r="C17" s="356" t="s">
        <v>1216</v>
      </c>
      <c r="D17" s="356">
        <v>21545</v>
      </c>
      <c r="E17" s="356" t="s">
        <v>61</v>
      </c>
      <c r="F17" s="356">
        <v>37</v>
      </c>
      <c r="G17" s="356" t="s">
        <v>1672</v>
      </c>
      <c r="H17" s="358">
        <f>ROWS($G$4:G17)</f>
        <v>14</v>
      </c>
      <c r="I17" s="358" t="str">
        <f>IF('School Level Expenditures'!$B$2=A17,'School Tables'!H17,"")</f>
        <v/>
      </c>
      <c r="J17" s="358" t="str">
        <f>IFERROR(SMALL($I$4:$I$325,ROWS($I$4:I17)),"")</f>
        <v/>
      </c>
      <c r="K17" s="332" t="b">
        <f t="shared" si="0"/>
        <v>0</v>
      </c>
      <c r="L17" s="356">
        <v>371</v>
      </c>
      <c r="M17" s="356" t="s">
        <v>1283</v>
      </c>
      <c r="N17" s="356" t="s">
        <v>1293</v>
      </c>
      <c r="O17" s="356">
        <v>21890</v>
      </c>
      <c r="P17" s="356" t="s">
        <v>1533</v>
      </c>
      <c r="Q17" s="356">
        <v>42</v>
      </c>
      <c r="R17" s="356" t="s">
        <v>1666</v>
      </c>
      <c r="S17" s="358">
        <f>ROWS($Q$4:Q17)</f>
        <v>14</v>
      </c>
      <c r="T17" s="358" t="str">
        <f>IF('School Level Expenditures'!$B$2='School Tables'!L17,'School Tables'!S17,"")</f>
        <v/>
      </c>
      <c r="U17" s="358" t="str">
        <f>IFERROR(SMALL($T$4:$T$75,ROWS($T$4:T17)),"")</f>
        <v/>
      </c>
      <c r="V17" s="332" t="b">
        <f t="shared" si="1"/>
        <v>0</v>
      </c>
      <c r="W17" s="356">
        <v>111</v>
      </c>
      <c r="X17" s="356" t="s">
        <v>969</v>
      </c>
      <c r="Y17" s="356" t="s">
        <v>975</v>
      </c>
      <c r="Z17" s="356">
        <v>20285</v>
      </c>
      <c r="AA17" s="356" t="s">
        <v>1534</v>
      </c>
      <c r="AB17" s="356">
        <v>8</v>
      </c>
      <c r="AC17" s="356" t="s">
        <v>1661</v>
      </c>
      <c r="AD17" s="358">
        <f>ROWS($AC$4:AC17)</f>
        <v>14</v>
      </c>
      <c r="AE17" s="358" t="str">
        <f>IF('School Level Expenditures'!$B$2='School Tables'!W17,'School Tables'!AD17,"")</f>
        <v/>
      </c>
      <c r="AF17" s="358" t="str">
        <f>IFERROR(SMALL(AE17:$AE$100,ROWS($AE$4:AE17)),"")</f>
        <v/>
      </c>
      <c r="AG17" s="332" t="b">
        <f t="shared" si="2"/>
        <v>0</v>
      </c>
      <c r="AH17">
        <v>51</v>
      </c>
      <c r="AI17">
        <v>51</v>
      </c>
      <c r="AJ17" t="s">
        <v>940</v>
      </c>
      <c r="AK17">
        <v>3</v>
      </c>
      <c r="AL17" t="s">
        <v>1678</v>
      </c>
    </row>
    <row r="18" spans="1:38" ht="38.25" x14ac:dyDescent="0.2">
      <c r="A18" s="356">
        <v>31</v>
      </c>
      <c r="B18" s="356" t="s">
        <v>924</v>
      </c>
      <c r="C18" s="356" t="s">
        <v>925</v>
      </c>
      <c r="D18" s="356">
        <v>22485</v>
      </c>
      <c r="E18" s="356" t="s">
        <v>61</v>
      </c>
      <c r="F18" s="356">
        <v>86</v>
      </c>
      <c r="G18" s="356" t="s">
        <v>1673</v>
      </c>
      <c r="H18" s="358">
        <f>ROWS($G$4:G18)</f>
        <v>15</v>
      </c>
      <c r="I18" s="358" t="str">
        <f>IF('School Level Expenditures'!$B$2=A18,'School Tables'!H18,"")</f>
        <v/>
      </c>
      <c r="J18" s="358" t="str">
        <f>IFERROR(SMALL($I$4:$I$325,ROWS($I$4:I18)),"")</f>
        <v/>
      </c>
      <c r="K18" s="332" t="b">
        <f t="shared" si="0"/>
        <v>0</v>
      </c>
      <c r="L18" s="356">
        <v>371</v>
      </c>
      <c r="M18" s="356" t="s">
        <v>1283</v>
      </c>
      <c r="N18" s="356" t="s">
        <v>1291</v>
      </c>
      <c r="O18" s="356">
        <v>21875</v>
      </c>
      <c r="P18" s="356" t="s">
        <v>1533</v>
      </c>
      <c r="Q18" s="356">
        <v>42</v>
      </c>
      <c r="R18" s="356" t="s">
        <v>1666</v>
      </c>
      <c r="S18" s="358">
        <f>ROWS($Q$4:Q18)</f>
        <v>15</v>
      </c>
      <c r="T18" s="358" t="str">
        <f>IF('School Level Expenditures'!$B$2='School Tables'!L18,'School Tables'!S18,"")</f>
        <v/>
      </c>
      <c r="U18" s="358" t="str">
        <f>IFERROR(SMALL($T$4:$T$75,ROWS($T$4:T18)),"")</f>
        <v/>
      </c>
      <c r="V18" s="332" t="b">
        <f t="shared" si="1"/>
        <v>0</v>
      </c>
      <c r="W18" s="356">
        <v>112</v>
      </c>
      <c r="X18" s="356" t="s">
        <v>977</v>
      </c>
      <c r="Y18" s="356" t="s">
        <v>985</v>
      </c>
      <c r="Z18" s="356">
        <v>22290</v>
      </c>
      <c r="AA18" s="356" t="s">
        <v>1534</v>
      </c>
      <c r="AB18" s="356">
        <v>1</v>
      </c>
      <c r="AC18" s="356" t="s">
        <v>1668</v>
      </c>
      <c r="AD18" s="358">
        <f>ROWS($AC$4:AC18)</f>
        <v>15</v>
      </c>
      <c r="AE18" s="358" t="str">
        <f>IF('School Level Expenditures'!$B$2='School Tables'!W18,'School Tables'!AD18,"")</f>
        <v/>
      </c>
      <c r="AF18" s="358" t="str">
        <f>IFERROR(SMALL(AE18:$AE$100,ROWS($AE$4:AE18)),"")</f>
        <v/>
      </c>
      <c r="AG18" s="332" t="b">
        <f t="shared" si="2"/>
        <v>0</v>
      </c>
      <c r="AH18">
        <v>53</v>
      </c>
      <c r="AI18">
        <v>53</v>
      </c>
      <c r="AJ18" t="s">
        <v>943</v>
      </c>
      <c r="AK18">
        <v>35</v>
      </c>
      <c r="AL18" t="s">
        <v>1680</v>
      </c>
    </row>
    <row r="19" spans="1:38" ht="38.25" x14ac:dyDescent="0.2">
      <c r="A19" s="356">
        <v>33</v>
      </c>
      <c r="B19" s="356" t="s">
        <v>926</v>
      </c>
      <c r="C19" s="356" t="s">
        <v>928</v>
      </c>
      <c r="D19" s="356">
        <v>22045</v>
      </c>
      <c r="E19" s="356" t="s">
        <v>61</v>
      </c>
      <c r="F19" s="356">
        <v>74</v>
      </c>
      <c r="G19" s="356" t="s">
        <v>1674</v>
      </c>
      <c r="H19" s="358">
        <f>ROWS($G$4:G19)</f>
        <v>16</v>
      </c>
      <c r="I19" s="358" t="str">
        <f>IF('School Level Expenditures'!$B$2=A19,'School Tables'!H19,"")</f>
        <v/>
      </c>
      <c r="J19" s="358" t="str">
        <f>IFERROR(SMALL($I$4:$I$325,ROWS($I$4:I19)),"")</f>
        <v/>
      </c>
      <c r="K19" s="332" t="b">
        <f t="shared" si="0"/>
        <v>0</v>
      </c>
      <c r="L19" s="356">
        <v>131</v>
      </c>
      <c r="M19" s="356" t="s">
        <v>1000</v>
      </c>
      <c r="N19" s="356" t="s">
        <v>1007</v>
      </c>
      <c r="O19" s="356">
        <v>20420</v>
      </c>
      <c r="P19" s="356" t="s">
        <v>1533</v>
      </c>
      <c r="Q19" s="356">
        <v>10</v>
      </c>
      <c r="R19" s="356" t="s">
        <v>1699</v>
      </c>
      <c r="S19" s="358">
        <f>ROWS($Q$4:Q19)</f>
        <v>16</v>
      </c>
      <c r="T19" s="358" t="str">
        <f>IF('School Level Expenditures'!$B$2='School Tables'!L19,'School Tables'!S19,"")</f>
        <v/>
      </c>
      <c r="U19" s="358" t="str">
        <f>IFERROR(SMALL($T$4:$T$75,ROWS($T$4:T19)),"")</f>
        <v/>
      </c>
      <c r="V19" s="332" t="b">
        <f t="shared" si="1"/>
        <v>0</v>
      </c>
      <c r="W19" s="356">
        <v>723</v>
      </c>
      <c r="X19" s="356" t="s">
        <v>1509</v>
      </c>
      <c r="Y19" s="356" t="s">
        <v>1509</v>
      </c>
      <c r="Z19" s="356">
        <v>28575</v>
      </c>
      <c r="AA19" s="356" t="s">
        <v>1534</v>
      </c>
      <c r="AB19" s="356">
        <v>410</v>
      </c>
      <c r="AC19" s="356" t="s">
        <v>1509</v>
      </c>
      <c r="AD19" s="358">
        <f>ROWS($AC$4:AC19)</f>
        <v>16</v>
      </c>
      <c r="AE19" s="358" t="str">
        <f>IF('School Level Expenditures'!$B$2='School Tables'!W19,'School Tables'!AD19,"")</f>
        <v/>
      </c>
      <c r="AF19" s="358" t="str">
        <f>IFERROR(SMALL(AE19:$AE$100,ROWS($AE$4:AE19)),"")</f>
        <v/>
      </c>
      <c r="AG19" s="332" t="b">
        <f t="shared" si="2"/>
        <v>0</v>
      </c>
      <c r="AH19">
        <v>57</v>
      </c>
      <c r="AI19">
        <v>57</v>
      </c>
      <c r="AJ19" t="s">
        <v>945</v>
      </c>
      <c r="AK19">
        <v>67</v>
      </c>
      <c r="AL19" t="s">
        <v>1682</v>
      </c>
    </row>
    <row r="20" spans="1:38" ht="38.25" x14ac:dyDescent="0.2">
      <c r="A20" s="356">
        <v>199</v>
      </c>
      <c r="B20" s="356" t="s">
        <v>1063</v>
      </c>
      <c r="C20" s="356" t="s">
        <v>1066</v>
      </c>
      <c r="D20" s="356">
        <v>20695</v>
      </c>
      <c r="E20" s="356" t="s">
        <v>61</v>
      </c>
      <c r="F20" s="356">
        <v>19</v>
      </c>
      <c r="G20" s="356" t="s">
        <v>1675</v>
      </c>
      <c r="H20" s="358">
        <f>ROWS($G$4:G20)</f>
        <v>17</v>
      </c>
      <c r="I20" s="358" t="str">
        <f>IF('School Level Expenditures'!$B$2=A20,'School Tables'!H20,"")</f>
        <v/>
      </c>
      <c r="J20" s="358" t="str">
        <f>IFERROR(SMALL($I$4:$I$325,ROWS($I$4:I20)),"")</f>
        <v/>
      </c>
      <c r="K20" s="332" t="b">
        <f t="shared" si="0"/>
        <v>0</v>
      </c>
      <c r="L20" s="356">
        <v>191</v>
      </c>
      <c r="M20" s="356" t="s">
        <v>1057</v>
      </c>
      <c r="N20" s="356" t="s">
        <v>1060</v>
      </c>
      <c r="O20" s="356">
        <v>26995</v>
      </c>
      <c r="P20" s="356" t="s">
        <v>1533</v>
      </c>
      <c r="Q20" s="356">
        <v>73</v>
      </c>
      <c r="R20" s="356" t="s">
        <v>1714</v>
      </c>
      <c r="S20" s="358">
        <f>ROWS($Q$4:Q20)</f>
        <v>17</v>
      </c>
      <c r="T20" s="358" t="str">
        <f>IF('School Level Expenditures'!$B$2='School Tables'!L20,'School Tables'!S20,"")</f>
        <v/>
      </c>
      <c r="U20" s="358" t="str">
        <f>IFERROR(SMALL($T$4:$T$75,ROWS($T$4:T20)),"")</f>
        <v/>
      </c>
      <c r="V20" s="332" t="b">
        <f t="shared" si="1"/>
        <v>0</v>
      </c>
      <c r="W20" s="356">
        <v>141</v>
      </c>
      <c r="X20" s="356" t="s">
        <v>1008</v>
      </c>
      <c r="Y20" s="356" t="s">
        <v>1012</v>
      </c>
      <c r="Z20" s="356">
        <v>20455</v>
      </c>
      <c r="AA20" s="356" t="s">
        <v>1534</v>
      </c>
      <c r="AB20" s="356">
        <v>11</v>
      </c>
      <c r="AC20" s="356" t="s">
        <v>1710</v>
      </c>
      <c r="AD20" s="358">
        <f>ROWS($AC$4:AC20)</f>
        <v>17</v>
      </c>
      <c r="AE20" s="358" t="str">
        <f>IF('School Level Expenditures'!$B$2='School Tables'!W20,'School Tables'!AD20,"")</f>
        <v/>
      </c>
      <c r="AF20" s="358" t="str">
        <f>IFERROR(SMALL(AE20:$AE$100,ROWS($AE$4:AE20)),"")</f>
        <v/>
      </c>
      <c r="AG20" s="332" t="b">
        <f t="shared" si="2"/>
        <v>0</v>
      </c>
      <c r="AH20">
        <v>63</v>
      </c>
      <c r="AI20">
        <v>63</v>
      </c>
      <c r="AJ20" t="s">
        <v>949</v>
      </c>
      <c r="AK20">
        <v>16</v>
      </c>
      <c r="AL20" t="s">
        <v>1702</v>
      </c>
    </row>
    <row r="21" spans="1:38" ht="51" x14ac:dyDescent="0.2">
      <c r="A21" s="356">
        <v>39</v>
      </c>
      <c r="B21" s="356" t="s">
        <v>932</v>
      </c>
      <c r="C21" s="356" t="s">
        <v>933</v>
      </c>
      <c r="D21" s="356">
        <v>20860</v>
      </c>
      <c r="E21" s="356" t="s">
        <v>61</v>
      </c>
      <c r="F21" s="356">
        <v>23</v>
      </c>
      <c r="G21" s="356" t="s">
        <v>1676</v>
      </c>
      <c r="H21" s="358">
        <f>ROWS($G$4:G21)</f>
        <v>18</v>
      </c>
      <c r="I21" s="358" t="str">
        <f>IF('School Level Expenditures'!$B$2=A21,'School Tables'!H21,"")</f>
        <v/>
      </c>
      <c r="J21" s="358" t="str">
        <f>IFERROR(SMALL($I$4:$I$325,ROWS($I$4:I21)),"")</f>
        <v/>
      </c>
      <c r="K21" s="332" t="b">
        <f t="shared" si="0"/>
        <v>0</v>
      </c>
      <c r="L21" s="356">
        <v>203</v>
      </c>
      <c r="M21" s="356" t="s">
        <v>1068</v>
      </c>
      <c r="N21" s="356" t="s">
        <v>1071</v>
      </c>
      <c r="O21" s="356">
        <v>27005</v>
      </c>
      <c r="P21" s="356" t="s">
        <v>1533</v>
      </c>
      <c r="Q21" s="356">
        <v>20</v>
      </c>
      <c r="R21" s="356" t="s">
        <v>1703</v>
      </c>
      <c r="S21" s="358">
        <f>ROWS($Q$4:Q21)</f>
        <v>18</v>
      </c>
      <c r="T21" s="358" t="str">
        <f>IF('School Level Expenditures'!$B$2='School Tables'!L21,'School Tables'!S21,"")</f>
        <v/>
      </c>
      <c r="U21" s="358" t="str">
        <f>IFERROR(SMALL($T$4:$T$75,ROWS($T$4:T21)),"")</f>
        <v/>
      </c>
      <c r="V21" s="332" t="b">
        <f t="shared" si="1"/>
        <v>0</v>
      </c>
      <c r="W21" s="356">
        <v>172</v>
      </c>
      <c r="X21" s="356" t="s">
        <v>1027</v>
      </c>
      <c r="Y21" s="356" t="s">
        <v>1029</v>
      </c>
      <c r="Z21" s="356">
        <v>20600</v>
      </c>
      <c r="AA21" s="356" t="s">
        <v>1534</v>
      </c>
      <c r="AB21" s="356">
        <v>16</v>
      </c>
      <c r="AC21" s="356" t="s">
        <v>1702</v>
      </c>
      <c r="AD21" s="358">
        <f>ROWS($AC$4:AC21)</f>
        <v>18</v>
      </c>
      <c r="AE21" s="358" t="str">
        <f>IF('School Level Expenditures'!$B$2='School Tables'!W21,'School Tables'!AD21,"")</f>
        <v/>
      </c>
      <c r="AF21" s="358" t="str">
        <f>IFERROR(SMALL(AE21:$AE$100,ROWS($AE$4:AE21)),"")</f>
        <v/>
      </c>
      <c r="AG21" s="332" t="b">
        <f t="shared" si="2"/>
        <v>0</v>
      </c>
      <c r="AH21">
        <v>71</v>
      </c>
      <c r="AI21">
        <v>71</v>
      </c>
      <c r="AJ21" t="s">
        <v>950</v>
      </c>
      <c r="AK21">
        <v>41</v>
      </c>
      <c r="AL21" t="s">
        <v>1686</v>
      </c>
    </row>
    <row r="22" spans="1:38" ht="38.25" x14ac:dyDescent="0.2">
      <c r="A22" s="356">
        <v>111</v>
      </c>
      <c r="B22" s="356" t="s">
        <v>969</v>
      </c>
      <c r="C22" s="356" t="s">
        <v>970</v>
      </c>
      <c r="D22" s="356">
        <v>26490</v>
      </c>
      <c r="E22" s="356" t="s">
        <v>61</v>
      </c>
      <c r="F22" s="356">
        <v>8</v>
      </c>
      <c r="G22" s="356" t="s">
        <v>1661</v>
      </c>
      <c r="H22" s="358">
        <f>ROWS($G$4:G22)</f>
        <v>19</v>
      </c>
      <c r="I22" s="358" t="str">
        <f>IF('School Level Expenditures'!$B$2=A22,'School Tables'!H22,"")</f>
        <v/>
      </c>
      <c r="J22" s="358" t="str">
        <f>IFERROR(SMALL($I$4:$I$325,ROWS($I$4:I22)),"")</f>
        <v/>
      </c>
      <c r="K22" s="332" t="b">
        <f t="shared" si="0"/>
        <v>0</v>
      </c>
      <c r="L22" s="356">
        <v>709</v>
      </c>
      <c r="M22" s="356" t="s">
        <v>1502</v>
      </c>
      <c r="N22" s="356" t="s">
        <v>1504</v>
      </c>
      <c r="O22" s="356">
        <v>28620</v>
      </c>
      <c r="P22" s="356" t="s">
        <v>1533</v>
      </c>
      <c r="Q22" s="356">
        <v>404</v>
      </c>
      <c r="R22" s="356" t="s">
        <v>1502</v>
      </c>
      <c r="S22" s="358">
        <f>ROWS($Q$4:Q22)</f>
        <v>19</v>
      </c>
      <c r="T22" s="358" t="str">
        <f>IF('School Level Expenditures'!$B$2='School Tables'!L22,'School Tables'!S22,"")</f>
        <v/>
      </c>
      <c r="U22" s="358" t="str">
        <f>IFERROR(SMALL($T$4:$T$75,ROWS($T$4:T22)),"")</f>
        <v/>
      </c>
      <c r="V22" s="332" t="b">
        <f t="shared" si="1"/>
        <v>0</v>
      </c>
      <c r="W22" s="356">
        <v>174</v>
      </c>
      <c r="X22" s="356" t="s">
        <v>1033</v>
      </c>
      <c r="Y22" s="356" t="s">
        <v>1040</v>
      </c>
      <c r="Z22" s="356">
        <v>22990</v>
      </c>
      <c r="AA22" s="356" t="s">
        <v>1534</v>
      </c>
      <c r="AB22" s="356">
        <v>60</v>
      </c>
      <c r="AC22" s="356" t="s">
        <v>1662</v>
      </c>
      <c r="AD22" s="358">
        <f>ROWS($AC$4:AC22)</f>
        <v>19</v>
      </c>
      <c r="AE22" s="358" t="str">
        <f>IF('School Level Expenditures'!$B$2='School Tables'!W22,'School Tables'!AD22,"")</f>
        <v/>
      </c>
      <c r="AF22" s="358" t="str">
        <f>IFERROR(SMALL(AE22:$AE$100,ROWS($AE$4:AE22)),"")</f>
        <v/>
      </c>
      <c r="AG22" s="332" t="b">
        <f t="shared" si="2"/>
        <v>0</v>
      </c>
      <c r="AH22">
        <v>75</v>
      </c>
      <c r="AI22">
        <v>75</v>
      </c>
      <c r="AJ22" t="s">
        <v>953</v>
      </c>
      <c r="AK22">
        <v>48</v>
      </c>
      <c r="AL22" t="s">
        <v>1684</v>
      </c>
    </row>
    <row r="23" spans="1:38" ht="38.25" x14ac:dyDescent="0.2">
      <c r="A23" s="356">
        <v>335</v>
      </c>
      <c r="B23" s="356" t="s">
        <v>906</v>
      </c>
      <c r="C23" s="356" t="s">
        <v>1222</v>
      </c>
      <c r="D23" s="356">
        <v>21600</v>
      </c>
      <c r="E23" s="356" t="s">
        <v>61</v>
      </c>
      <c r="F23" s="356">
        <v>37</v>
      </c>
      <c r="G23" s="356" t="s">
        <v>1672</v>
      </c>
      <c r="H23" s="358">
        <f>ROWS($G$4:G23)</f>
        <v>20</v>
      </c>
      <c r="I23" s="358" t="str">
        <f>IF('School Level Expenditures'!$B$2=A23,'School Tables'!H23,"")</f>
        <v/>
      </c>
      <c r="J23" s="358" t="str">
        <f>IFERROR(SMALL($I$4:$I$325,ROWS($I$4:I23)),"")</f>
        <v/>
      </c>
      <c r="K23" s="332" t="b">
        <f t="shared" si="0"/>
        <v>0</v>
      </c>
      <c r="L23" s="356">
        <v>112</v>
      </c>
      <c r="M23" s="356" t="s">
        <v>977</v>
      </c>
      <c r="N23" s="356" t="s">
        <v>978</v>
      </c>
      <c r="O23" s="356">
        <v>22210</v>
      </c>
      <c r="P23" s="356" t="s">
        <v>1533</v>
      </c>
      <c r="Q23" s="356">
        <v>1</v>
      </c>
      <c r="R23" s="356" t="s">
        <v>1668</v>
      </c>
      <c r="S23" s="358">
        <f>ROWS($Q$4:Q23)</f>
        <v>20</v>
      </c>
      <c r="T23" s="358" t="str">
        <f>IF('School Level Expenditures'!$B$2='School Tables'!L23,'School Tables'!S23,"")</f>
        <v/>
      </c>
      <c r="U23" s="358" t="str">
        <f>IFERROR(SMALL($T$4:$T$75,ROWS($T$4:T23)),"")</f>
        <v/>
      </c>
      <c r="V23" s="332" t="b">
        <f t="shared" si="1"/>
        <v>0</v>
      </c>
      <c r="W23" s="356">
        <v>175</v>
      </c>
      <c r="X23" s="356" t="s">
        <v>1045</v>
      </c>
      <c r="Y23" s="356" t="s">
        <v>1047</v>
      </c>
      <c r="Z23" s="356">
        <v>22050</v>
      </c>
      <c r="AA23" s="356" t="s">
        <v>1534</v>
      </c>
      <c r="AB23" s="356">
        <v>61</v>
      </c>
      <c r="AC23" s="356" t="s">
        <v>1724</v>
      </c>
      <c r="AD23" s="358">
        <f>ROWS($AC$4:AC23)</f>
        <v>20</v>
      </c>
      <c r="AE23" s="358" t="str">
        <f>IF('School Level Expenditures'!$B$2='School Tables'!W23,'School Tables'!AD23,"")</f>
        <v/>
      </c>
      <c r="AF23" s="358" t="str">
        <f>IFERROR(SMALL(AE23:$AE$100,ROWS($AE$4:AE23)),"")</f>
        <v/>
      </c>
      <c r="AG23" s="332" t="b">
        <f t="shared" si="2"/>
        <v>0</v>
      </c>
      <c r="AH23">
        <v>79</v>
      </c>
      <c r="AI23">
        <v>79</v>
      </c>
      <c r="AJ23" t="s">
        <v>955</v>
      </c>
      <c r="AK23">
        <v>15</v>
      </c>
      <c r="AL23" t="s">
        <v>1671</v>
      </c>
    </row>
    <row r="24" spans="1:38" ht="38.25" x14ac:dyDescent="0.2">
      <c r="A24" s="356">
        <v>486</v>
      </c>
      <c r="B24" s="356" t="s">
        <v>1410</v>
      </c>
      <c r="C24" s="356" t="s">
        <v>1412</v>
      </c>
      <c r="D24" s="356">
        <v>22135</v>
      </c>
      <c r="E24" s="356" t="s">
        <v>61</v>
      </c>
      <c r="F24" s="356">
        <v>80</v>
      </c>
      <c r="G24" s="356" t="s">
        <v>1677</v>
      </c>
      <c r="H24" s="358">
        <f>ROWS($G$4:G24)</f>
        <v>21</v>
      </c>
      <c r="I24" s="358" t="str">
        <f>IF('School Level Expenditures'!$B$2=A24,'School Tables'!H24,"")</f>
        <v/>
      </c>
      <c r="J24" s="358" t="str">
        <f>IFERROR(SMALL($I$4:$I$325,ROWS($I$4:I24)),"")</f>
        <v/>
      </c>
      <c r="K24" s="332" t="b">
        <f t="shared" si="0"/>
        <v>0</v>
      </c>
      <c r="L24" s="356">
        <v>223</v>
      </c>
      <c r="M24" s="356" t="s">
        <v>1085</v>
      </c>
      <c r="N24" s="356" t="s">
        <v>1086</v>
      </c>
      <c r="O24" s="356">
        <v>22750</v>
      </c>
      <c r="P24" s="356" t="s">
        <v>1533</v>
      </c>
      <c r="Q24" s="356">
        <v>55</v>
      </c>
      <c r="R24" s="356" t="s">
        <v>1721</v>
      </c>
      <c r="S24" s="358">
        <f>ROWS($Q$4:Q24)</f>
        <v>21</v>
      </c>
      <c r="T24" s="358" t="str">
        <f>IF('School Level Expenditures'!$B$2='School Tables'!L24,'School Tables'!S24,"")</f>
        <v/>
      </c>
      <c r="U24" s="358" t="str">
        <f>IFERROR(SMALL($T$4:$T$75,ROWS($T$4:T24)),"")</f>
        <v/>
      </c>
      <c r="V24" s="332" t="b">
        <f t="shared" si="1"/>
        <v>0</v>
      </c>
      <c r="W24" s="356">
        <v>185</v>
      </c>
      <c r="X24" s="356" t="s">
        <v>1049</v>
      </c>
      <c r="Y24" s="356" t="s">
        <v>1051</v>
      </c>
      <c r="Z24" s="356">
        <v>20660</v>
      </c>
      <c r="AA24" s="356" t="s">
        <v>1534</v>
      </c>
      <c r="AB24" s="356">
        <v>18</v>
      </c>
      <c r="AC24" s="356" t="s">
        <v>1708</v>
      </c>
      <c r="AD24" s="358">
        <f>ROWS($AC$4:AC24)</f>
        <v>21</v>
      </c>
      <c r="AE24" s="358" t="str">
        <f>IF('School Level Expenditures'!$B$2='School Tables'!W24,'School Tables'!AD24,"")</f>
        <v/>
      </c>
      <c r="AF24" s="358" t="str">
        <f>IFERROR(SMALL(AE24:$AE$100,ROWS($AE$4:AE24)),"")</f>
        <v/>
      </c>
      <c r="AG24" s="332" t="b">
        <f t="shared" si="2"/>
        <v>0</v>
      </c>
      <c r="AH24">
        <v>91</v>
      </c>
      <c r="AI24">
        <v>91</v>
      </c>
      <c r="AJ24" t="s">
        <v>1774</v>
      </c>
      <c r="AK24">
        <v>9</v>
      </c>
      <c r="AL24" t="s">
        <v>1694</v>
      </c>
    </row>
    <row r="25" spans="1:38" ht="51" x14ac:dyDescent="0.2">
      <c r="A25" s="356">
        <v>51</v>
      </c>
      <c r="B25" s="356" t="s">
        <v>940</v>
      </c>
      <c r="C25" s="356" t="s">
        <v>1597</v>
      </c>
      <c r="D25" s="356">
        <v>27035</v>
      </c>
      <c r="E25" s="356" t="s">
        <v>61</v>
      </c>
      <c r="F25" s="356">
        <v>3</v>
      </c>
      <c r="G25" s="356" t="s">
        <v>1678</v>
      </c>
      <c r="H25" s="358">
        <f>ROWS($G$4:G25)</f>
        <v>22</v>
      </c>
      <c r="I25" s="358" t="str">
        <f>IF('School Level Expenditures'!$B$2=A25,'School Tables'!H25,"")</f>
        <v/>
      </c>
      <c r="J25" s="358" t="str">
        <f>IFERROR(SMALL($I$4:$I$325,ROWS($I$4:I25)),"")</f>
        <v/>
      </c>
      <c r="K25" s="332" t="b">
        <f t="shared" si="0"/>
        <v>0</v>
      </c>
      <c r="L25" s="356">
        <v>238</v>
      </c>
      <c r="M25" s="356" t="s">
        <v>1097</v>
      </c>
      <c r="N25" s="356" t="s">
        <v>1100</v>
      </c>
      <c r="O25" s="356">
        <v>26875</v>
      </c>
      <c r="P25" s="356" t="s">
        <v>1533</v>
      </c>
      <c r="Q25" s="356">
        <v>23</v>
      </c>
      <c r="R25" s="356" t="s">
        <v>1676</v>
      </c>
      <c r="S25" s="358">
        <f>ROWS($Q$4:Q25)</f>
        <v>22</v>
      </c>
      <c r="T25" s="358" t="str">
        <f>IF('School Level Expenditures'!$B$2='School Tables'!L25,'School Tables'!S25,"")</f>
        <v/>
      </c>
      <c r="U25" s="358" t="str">
        <f>IFERROR(SMALL($T$4:$T$75,ROWS($T$4:T25)),"")</f>
        <v/>
      </c>
      <c r="V25" s="332" t="b">
        <f t="shared" si="1"/>
        <v>0</v>
      </c>
      <c r="W25" s="356">
        <v>750</v>
      </c>
      <c r="X25" s="356" t="s">
        <v>1711</v>
      </c>
      <c r="Y25" s="356" t="s">
        <v>1765</v>
      </c>
      <c r="Z25" s="356">
        <v>29239</v>
      </c>
      <c r="AA25" s="356" t="s">
        <v>1534</v>
      </c>
      <c r="AB25" s="356">
        <v>450</v>
      </c>
      <c r="AC25" s="356" t="s">
        <v>1713</v>
      </c>
      <c r="AD25" s="358">
        <f>ROWS($AC$4:AC25)</f>
        <v>22</v>
      </c>
      <c r="AE25" s="358" t="str">
        <f>IF('School Level Expenditures'!$B$2='School Tables'!W25,'School Tables'!AD25,"")</f>
        <v/>
      </c>
      <c r="AF25" s="358" t="str">
        <f>IFERROR(SMALL(AE25:$AE$100,ROWS($AE$4:AE25)),"")</f>
        <v/>
      </c>
      <c r="AG25" s="332" t="b">
        <f t="shared" si="2"/>
        <v>0</v>
      </c>
      <c r="AH25">
        <v>93</v>
      </c>
      <c r="AI25">
        <v>93</v>
      </c>
      <c r="AJ25" t="s">
        <v>957</v>
      </c>
      <c r="AK25">
        <v>82</v>
      </c>
      <c r="AL25" t="s">
        <v>1690</v>
      </c>
    </row>
    <row r="26" spans="1:38" ht="51" x14ac:dyDescent="0.2">
      <c r="A26" s="356">
        <v>233</v>
      </c>
      <c r="B26" s="356" t="s">
        <v>1093</v>
      </c>
      <c r="C26" s="356" t="s">
        <v>1094</v>
      </c>
      <c r="D26" s="356">
        <v>20830</v>
      </c>
      <c r="E26" s="356" t="s">
        <v>61</v>
      </c>
      <c r="F26" s="356">
        <v>70</v>
      </c>
      <c r="G26" s="356" t="s">
        <v>1679</v>
      </c>
      <c r="H26" s="358">
        <f>ROWS($G$4:G26)</f>
        <v>23</v>
      </c>
      <c r="I26" s="358" t="str">
        <f>IF('School Level Expenditures'!$B$2=A26,'School Tables'!H26,"")</f>
        <v/>
      </c>
      <c r="J26" s="358" t="str">
        <f>IFERROR(SMALL($I$4:$I$325,ROWS($I$4:I26)),"")</f>
        <v/>
      </c>
      <c r="K26" s="332" t="b">
        <f t="shared" si="0"/>
        <v>0</v>
      </c>
      <c r="L26" s="356">
        <v>335</v>
      </c>
      <c r="M26" s="356" t="s">
        <v>906</v>
      </c>
      <c r="N26" s="356" t="s">
        <v>1607</v>
      </c>
      <c r="O26" s="356">
        <v>27595</v>
      </c>
      <c r="P26" s="356" t="s">
        <v>1533</v>
      </c>
      <c r="Q26" s="356">
        <v>37</v>
      </c>
      <c r="R26" s="356" t="s">
        <v>1672</v>
      </c>
      <c r="S26" s="358">
        <f>ROWS($Q$4:Q26)</f>
        <v>23</v>
      </c>
      <c r="T26" s="358" t="str">
        <f>IF('School Level Expenditures'!$B$2='School Tables'!L26,'School Tables'!S26,"")</f>
        <v/>
      </c>
      <c r="U26" s="358" t="str">
        <f>IFERROR(SMALL($T$4:$T$75,ROWS($T$4:T26)),"")</f>
        <v/>
      </c>
      <c r="V26" s="332" t="b">
        <f t="shared" si="1"/>
        <v>0</v>
      </c>
      <c r="W26" s="356">
        <v>191</v>
      </c>
      <c r="X26" s="356" t="s">
        <v>1057</v>
      </c>
      <c r="Y26" s="356" t="s">
        <v>1058</v>
      </c>
      <c r="Z26" s="356">
        <v>21240</v>
      </c>
      <c r="AA26" s="356" t="s">
        <v>1534</v>
      </c>
      <c r="AB26" s="356">
        <v>73</v>
      </c>
      <c r="AC26" s="356" t="s">
        <v>1714</v>
      </c>
      <c r="AD26" s="358">
        <f>ROWS($AC$4:AC26)</f>
        <v>23</v>
      </c>
      <c r="AE26" s="358" t="str">
        <f>IF('School Level Expenditures'!$B$2='School Tables'!W26,'School Tables'!AD26,"")</f>
        <v/>
      </c>
      <c r="AF26" s="358" t="str">
        <f>IFERROR(SMALL(AE26:$AE$100,ROWS($AE$4:AE26)),"")</f>
        <v/>
      </c>
      <c r="AG26" s="332" t="b">
        <f t="shared" si="2"/>
        <v>0</v>
      </c>
      <c r="AH26">
        <v>95</v>
      </c>
      <c r="AI26">
        <v>95</v>
      </c>
      <c r="AJ26" t="s">
        <v>959</v>
      </c>
      <c r="AK26">
        <v>29</v>
      </c>
      <c r="AL26" t="s">
        <v>1691</v>
      </c>
    </row>
    <row r="27" spans="1:38" ht="51" x14ac:dyDescent="0.2">
      <c r="A27" s="356">
        <v>53</v>
      </c>
      <c r="B27" s="356" t="s">
        <v>943</v>
      </c>
      <c r="C27" s="356" t="s">
        <v>944</v>
      </c>
      <c r="D27" s="356">
        <v>21400</v>
      </c>
      <c r="E27" s="356" t="s">
        <v>61</v>
      </c>
      <c r="F27" s="356">
        <v>35</v>
      </c>
      <c r="G27" s="356" t="s">
        <v>1680</v>
      </c>
      <c r="H27" s="358">
        <f>ROWS($G$4:G27)</f>
        <v>24</v>
      </c>
      <c r="I27" s="358" t="str">
        <f>IF('School Level Expenditures'!$B$2=A27,'School Tables'!H27,"")</f>
        <v/>
      </c>
      <c r="J27" s="358" t="str">
        <f>IFERROR(SMALL($I$4:$I$325,ROWS($I$4:I27)),"")</f>
        <v/>
      </c>
      <c r="K27" s="332" t="b">
        <f t="shared" si="0"/>
        <v>0</v>
      </c>
      <c r="L27" s="356">
        <v>251</v>
      </c>
      <c r="M27" s="356" t="s">
        <v>1105</v>
      </c>
      <c r="N27" s="356" t="s">
        <v>1108</v>
      </c>
      <c r="O27" s="356">
        <v>20960</v>
      </c>
      <c r="P27" s="356" t="s">
        <v>1533</v>
      </c>
      <c r="Q27" s="356">
        <v>34</v>
      </c>
      <c r="R27" s="356" t="s">
        <v>1727</v>
      </c>
      <c r="S27" s="358">
        <f>ROWS($Q$4:Q27)</f>
        <v>24</v>
      </c>
      <c r="T27" s="358" t="str">
        <f>IF('School Level Expenditures'!$B$2='School Tables'!L27,'School Tables'!S27,"")</f>
        <v/>
      </c>
      <c r="U27" s="358" t="str">
        <f>IFERROR(SMALL($T$4:$T$75,ROWS($T$4:T27)),"")</f>
        <v/>
      </c>
      <c r="V27" s="332" t="b">
        <f t="shared" si="1"/>
        <v>0</v>
      </c>
      <c r="W27" s="356">
        <v>199</v>
      </c>
      <c r="X27" s="356" t="s">
        <v>1063</v>
      </c>
      <c r="Y27" s="356" t="s">
        <v>1067</v>
      </c>
      <c r="Z27" s="356">
        <v>20700</v>
      </c>
      <c r="AA27" s="356" t="s">
        <v>1534</v>
      </c>
      <c r="AB27" s="356">
        <v>19</v>
      </c>
      <c r="AC27" s="356" t="s">
        <v>1675</v>
      </c>
      <c r="AD27" s="358">
        <f>ROWS($AC$4:AC27)</f>
        <v>24</v>
      </c>
      <c r="AE27" s="358" t="str">
        <f>IF('School Level Expenditures'!$B$2='School Tables'!W27,'School Tables'!AD27,"")</f>
        <v/>
      </c>
      <c r="AF27" s="358" t="str">
        <f>IFERROR(SMALL(AE27:$AE$100,ROWS($AE$4:AE27)),"")</f>
        <v/>
      </c>
      <c r="AG27" s="332" t="b">
        <f t="shared" si="2"/>
        <v>0</v>
      </c>
      <c r="AH27">
        <v>99</v>
      </c>
      <c r="AI27">
        <v>99</v>
      </c>
      <c r="AJ27" t="s">
        <v>961</v>
      </c>
      <c r="AK27">
        <v>53</v>
      </c>
      <c r="AL27" t="s">
        <v>1664</v>
      </c>
    </row>
    <row r="28" spans="1:38" ht="51" x14ac:dyDescent="0.2">
      <c r="A28" s="356">
        <v>371</v>
      </c>
      <c r="B28" s="356" t="s">
        <v>1283</v>
      </c>
      <c r="C28" s="356" t="s">
        <v>1290</v>
      </c>
      <c r="D28" s="356">
        <v>21865</v>
      </c>
      <c r="E28" s="356" t="s">
        <v>61</v>
      </c>
      <c r="F28" s="356">
        <v>42</v>
      </c>
      <c r="G28" s="356" t="s">
        <v>1666</v>
      </c>
      <c r="H28" s="358">
        <f>ROWS($G$4:G28)</f>
        <v>25</v>
      </c>
      <c r="I28" s="358" t="str">
        <f>IF('School Level Expenditures'!$B$2=A28,'School Tables'!H28,"")</f>
        <v/>
      </c>
      <c r="J28" s="358" t="str">
        <f>IFERROR(SMALL($I$4:$I$325,ROWS($I$4:I28)),"")</f>
        <v/>
      </c>
      <c r="K28" s="332" t="b">
        <f t="shared" si="0"/>
        <v>0</v>
      </c>
      <c r="L28" s="356">
        <v>335</v>
      </c>
      <c r="M28" s="356" t="s">
        <v>906</v>
      </c>
      <c r="N28" s="356" t="s">
        <v>1212</v>
      </c>
      <c r="O28" s="356">
        <v>21520</v>
      </c>
      <c r="P28" s="356" t="s">
        <v>1533</v>
      </c>
      <c r="Q28" s="356">
        <v>37</v>
      </c>
      <c r="R28" s="356" t="s">
        <v>1672</v>
      </c>
      <c r="S28" s="358">
        <f>ROWS($Q$4:Q28)</f>
        <v>25</v>
      </c>
      <c r="T28" s="358" t="str">
        <f>IF('School Level Expenditures'!$B$2='School Tables'!L28,'School Tables'!S28,"")</f>
        <v/>
      </c>
      <c r="U28" s="358" t="str">
        <f>IFERROR(SMALL($T$4:$T$75,ROWS($T$4:T28)),"")</f>
        <v/>
      </c>
      <c r="V28" s="332" t="b">
        <f t="shared" si="1"/>
        <v>0</v>
      </c>
      <c r="W28" s="356">
        <v>203</v>
      </c>
      <c r="X28" s="356" t="s">
        <v>1068</v>
      </c>
      <c r="Y28" s="356" t="s">
        <v>1070</v>
      </c>
      <c r="Z28" s="356">
        <v>20750</v>
      </c>
      <c r="AA28" s="356" t="s">
        <v>1534</v>
      </c>
      <c r="AB28" s="356">
        <v>20</v>
      </c>
      <c r="AC28" s="356" t="s">
        <v>1703</v>
      </c>
      <c r="AD28" s="358">
        <f>ROWS($AC$4:AC28)</f>
        <v>25</v>
      </c>
      <c r="AE28" s="358" t="str">
        <f>IF('School Level Expenditures'!$B$2='School Tables'!W28,'School Tables'!AD28,"")</f>
        <v/>
      </c>
      <c r="AF28" s="358" t="str">
        <f>IFERROR(SMALL(AE28:$AE$100,ROWS($AE$4:AE28)),"")</f>
        <v/>
      </c>
      <c r="AG28" s="332" t="b">
        <f t="shared" si="2"/>
        <v>0</v>
      </c>
      <c r="AH28">
        <v>101</v>
      </c>
      <c r="AI28">
        <v>101</v>
      </c>
      <c r="AJ28" t="s">
        <v>963</v>
      </c>
      <c r="AK28">
        <v>6</v>
      </c>
      <c r="AL28" t="s">
        <v>1681</v>
      </c>
    </row>
    <row r="29" spans="1:38" ht="51" x14ac:dyDescent="0.2">
      <c r="A29" s="356">
        <v>371</v>
      </c>
      <c r="B29" s="356" t="s">
        <v>1283</v>
      </c>
      <c r="C29" s="356" t="s">
        <v>1294</v>
      </c>
      <c r="D29" s="356">
        <v>21895</v>
      </c>
      <c r="E29" s="356" t="s">
        <v>61</v>
      </c>
      <c r="F29" s="356">
        <v>42</v>
      </c>
      <c r="G29" s="356" t="s">
        <v>1666</v>
      </c>
      <c r="H29" s="358">
        <f>ROWS($G$4:G29)</f>
        <v>26</v>
      </c>
      <c r="I29" s="358" t="str">
        <f>IF('School Level Expenditures'!$B$2=A29,'School Tables'!H29,"")</f>
        <v/>
      </c>
      <c r="J29" s="358" t="str">
        <f>IFERROR(SMALL($I$4:$I$325,ROWS($I$4:I29)),"")</f>
        <v/>
      </c>
      <c r="K29" s="332" t="b">
        <f t="shared" si="0"/>
        <v>0</v>
      </c>
      <c r="L29" s="356">
        <v>255</v>
      </c>
      <c r="M29" s="356" t="s">
        <v>1109</v>
      </c>
      <c r="N29" s="356" t="s">
        <v>1112</v>
      </c>
      <c r="O29" s="356">
        <v>26985</v>
      </c>
      <c r="P29" s="356" t="s">
        <v>1533</v>
      </c>
      <c r="Q29" s="356">
        <v>92</v>
      </c>
      <c r="R29" s="356" t="s">
        <v>1728</v>
      </c>
      <c r="S29" s="358">
        <f>ROWS($Q$4:Q29)</f>
        <v>26</v>
      </c>
      <c r="T29" s="358" t="str">
        <f>IF('School Level Expenditures'!$B$2='School Tables'!L29,'School Tables'!S29,"")</f>
        <v/>
      </c>
      <c r="U29" s="358" t="str">
        <f>IFERROR(SMALL($T$4:$T$75,ROWS($T$4:T29)),"")</f>
        <v/>
      </c>
      <c r="V29" s="332" t="b">
        <f t="shared" si="1"/>
        <v>0</v>
      </c>
      <c r="W29" s="356">
        <v>702</v>
      </c>
      <c r="X29" s="356" t="s">
        <v>1491</v>
      </c>
      <c r="Y29" s="356" t="s">
        <v>1491</v>
      </c>
      <c r="Z29" s="356">
        <v>29153</v>
      </c>
      <c r="AA29" s="356" t="s">
        <v>1534</v>
      </c>
      <c r="AB29" s="356">
        <v>426</v>
      </c>
      <c r="AC29" s="356" t="s">
        <v>1491</v>
      </c>
      <c r="AD29" s="358">
        <f>ROWS($AC$4:AC29)</f>
        <v>26</v>
      </c>
      <c r="AE29" s="358" t="str">
        <f>IF('School Level Expenditures'!$B$2='School Tables'!W29,'School Tables'!AD29,"")</f>
        <v/>
      </c>
      <c r="AF29" s="358" t="str">
        <f>IFERROR(SMALL(AE29:$AE$100,ROWS($AE$4:AE29)),"")</f>
        <v/>
      </c>
      <c r="AG29" s="332" t="b">
        <f t="shared" si="2"/>
        <v>0</v>
      </c>
      <c r="AH29">
        <v>103</v>
      </c>
      <c r="AI29">
        <v>103</v>
      </c>
      <c r="AJ29" t="s">
        <v>1775</v>
      </c>
      <c r="AK29">
        <v>7</v>
      </c>
      <c r="AL29" t="s">
        <v>1693</v>
      </c>
    </row>
    <row r="30" spans="1:38" ht="51" x14ac:dyDescent="0.2">
      <c r="A30" s="356">
        <v>101</v>
      </c>
      <c r="B30" s="356" t="s">
        <v>963</v>
      </c>
      <c r="C30" s="356" t="s">
        <v>966</v>
      </c>
      <c r="D30" s="356">
        <v>20145</v>
      </c>
      <c r="E30" s="356" t="s">
        <v>61</v>
      </c>
      <c r="F30" s="356">
        <v>6</v>
      </c>
      <c r="G30" s="356" t="s">
        <v>1681</v>
      </c>
      <c r="H30" s="358">
        <f>ROWS($G$4:G30)</f>
        <v>27</v>
      </c>
      <c r="I30" s="358" t="str">
        <f>IF('School Level Expenditures'!$B$2=A30,'School Tables'!H30,"")</f>
        <v/>
      </c>
      <c r="J30" s="358" t="str">
        <f>IFERROR(SMALL($I$4:$I$325,ROWS($I$4:I30)),"")</f>
        <v/>
      </c>
      <c r="K30" s="332" t="b">
        <f t="shared" si="0"/>
        <v>0</v>
      </c>
      <c r="L30" s="356">
        <v>260</v>
      </c>
      <c r="M30" s="356" t="s">
        <v>1118</v>
      </c>
      <c r="N30" s="356" t="s">
        <v>1119</v>
      </c>
      <c r="O30" s="356">
        <v>21805</v>
      </c>
      <c r="P30" s="356" t="s">
        <v>1533</v>
      </c>
      <c r="Q30" s="356">
        <v>41</v>
      </c>
      <c r="R30" s="356" t="s">
        <v>1686</v>
      </c>
      <c r="S30" s="358">
        <f>ROWS($Q$4:Q30)</f>
        <v>27</v>
      </c>
      <c r="T30" s="358" t="str">
        <f>IF('School Level Expenditures'!$B$2='School Tables'!L30,'School Tables'!S30,"")</f>
        <v/>
      </c>
      <c r="U30" s="358" t="str">
        <f>IFERROR(SMALL($T$4:$T$75,ROWS($T$4:T30)),"")</f>
        <v/>
      </c>
      <c r="V30" s="332" t="b">
        <f t="shared" si="1"/>
        <v>0</v>
      </c>
      <c r="W30" s="356">
        <v>709</v>
      </c>
      <c r="X30" s="356" t="s">
        <v>1502</v>
      </c>
      <c r="Y30" s="356" t="s">
        <v>1503</v>
      </c>
      <c r="Z30" s="356">
        <v>28445</v>
      </c>
      <c r="AA30" s="356" t="s">
        <v>1534</v>
      </c>
      <c r="AB30" s="356">
        <v>404</v>
      </c>
      <c r="AC30" s="356" t="s">
        <v>1502</v>
      </c>
      <c r="AD30" s="358">
        <f>ROWS($AC$4:AC30)</f>
        <v>27</v>
      </c>
      <c r="AE30" s="358" t="str">
        <f>IF('School Level Expenditures'!$B$2='School Tables'!W30,'School Tables'!AD30,"")</f>
        <v/>
      </c>
      <c r="AF30" s="358" t="str">
        <f>IFERROR(SMALL(AE30:$AE$100,ROWS($AE$4:AE30)),"")</f>
        <v/>
      </c>
      <c r="AG30" s="332" t="b">
        <f t="shared" si="2"/>
        <v>0</v>
      </c>
      <c r="AH30" s="359">
        <v>707</v>
      </c>
      <c r="AI30" s="359">
        <v>707</v>
      </c>
      <c r="AJ30" s="359" t="s">
        <v>1498</v>
      </c>
      <c r="AK30" s="359">
        <v>405</v>
      </c>
      <c r="AL30" s="359" t="s">
        <v>1498</v>
      </c>
    </row>
    <row r="31" spans="1:38" ht="38.25" x14ac:dyDescent="0.2">
      <c r="A31" s="356">
        <v>352</v>
      </c>
      <c r="B31" s="356" t="s">
        <v>1250</v>
      </c>
      <c r="C31" s="356" t="s">
        <v>1252</v>
      </c>
      <c r="D31" s="356">
        <v>22155</v>
      </c>
      <c r="E31" s="356" t="s">
        <v>61</v>
      </c>
      <c r="F31" s="356">
        <v>46</v>
      </c>
      <c r="G31" s="356" t="s">
        <v>1667</v>
      </c>
      <c r="H31" s="358">
        <f>ROWS($G$4:G31)</f>
        <v>28</v>
      </c>
      <c r="I31" s="358" t="str">
        <f>IF('School Level Expenditures'!$B$2=A31,'School Tables'!H31,"")</f>
        <v/>
      </c>
      <c r="J31" s="358" t="str">
        <f>IFERROR(SMALL($I$4:$I$325,ROWS($I$4:I31)),"")</f>
        <v/>
      </c>
      <c r="K31" s="332" t="b">
        <f t="shared" si="0"/>
        <v>0</v>
      </c>
      <c r="L31" s="356">
        <v>263</v>
      </c>
      <c r="M31" s="356" t="s">
        <v>1125</v>
      </c>
      <c r="N31" s="356" t="s">
        <v>1126</v>
      </c>
      <c r="O31" s="356">
        <v>27000</v>
      </c>
      <c r="P31" s="356" t="s">
        <v>1533</v>
      </c>
      <c r="Q31" s="356">
        <v>66</v>
      </c>
      <c r="R31" s="356" t="s">
        <v>1723</v>
      </c>
      <c r="S31" s="358">
        <f>ROWS($Q$4:Q31)</f>
        <v>28</v>
      </c>
      <c r="T31" s="358" t="str">
        <f>IF('School Level Expenditures'!$B$2='School Tables'!L31,'School Tables'!S31,"")</f>
        <v/>
      </c>
      <c r="U31" s="358" t="str">
        <f>IFERROR(SMALL($T$4:$T$75,ROWS($T$4:T31)),"")</f>
        <v/>
      </c>
      <c r="V31" s="332" t="b">
        <f t="shared" si="1"/>
        <v>0</v>
      </c>
      <c r="W31" s="356">
        <v>407</v>
      </c>
      <c r="X31" s="356" t="s">
        <v>1327</v>
      </c>
      <c r="Y31" s="356" t="s">
        <v>1328</v>
      </c>
      <c r="Z31" s="356">
        <v>22900</v>
      </c>
      <c r="AA31" s="356" t="s">
        <v>1534</v>
      </c>
      <c r="AB31" s="356">
        <v>58</v>
      </c>
      <c r="AC31" s="356" t="s">
        <v>1720</v>
      </c>
      <c r="AD31" s="358">
        <f>ROWS($AC$4:AC31)</f>
        <v>28</v>
      </c>
      <c r="AE31" s="358" t="str">
        <f>IF('School Level Expenditures'!$B$2='School Tables'!W31,'School Tables'!AD31,"")</f>
        <v/>
      </c>
      <c r="AF31" s="358" t="str">
        <f>IFERROR(SMALL(AE31:$AE$100,ROWS($AE$4:AE31)),"")</f>
        <v/>
      </c>
      <c r="AG31" s="332" t="b">
        <f t="shared" ref="AG31:AG67" si="3">Y32=Y33</f>
        <v>0</v>
      </c>
      <c r="AH31">
        <v>105</v>
      </c>
      <c r="AI31">
        <v>105</v>
      </c>
      <c r="AJ31" t="s">
        <v>968</v>
      </c>
      <c r="AK31">
        <v>7</v>
      </c>
      <c r="AL31" t="s">
        <v>1693</v>
      </c>
    </row>
    <row r="32" spans="1:38" ht="38.25" x14ac:dyDescent="0.2">
      <c r="A32" s="356">
        <v>57</v>
      </c>
      <c r="B32" s="356" t="s">
        <v>945</v>
      </c>
      <c r="C32" s="356" t="s">
        <v>947</v>
      </c>
      <c r="D32" s="356">
        <v>20680</v>
      </c>
      <c r="E32" s="356" t="s">
        <v>61</v>
      </c>
      <c r="F32" s="356">
        <v>67</v>
      </c>
      <c r="G32" s="356" t="s">
        <v>1682</v>
      </c>
      <c r="H32" s="358">
        <f>ROWS($G$4:G32)</f>
        <v>29</v>
      </c>
      <c r="I32" s="358" t="str">
        <f>IF('School Level Expenditures'!$B$2=A32,'School Tables'!H32,"")</f>
        <v/>
      </c>
      <c r="J32" s="358" t="str">
        <f>IFERROR(SMALL($I$4:$I$325,ROWS($I$4:I32)),"")</f>
        <v/>
      </c>
      <c r="K32" s="332" t="b">
        <f t="shared" si="0"/>
        <v>0</v>
      </c>
      <c r="L32" s="356">
        <v>267</v>
      </c>
      <c r="M32" s="356" t="s">
        <v>1130</v>
      </c>
      <c r="N32" s="356" t="s">
        <v>1133</v>
      </c>
      <c r="O32" s="356">
        <v>21060</v>
      </c>
      <c r="P32" s="356" t="s">
        <v>1533</v>
      </c>
      <c r="Q32" s="356">
        <v>81</v>
      </c>
      <c r="R32" s="356" t="s">
        <v>1700</v>
      </c>
      <c r="S32" s="358">
        <f>ROWS($Q$4:Q32)</f>
        <v>29</v>
      </c>
      <c r="T32" s="358" t="str">
        <f>IF('School Level Expenditures'!$B$2='School Tables'!L32,'School Tables'!S32,"")</f>
        <v/>
      </c>
      <c r="U32" s="358" t="str">
        <f>IFERROR(SMALL($T$4:$T$75,ROWS($T$4:T32)),"")</f>
        <v/>
      </c>
      <c r="V32" s="332" t="b">
        <f t="shared" si="1"/>
        <v>0</v>
      </c>
      <c r="W32" s="356">
        <v>142</v>
      </c>
      <c r="X32" s="356" t="s">
        <v>1014</v>
      </c>
      <c r="Y32" s="356" t="s">
        <v>1015</v>
      </c>
      <c r="Z32" s="356">
        <v>20820</v>
      </c>
      <c r="AA32" s="356" t="s">
        <v>1534</v>
      </c>
      <c r="AB32" s="356">
        <v>70</v>
      </c>
      <c r="AC32" s="356" t="s">
        <v>1679</v>
      </c>
      <c r="AD32" s="358">
        <f>ROWS($AC$4:AC32)</f>
        <v>29</v>
      </c>
      <c r="AE32" s="358" t="str">
        <f>IF('School Level Expenditures'!$B$2='School Tables'!W32,'School Tables'!AD32,"")</f>
        <v/>
      </c>
      <c r="AF32" s="358" t="str">
        <f>IFERROR(SMALL(AE32:$AE$100,ROWS($AE$4:AE32)),"")</f>
        <v/>
      </c>
      <c r="AG32" s="332" t="b">
        <f t="shared" si="3"/>
        <v>0</v>
      </c>
      <c r="AH32">
        <v>107</v>
      </c>
      <c r="AI32">
        <v>107</v>
      </c>
      <c r="AJ32" t="s">
        <v>1776</v>
      </c>
      <c r="AK32">
        <v>7</v>
      </c>
      <c r="AL32" t="s">
        <v>1693</v>
      </c>
    </row>
    <row r="33" spans="1:38" ht="63.75" x14ac:dyDescent="0.2">
      <c r="A33" s="356">
        <v>388</v>
      </c>
      <c r="B33" s="356" t="s">
        <v>1537</v>
      </c>
      <c r="C33" s="356" t="s">
        <v>1309</v>
      </c>
      <c r="D33" s="356">
        <v>27685</v>
      </c>
      <c r="E33" s="356" t="s">
        <v>61</v>
      </c>
      <c r="F33" s="356">
        <v>4</v>
      </c>
      <c r="G33" s="356" t="s">
        <v>1683</v>
      </c>
      <c r="H33" s="358">
        <f>ROWS($G$4:G33)</f>
        <v>30</v>
      </c>
      <c r="I33" s="358" t="str">
        <f>IF('School Level Expenditures'!$B$2=A33,'School Tables'!H33,"")</f>
        <v/>
      </c>
      <c r="J33" s="358" t="str">
        <f>IFERROR(SMALL($I$4:$I$325,ROWS($I$4:I33)),"")</f>
        <v/>
      </c>
      <c r="K33" s="332" t="b">
        <f t="shared" si="0"/>
        <v>0</v>
      </c>
      <c r="L33" s="356">
        <v>453</v>
      </c>
      <c r="M33" s="356" t="s">
        <v>1372</v>
      </c>
      <c r="N33" s="356" t="s">
        <v>1375</v>
      </c>
      <c r="O33" s="356">
        <v>26525</v>
      </c>
      <c r="P33" s="356" t="s">
        <v>1533</v>
      </c>
      <c r="Q33" s="356">
        <v>33</v>
      </c>
      <c r="R33" s="356" t="s">
        <v>1734</v>
      </c>
      <c r="S33" s="358">
        <f>ROWS($Q$4:Q33)</f>
        <v>30</v>
      </c>
      <c r="T33" s="358" t="str">
        <f>IF('School Level Expenditures'!$B$2='School Tables'!L33,'School Tables'!S33,"")</f>
        <v/>
      </c>
      <c r="U33" s="358" t="str">
        <f>IFERROR(SMALL($T$4:$T$75,ROWS($T$4:T33)),"")</f>
        <v/>
      </c>
      <c r="V33" s="332" t="b">
        <f t="shared" si="1"/>
        <v>0</v>
      </c>
      <c r="W33" s="356">
        <v>251</v>
      </c>
      <c r="X33" s="356" t="s">
        <v>1105</v>
      </c>
      <c r="Y33" s="356" t="s">
        <v>1106</v>
      </c>
      <c r="Z33" s="356">
        <v>20950</v>
      </c>
      <c r="AA33" s="356" t="s">
        <v>1534</v>
      </c>
      <c r="AB33" s="356">
        <v>34</v>
      </c>
      <c r="AC33" s="356" t="s">
        <v>1727</v>
      </c>
      <c r="AD33" s="358">
        <f>ROWS($AC$4:AC33)</f>
        <v>30</v>
      </c>
      <c r="AE33" s="358" t="str">
        <f>IF('School Level Expenditures'!$B$2='School Tables'!W33,'School Tables'!AD33,"")</f>
        <v/>
      </c>
      <c r="AF33" s="358" t="str">
        <f>IFERROR(SMALL(AE33:$AE$100,ROWS($AE$4:AE33)),"")</f>
        <v/>
      </c>
      <c r="AG33" s="332" t="b">
        <f t="shared" si="3"/>
        <v>0</v>
      </c>
      <c r="AH33" s="359">
        <v>743</v>
      </c>
      <c r="AI33" s="359">
        <v>743</v>
      </c>
      <c r="AJ33" s="359" t="s">
        <v>1529</v>
      </c>
      <c r="AK33" s="359">
        <v>429</v>
      </c>
      <c r="AL33" s="359" t="s">
        <v>1529</v>
      </c>
    </row>
    <row r="34" spans="1:38" ht="51" x14ac:dyDescent="0.2">
      <c r="A34" s="356">
        <v>388</v>
      </c>
      <c r="B34" s="356" t="s">
        <v>1537</v>
      </c>
      <c r="C34" s="356" t="s">
        <v>1312</v>
      </c>
      <c r="D34" s="356">
        <v>20090</v>
      </c>
      <c r="E34" s="356" t="s">
        <v>61</v>
      </c>
      <c r="F34" s="356">
        <v>4</v>
      </c>
      <c r="G34" s="356" t="s">
        <v>1683</v>
      </c>
      <c r="H34" s="358">
        <f>ROWS($G$4:G34)</f>
        <v>31</v>
      </c>
      <c r="I34" s="358" t="str">
        <f>IF('School Level Expenditures'!$B$2=A34,'School Tables'!H34,"")</f>
        <v/>
      </c>
      <c r="J34" s="358" t="str">
        <f>IFERROR(SMALL($I$4:$I$325,ROWS($I$4:I34)),"")</f>
        <v/>
      </c>
      <c r="K34" s="332" t="b">
        <f t="shared" si="0"/>
        <v>0</v>
      </c>
      <c r="L34" s="356">
        <v>274</v>
      </c>
      <c r="M34" s="356" t="s">
        <v>1143</v>
      </c>
      <c r="N34" s="356" t="s">
        <v>1147</v>
      </c>
      <c r="O34" s="356">
        <v>22280</v>
      </c>
      <c r="P34" s="356" t="s">
        <v>1533</v>
      </c>
      <c r="Q34" s="356">
        <v>47</v>
      </c>
      <c r="R34" s="356" t="s">
        <v>1730</v>
      </c>
      <c r="S34" s="358">
        <f>ROWS($Q$4:Q34)</f>
        <v>31</v>
      </c>
      <c r="T34" s="358" t="str">
        <f>IF('School Level Expenditures'!$B$2='School Tables'!L34,'School Tables'!S34,"")</f>
        <v/>
      </c>
      <c r="U34" s="358" t="str">
        <f>IFERROR(SMALL($T$4:$T$75,ROWS($T$4:T34)),"")</f>
        <v/>
      </c>
      <c r="V34" s="332" t="b">
        <f t="shared" si="1"/>
        <v>0</v>
      </c>
      <c r="W34" s="356">
        <v>255</v>
      </c>
      <c r="X34" s="356" t="s">
        <v>1109</v>
      </c>
      <c r="Y34" s="356" t="s">
        <v>1110</v>
      </c>
      <c r="Z34" s="356">
        <v>21675</v>
      </c>
      <c r="AA34" s="356" t="s">
        <v>1534</v>
      </c>
      <c r="AB34" s="356">
        <v>92</v>
      </c>
      <c r="AC34" s="356" t="s">
        <v>1728</v>
      </c>
      <c r="AD34" s="358">
        <f>ROWS($AC$4:AC34)</f>
        <v>31</v>
      </c>
      <c r="AE34" s="358" t="str">
        <f>IF('School Level Expenditures'!$B$2='School Tables'!W34,'School Tables'!AD34,"")</f>
        <v/>
      </c>
      <c r="AF34" s="358" t="str">
        <f>IFERROR(SMALL(AE34:$AE$100,ROWS($AE$4:AE34)),"")</f>
        <v/>
      </c>
      <c r="AG34" s="332" t="b">
        <f t="shared" si="3"/>
        <v>0</v>
      </c>
      <c r="AH34">
        <v>111</v>
      </c>
      <c r="AI34">
        <v>111</v>
      </c>
      <c r="AJ34" t="s">
        <v>969</v>
      </c>
      <c r="AK34">
        <v>8</v>
      </c>
      <c r="AL34" t="s">
        <v>1661</v>
      </c>
    </row>
    <row r="35" spans="1:38" ht="51" x14ac:dyDescent="0.2">
      <c r="A35" s="356">
        <v>371</v>
      </c>
      <c r="B35" s="356" t="s">
        <v>1283</v>
      </c>
      <c r="C35" s="356" t="s">
        <v>1296</v>
      </c>
      <c r="D35" s="356">
        <v>21925</v>
      </c>
      <c r="E35" s="356" t="s">
        <v>61</v>
      </c>
      <c r="F35" s="356">
        <v>42</v>
      </c>
      <c r="G35" s="356" t="s">
        <v>1666</v>
      </c>
      <c r="H35" s="358">
        <f>ROWS($G$4:G35)</f>
        <v>32</v>
      </c>
      <c r="I35" s="358" t="str">
        <f>IF('School Level Expenditures'!$B$2=A35,'School Tables'!H35,"")</f>
        <v/>
      </c>
      <c r="J35" s="358" t="str">
        <f>IFERROR(SMALL($I$4:$I$325,ROWS($I$4:I35)),"")</f>
        <v/>
      </c>
      <c r="K35" s="332" t="b">
        <f t="shared" si="0"/>
        <v>0</v>
      </c>
      <c r="L35" s="356">
        <v>276</v>
      </c>
      <c r="M35" s="356" t="s">
        <v>1150</v>
      </c>
      <c r="N35" s="356" t="s">
        <v>1156</v>
      </c>
      <c r="O35" s="356">
        <v>26535</v>
      </c>
      <c r="P35" s="356" t="s">
        <v>1533</v>
      </c>
      <c r="Q35" s="356">
        <v>65</v>
      </c>
      <c r="R35" s="356" t="s">
        <v>1731</v>
      </c>
      <c r="S35" s="358">
        <f>ROWS($Q$4:Q35)</f>
        <v>32</v>
      </c>
      <c r="T35" s="358" t="str">
        <f>IF('School Level Expenditures'!$B$2='School Tables'!L35,'School Tables'!S35,"")</f>
        <v/>
      </c>
      <c r="U35" s="358" t="str">
        <f>IFERROR(SMALL($T$4:$T$75,ROWS($T$4:T35)),"")</f>
        <v/>
      </c>
      <c r="V35" s="332" t="b">
        <f t="shared" si="1"/>
        <v>0</v>
      </c>
      <c r="W35" s="356">
        <v>260</v>
      </c>
      <c r="X35" s="356" t="s">
        <v>1118</v>
      </c>
      <c r="Y35" s="356" t="s">
        <v>1120</v>
      </c>
      <c r="Z35" s="356">
        <v>21810</v>
      </c>
      <c r="AA35" s="356" t="s">
        <v>1534</v>
      </c>
      <c r="AB35" s="356">
        <v>41</v>
      </c>
      <c r="AC35" s="356" t="s">
        <v>1686</v>
      </c>
      <c r="AD35" s="358">
        <f>ROWS($AC$4:AC35)</f>
        <v>32</v>
      </c>
      <c r="AE35" s="358" t="str">
        <f>IF('School Level Expenditures'!$B$2='School Tables'!W35,'School Tables'!AD35,"")</f>
        <v/>
      </c>
      <c r="AF35" s="358" t="str">
        <f>IFERROR(SMALL(AE35:$AE$100,ROWS($AE$4:AE35)),"")</f>
        <v/>
      </c>
      <c r="AG35" s="332" t="b">
        <f t="shared" si="3"/>
        <v>0</v>
      </c>
      <c r="AH35">
        <v>112</v>
      </c>
      <c r="AI35">
        <v>0</v>
      </c>
      <c r="AJ35" t="s">
        <v>977</v>
      </c>
      <c r="AK35">
        <v>1</v>
      </c>
      <c r="AL35" t="s">
        <v>1668</v>
      </c>
    </row>
    <row r="36" spans="1:38" ht="38.25" x14ac:dyDescent="0.2">
      <c r="A36" s="356">
        <v>111</v>
      </c>
      <c r="B36" s="356" t="s">
        <v>969</v>
      </c>
      <c r="C36" s="356" t="s">
        <v>973</v>
      </c>
      <c r="D36" s="356">
        <v>20260</v>
      </c>
      <c r="E36" s="356" t="s">
        <v>61</v>
      </c>
      <c r="F36" s="356">
        <v>8</v>
      </c>
      <c r="G36" s="356" t="s">
        <v>1661</v>
      </c>
      <c r="H36" s="358">
        <f>ROWS($G$4:G36)</f>
        <v>33</v>
      </c>
      <c r="I36" s="358" t="str">
        <f>IF('School Level Expenditures'!$B$2=A36,'School Tables'!H36,"")</f>
        <v/>
      </c>
      <c r="J36" s="358" t="str">
        <f>IFERROR(SMALL($I$4:$I$325,ROWS($I$4:I36)),"")</f>
        <v/>
      </c>
      <c r="K36" s="332" t="b">
        <f t="shared" si="0"/>
        <v>0</v>
      </c>
      <c r="L36" s="356">
        <v>279</v>
      </c>
      <c r="M36" s="356" t="s">
        <v>1157</v>
      </c>
      <c r="N36" s="356" t="s">
        <v>1160</v>
      </c>
      <c r="O36" s="356">
        <v>21185</v>
      </c>
      <c r="P36" s="356" t="s">
        <v>1533</v>
      </c>
      <c r="Q36" s="356">
        <v>29</v>
      </c>
      <c r="R36" s="356" t="s">
        <v>1691</v>
      </c>
      <c r="S36" s="358">
        <f>ROWS($Q$4:Q36)</f>
        <v>33</v>
      </c>
      <c r="T36" s="358" t="str">
        <f>IF('School Level Expenditures'!$B$2='School Tables'!L36,'School Tables'!S36,"")</f>
        <v/>
      </c>
      <c r="U36" s="358" t="str">
        <f>IFERROR(SMALL($T$4:$T$75,ROWS($T$4:T36)),"")</f>
        <v/>
      </c>
      <c r="V36" s="332" t="b">
        <f t="shared" si="1"/>
        <v>0</v>
      </c>
      <c r="W36" s="356">
        <v>263</v>
      </c>
      <c r="X36" s="356" t="s">
        <v>1125</v>
      </c>
      <c r="Y36" s="356" t="s">
        <v>1128</v>
      </c>
      <c r="Z36" s="356">
        <v>20970</v>
      </c>
      <c r="AA36" s="356" t="s">
        <v>1534</v>
      </c>
      <c r="AB36" s="356">
        <v>66</v>
      </c>
      <c r="AC36" s="356" t="s">
        <v>1723</v>
      </c>
      <c r="AD36" s="358">
        <f>ROWS($AC$4:AC36)</f>
        <v>33</v>
      </c>
      <c r="AE36" s="358" t="str">
        <f>IF('School Level Expenditures'!$B$2='School Tables'!W36,'School Tables'!AD36,"")</f>
        <v/>
      </c>
      <c r="AF36" s="358" t="str">
        <f>IFERROR(SMALL(AE36:$AE$100,ROWS($AE$4:AE36)),"")</f>
        <v/>
      </c>
      <c r="AG36" s="332" t="b">
        <f t="shared" si="3"/>
        <v>0</v>
      </c>
      <c r="AH36">
        <v>113</v>
      </c>
      <c r="AI36">
        <v>113</v>
      </c>
      <c r="AJ36" t="s">
        <v>989</v>
      </c>
      <c r="AK36">
        <v>9</v>
      </c>
      <c r="AL36" t="s">
        <v>1694</v>
      </c>
    </row>
    <row r="37" spans="1:38" ht="51" x14ac:dyDescent="0.2">
      <c r="A37" s="356">
        <v>75</v>
      </c>
      <c r="B37" s="356" t="s">
        <v>953</v>
      </c>
      <c r="C37" s="356" t="s">
        <v>954</v>
      </c>
      <c r="D37" s="356">
        <v>22335</v>
      </c>
      <c r="E37" s="356" t="s">
        <v>61</v>
      </c>
      <c r="F37" s="356">
        <v>48</v>
      </c>
      <c r="G37" s="356" t="s">
        <v>1684</v>
      </c>
      <c r="H37" s="358">
        <f>ROWS($G$4:G37)</f>
        <v>34</v>
      </c>
      <c r="I37" s="358" t="str">
        <f>IF('School Level Expenditures'!$B$2=A37,'School Tables'!H37,"")</f>
        <v/>
      </c>
      <c r="J37" s="358" t="str">
        <f>IFERROR(SMALL($I$4:$I$325,ROWS($I$4:I37)),"")</f>
        <v/>
      </c>
      <c r="K37" s="332" t="b">
        <f t="shared" si="0"/>
        <v>0</v>
      </c>
      <c r="L37" s="356">
        <v>208</v>
      </c>
      <c r="M37" s="356" t="s">
        <v>1072</v>
      </c>
      <c r="N37" s="356" t="s">
        <v>1079</v>
      </c>
      <c r="O37" s="356">
        <v>22440</v>
      </c>
      <c r="P37" s="356" t="s">
        <v>1533</v>
      </c>
      <c r="Q37" s="356">
        <v>49</v>
      </c>
      <c r="R37" s="356" t="s">
        <v>1687</v>
      </c>
      <c r="S37" s="358">
        <f>ROWS($Q$4:Q37)</f>
        <v>34</v>
      </c>
      <c r="T37" s="358" t="str">
        <f>IF('School Level Expenditures'!$B$2='School Tables'!L37,'School Tables'!S37,"")</f>
        <v/>
      </c>
      <c r="U37" s="358" t="str">
        <f>IFERROR(SMALL($T$4:$T$75,ROWS($T$4:T37)),"")</f>
        <v/>
      </c>
      <c r="V37" s="332" t="b">
        <f t="shared" si="1"/>
        <v>0</v>
      </c>
      <c r="W37" s="356">
        <v>269</v>
      </c>
      <c r="X37" s="356" t="s">
        <v>1136</v>
      </c>
      <c r="Y37" s="356" t="s">
        <v>1139</v>
      </c>
      <c r="Z37" s="356">
        <v>20035</v>
      </c>
      <c r="AA37" s="356" t="s">
        <v>1534</v>
      </c>
      <c r="AB37" s="356">
        <v>2</v>
      </c>
      <c r="AC37" s="356" t="s">
        <v>1669</v>
      </c>
      <c r="AD37" s="358">
        <f>ROWS($AC$4:AC37)</f>
        <v>34</v>
      </c>
      <c r="AE37" s="358" t="str">
        <f>IF('School Level Expenditures'!$B$2='School Tables'!W37,'School Tables'!AD37,"")</f>
        <v/>
      </c>
      <c r="AF37" s="358" t="str">
        <f>IFERROR(SMALL(AE37:$AE$100,ROWS($AE$4:AE37)),"")</f>
        <v/>
      </c>
      <c r="AG37" s="332" t="b">
        <f t="shared" si="3"/>
        <v>0</v>
      </c>
      <c r="AH37">
        <v>114</v>
      </c>
      <c r="AI37">
        <v>0</v>
      </c>
      <c r="AJ37" t="s">
        <v>1777</v>
      </c>
      <c r="AK37">
        <v>98</v>
      </c>
      <c r="AL37" t="s">
        <v>1778</v>
      </c>
    </row>
    <row r="38" spans="1:38" ht="63.75" x14ac:dyDescent="0.2">
      <c r="A38" s="356">
        <v>343</v>
      </c>
      <c r="B38" s="356" t="s">
        <v>1236</v>
      </c>
      <c r="C38" s="356" t="s">
        <v>1238</v>
      </c>
      <c r="D38" s="356">
        <v>21315</v>
      </c>
      <c r="E38" s="356" t="s">
        <v>61</v>
      </c>
      <c r="F38" s="356">
        <v>62</v>
      </c>
      <c r="G38" s="356" t="s">
        <v>1685</v>
      </c>
      <c r="H38" s="358">
        <f>ROWS($G$4:G38)</f>
        <v>35</v>
      </c>
      <c r="I38" s="358" t="str">
        <f>IF('School Level Expenditures'!$B$2=A38,'School Tables'!H38,"")</f>
        <v/>
      </c>
      <c r="J38" s="358" t="str">
        <f>IFERROR(SMALL($I$4:$I$325,ROWS($I$4:I38)),"")</f>
        <v/>
      </c>
      <c r="K38" s="332" t="b">
        <f t="shared" si="0"/>
        <v>0</v>
      </c>
      <c r="L38" s="356">
        <v>708</v>
      </c>
      <c r="M38" s="356" t="s">
        <v>1499</v>
      </c>
      <c r="N38" s="356" t="s">
        <v>1500</v>
      </c>
      <c r="O38" s="356">
        <v>29191</v>
      </c>
      <c r="P38" s="356" t="s">
        <v>1533</v>
      </c>
      <c r="Q38" s="356">
        <v>432</v>
      </c>
      <c r="R38" s="356" t="s">
        <v>1499</v>
      </c>
      <c r="S38" s="358">
        <f>ROWS($Q$4:Q38)</f>
        <v>35</v>
      </c>
      <c r="T38" s="358" t="str">
        <f>IF('School Level Expenditures'!$B$2='School Tables'!L38,'School Tables'!S38,"")</f>
        <v/>
      </c>
      <c r="U38" s="358" t="str">
        <f>IFERROR(SMALL($T$4:$T$75,ROWS($T$4:T38)),"")</f>
        <v/>
      </c>
      <c r="V38" s="332" t="b">
        <f t="shared" si="1"/>
        <v>0</v>
      </c>
      <c r="W38" s="356">
        <v>275</v>
      </c>
      <c r="X38" s="356" t="s">
        <v>1148</v>
      </c>
      <c r="Y38" s="356" t="s">
        <v>1149</v>
      </c>
      <c r="Z38" s="356">
        <v>26380</v>
      </c>
      <c r="AA38" s="356" t="s">
        <v>1534</v>
      </c>
      <c r="AB38" s="356">
        <v>24</v>
      </c>
      <c r="AC38" s="356" t="s">
        <v>1688</v>
      </c>
      <c r="AD38" s="358">
        <f>ROWS($AC$4:AC38)</f>
        <v>35</v>
      </c>
      <c r="AE38" s="358" t="str">
        <f>IF('School Level Expenditures'!$B$2='School Tables'!W38,'School Tables'!AD38,"")</f>
        <v/>
      </c>
      <c r="AF38" s="358" t="str">
        <f>IFERROR(SMALL(AE38:$AE$100,ROWS($AE$4:AE38)),"")</f>
        <v/>
      </c>
      <c r="AG38" s="332" t="b">
        <f t="shared" si="3"/>
        <v>0</v>
      </c>
      <c r="AH38">
        <v>115</v>
      </c>
      <c r="AI38">
        <v>115</v>
      </c>
      <c r="AJ38" t="s">
        <v>994</v>
      </c>
      <c r="AK38">
        <v>100</v>
      </c>
      <c r="AL38" t="s">
        <v>1695</v>
      </c>
    </row>
    <row r="39" spans="1:38" ht="38.25" x14ac:dyDescent="0.2">
      <c r="A39" s="356">
        <v>486</v>
      </c>
      <c r="B39" s="356" t="s">
        <v>1410</v>
      </c>
      <c r="C39" s="356" t="s">
        <v>1411</v>
      </c>
      <c r="D39" s="356">
        <v>22165</v>
      </c>
      <c r="E39" s="356" t="s">
        <v>61</v>
      </c>
      <c r="F39" s="356">
        <v>80</v>
      </c>
      <c r="G39" s="356" t="s">
        <v>1677</v>
      </c>
      <c r="H39" s="358">
        <f>ROWS($G$4:G39)</f>
        <v>36</v>
      </c>
      <c r="I39" s="358" t="str">
        <f>IF('School Level Expenditures'!$B$2=A39,'School Tables'!H39,"")</f>
        <v/>
      </c>
      <c r="J39" s="358" t="str">
        <f>IFERROR(SMALL($I$4:$I$325,ROWS($I$4:I39)),"")</f>
        <v/>
      </c>
      <c r="K39" s="332" t="b">
        <f t="shared" si="0"/>
        <v>0</v>
      </c>
      <c r="L39" s="356">
        <v>285</v>
      </c>
      <c r="M39" s="356" t="s">
        <v>1166</v>
      </c>
      <c r="N39" s="356" t="s">
        <v>1169</v>
      </c>
      <c r="O39" s="356">
        <v>21275</v>
      </c>
      <c r="P39" s="356" t="s">
        <v>1533</v>
      </c>
      <c r="Q39" s="356">
        <v>30</v>
      </c>
      <c r="R39" s="356" t="s">
        <v>1705</v>
      </c>
      <c r="S39" s="358">
        <f>ROWS($Q$4:Q39)</f>
        <v>36</v>
      </c>
      <c r="T39" s="358" t="str">
        <f>IF('School Level Expenditures'!$B$2='School Tables'!L39,'School Tables'!S39,"")</f>
        <v/>
      </c>
      <c r="U39" s="358" t="str">
        <f>IFERROR(SMALL($T$4:$T$75,ROWS($T$4:T39)),"")</f>
        <v/>
      </c>
      <c r="V39" s="332" t="b">
        <f t="shared" si="1"/>
        <v>0</v>
      </c>
      <c r="W39" s="356">
        <v>276</v>
      </c>
      <c r="X39" s="356" t="s">
        <v>1150</v>
      </c>
      <c r="Y39" s="356" t="s">
        <v>1152</v>
      </c>
      <c r="Z39" s="356">
        <v>22015</v>
      </c>
      <c r="AA39" s="356" t="s">
        <v>1534</v>
      </c>
      <c r="AB39" s="356">
        <v>65</v>
      </c>
      <c r="AC39" s="356" t="s">
        <v>1731</v>
      </c>
      <c r="AD39" s="358">
        <f>ROWS($AC$4:AC39)</f>
        <v>36</v>
      </c>
      <c r="AE39" s="358" t="str">
        <f>IF('School Level Expenditures'!$B$2='School Tables'!W39,'School Tables'!AD39,"")</f>
        <v/>
      </c>
      <c r="AF39" s="358" t="str">
        <f>IFERROR(SMALL(AE39:$AE$100,ROWS($AE$4:AE39)),"")</f>
        <v/>
      </c>
      <c r="AG39" s="332" t="b">
        <f t="shared" si="3"/>
        <v>0</v>
      </c>
      <c r="AH39">
        <v>117</v>
      </c>
      <c r="AI39">
        <v>117</v>
      </c>
      <c r="AJ39" t="s">
        <v>996</v>
      </c>
      <c r="AK39">
        <v>99</v>
      </c>
      <c r="AL39" t="s">
        <v>1696</v>
      </c>
    </row>
    <row r="40" spans="1:38" ht="38.25" x14ac:dyDescent="0.2">
      <c r="A40" s="356">
        <v>71</v>
      </c>
      <c r="B40" s="356" t="s">
        <v>950</v>
      </c>
      <c r="C40" s="356" t="s">
        <v>951</v>
      </c>
      <c r="D40" s="356">
        <v>27765</v>
      </c>
      <c r="E40" s="356" t="s">
        <v>61</v>
      </c>
      <c r="F40" s="356">
        <v>41</v>
      </c>
      <c r="G40" s="356" t="s">
        <v>1686</v>
      </c>
      <c r="H40" s="358">
        <f>ROWS($G$4:G40)</f>
        <v>37</v>
      </c>
      <c r="I40" s="358" t="str">
        <f>IF('School Level Expenditures'!$B$2=A40,'School Tables'!H40,"")</f>
        <v/>
      </c>
      <c r="J40" s="358" t="str">
        <f>IFERROR(SMALL($I$4:$I$325,ROWS($I$4:I40)),"")</f>
        <v/>
      </c>
      <c r="K40" s="332" t="b">
        <f t="shared" si="0"/>
        <v>0</v>
      </c>
      <c r="L40" s="356">
        <v>295</v>
      </c>
      <c r="M40" s="356" t="s">
        <v>1176</v>
      </c>
      <c r="N40" s="356" t="s">
        <v>1180</v>
      </c>
      <c r="O40" s="356">
        <v>21370</v>
      </c>
      <c r="P40" s="356" t="s">
        <v>1533</v>
      </c>
      <c r="Q40" s="356">
        <v>88</v>
      </c>
      <c r="R40" s="356" t="s">
        <v>1722</v>
      </c>
      <c r="S40" s="358">
        <f>ROWS($Q$4:Q40)</f>
        <v>37</v>
      </c>
      <c r="T40" s="358" t="str">
        <f>IF('School Level Expenditures'!$B$2='School Tables'!L40,'School Tables'!S40,"")</f>
        <v/>
      </c>
      <c r="U40" s="358" t="str">
        <f>IFERROR(SMALL($T$4:$T$75,ROWS($T$4:T40)),"")</f>
        <v/>
      </c>
      <c r="V40" s="332" t="b">
        <f t="shared" si="1"/>
        <v>0</v>
      </c>
      <c r="W40" s="356">
        <v>279</v>
      </c>
      <c r="X40" s="356" t="s">
        <v>1157</v>
      </c>
      <c r="Y40" s="356" t="s">
        <v>1162</v>
      </c>
      <c r="Z40" s="356">
        <v>21195</v>
      </c>
      <c r="AA40" s="356" t="s">
        <v>1534</v>
      </c>
      <c r="AB40" s="356">
        <v>29</v>
      </c>
      <c r="AC40" s="356" t="s">
        <v>1691</v>
      </c>
      <c r="AD40" s="358">
        <f>ROWS($AC$4:AC40)</f>
        <v>37</v>
      </c>
      <c r="AE40" s="358" t="str">
        <f>IF('School Level Expenditures'!$B$2='School Tables'!W40,'School Tables'!AD40,"")</f>
        <v/>
      </c>
      <c r="AF40" s="358" t="str">
        <f>IFERROR(SMALL(AE40:$AE$100,ROWS($AE$4:AE40)),"")</f>
        <v/>
      </c>
      <c r="AG40" s="332" t="b">
        <f t="shared" si="3"/>
        <v>0</v>
      </c>
      <c r="AH40" s="359">
        <v>723</v>
      </c>
      <c r="AI40" s="359">
        <v>723</v>
      </c>
      <c r="AJ40" s="359" t="s">
        <v>1509</v>
      </c>
      <c r="AK40" s="359">
        <v>410</v>
      </c>
      <c r="AL40" s="359" t="s">
        <v>1509</v>
      </c>
    </row>
    <row r="41" spans="1:38" ht="51" x14ac:dyDescent="0.2">
      <c r="A41" s="356">
        <v>208</v>
      </c>
      <c r="B41" s="356" t="s">
        <v>1072</v>
      </c>
      <c r="C41" s="356" t="s">
        <v>1078</v>
      </c>
      <c r="D41" s="356">
        <v>22430</v>
      </c>
      <c r="E41" s="356" t="s">
        <v>61</v>
      </c>
      <c r="F41" s="356">
        <v>49</v>
      </c>
      <c r="G41" s="356" t="s">
        <v>1687</v>
      </c>
      <c r="H41" s="358">
        <f>ROWS($G$4:G41)</f>
        <v>38</v>
      </c>
      <c r="I41" s="358" t="str">
        <f>IF('School Level Expenditures'!$B$2=A41,'School Tables'!H41,"")</f>
        <v/>
      </c>
      <c r="J41" s="358" t="str">
        <f>IFERROR(SMALL($I$4:$I$325,ROWS($I$4:I41)),"")</f>
        <v/>
      </c>
      <c r="K41" s="332" t="b">
        <f t="shared" si="0"/>
        <v>0</v>
      </c>
      <c r="L41" s="356">
        <v>305</v>
      </c>
      <c r="M41" s="356" t="s">
        <v>1183</v>
      </c>
      <c r="N41" s="356" t="s">
        <v>1184</v>
      </c>
      <c r="O41" s="356">
        <v>23105</v>
      </c>
      <c r="P41" s="356" t="s">
        <v>1533</v>
      </c>
      <c r="Q41" s="356">
        <v>68</v>
      </c>
      <c r="R41" s="356" t="s">
        <v>1738</v>
      </c>
      <c r="S41" s="358">
        <f>ROWS($Q$4:Q41)</f>
        <v>38</v>
      </c>
      <c r="T41" s="358" t="str">
        <f>IF('School Level Expenditures'!$B$2='School Tables'!L41,'School Tables'!S41,"")</f>
        <v/>
      </c>
      <c r="U41" s="358" t="str">
        <f>IFERROR(SMALL($T$4:$T$75,ROWS($T$4:T41)),"")</f>
        <v/>
      </c>
      <c r="V41" s="332" t="b">
        <f t="shared" si="1"/>
        <v>0</v>
      </c>
      <c r="W41" s="356">
        <v>113</v>
      </c>
      <c r="X41" s="356" t="s">
        <v>989</v>
      </c>
      <c r="Y41" s="356" t="s">
        <v>993</v>
      </c>
      <c r="Z41" s="356">
        <v>20345</v>
      </c>
      <c r="AA41" s="356" t="s">
        <v>1534</v>
      </c>
      <c r="AB41" s="356">
        <v>9</v>
      </c>
      <c r="AC41" s="356" t="s">
        <v>1694</v>
      </c>
      <c r="AD41" s="358">
        <f>ROWS($AC$4:AC41)</f>
        <v>38</v>
      </c>
      <c r="AE41" s="358" t="str">
        <f>IF('School Level Expenditures'!$B$2='School Tables'!W41,'School Tables'!AD41,"")</f>
        <v/>
      </c>
      <c r="AF41" s="358" t="str">
        <f>IFERROR(SMALL(AE41:$AE$100,ROWS($AE$4:AE41)),"")</f>
        <v/>
      </c>
      <c r="AG41" s="332" t="b">
        <f t="shared" si="3"/>
        <v>0</v>
      </c>
      <c r="AH41">
        <v>127</v>
      </c>
      <c r="AI41">
        <v>127</v>
      </c>
      <c r="AJ41" t="s">
        <v>998</v>
      </c>
      <c r="AK41">
        <v>53</v>
      </c>
      <c r="AL41" t="s">
        <v>1664</v>
      </c>
    </row>
    <row r="42" spans="1:38" ht="51" x14ac:dyDescent="0.2">
      <c r="A42" s="356">
        <v>555</v>
      </c>
      <c r="B42" s="356" t="s">
        <v>1461</v>
      </c>
      <c r="C42" s="356" t="s">
        <v>1462</v>
      </c>
      <c r="D42" s="356">
        <v>26810</v>
      </c>
      <c r="E42" s="356" t="s">
        <v>61</v>
      </c>
      <c r="F42" s="356">
        <v>24</v>
      </c>
      <c r="G42" s="356" t="s">
        <v>1688</v>
      </c>
      <c r="H42" s="358">
        <f>ROWS($G$4:G42)</f>
        <v>39</v>
      </c>
      <c r="I42" s="358" t="str">
        <f>IF('School Level Expenditures'!$B$2=A42,'School Tables'!H42,"")</f>
        <v/>
      </c>
      <c r="J42" s="358" t="str">
        <f>IFERROR(SMALL($I$4:$I$325,ROWS($I$4:I42)),"")</f>
        <v/>
      </c>
      <c r="K42" s="332" t="b">
        <f t="shared" si="0"/>
        <v>0</v>
      </c>
      <c r="L42" s="356">
        <v>306</v>
      </c>
      <c r="M42" s="356" t="s">
        <v>1187</v>
      </c>
      <c r="N42" s="356" t="s">
        <v>1189</v>
      </c>
      <c r="O42" s="356">
        <v>23095</v>
      </c>
      <c r="P42" s="356" t="s">
        <v>1533</v>
      </c>
      <c r="Q42" s="356">
        <v>35</v>
      </c>
      <c r="R42" s="356" t="s">
        <v>1680</v>
      </c>
      <c r="S42" s="358">
        <f>ROWS($Q$4:Q42)</f>
        <v>39</v>
      </c>
      <c r="T42" s="358" t="str">
        <f>IF('School Level Expenditures'!$B$2='School Tables'!L42,'School Tables'!S42,"")</f>
        <v/>
      </c>
      <c r="U42" s="358" t="str">
        <f>IFERROR(SMALL($T$4:$T$75,ROWS($T$4:T42)),"")</f>
        <v/>
      </c>
      <c r="V42" s="332" t="b">
        <f t="shared" si="1"/>
        <v>0</v>
      </c>
      <c r="W42" s="356">
        <v>208</v>
      </c>
      <c r="X42" s="356" t="s">
        <v>1072</v>
      </c>
      <c r="Y42" s="356" t="s">
        <v>1077</v>
      </c>
      <c r="Z42" s="356">
        <v>22425</v>
      </c>
      <c r="AA42" s="356" t="s">
        <v>1534</v>
      </c>
      <c r="AB42" s="356">
        <v>49</v>
      </c>
      <c r="AC42" s="356" t="s">
        <v>1687</v>
      </c>
      <c r="AD42" s="358">
        <f>ROWS($AC$4:AC42)</f>
        <v>39</v>
      </c>
      <c r="AE42" s="358" t="str">
        <f>IF('School Level Expenditures'!$B$2='School Tables'!W42,'School Tables'!AD42,"")</f>
        <v/>
      </c>
      <c r="AF42" s="358" t="str">
        <f>IFERROR(SMALL(AE42:$AE$100,ROWS($AE$4:AE42)),"")</f>
        <v/>
      </c>
      <c r="AG42" s="332" t="b">
        <f t="shared" si="3"/>
        <v>0</v>
      </c>
      <c r="AH42">
        <v>131</v>
      </c>
      <c r="AI42">
        <v>131</v>
      </c>
      <c r="AJ42" t="s">
        <v>1000</v>
      </c>
      <c r="AK42">
        <v>10</v>
      </c>
      <c r="AL42" t="s">
        <v>1699</v>
      </c>
    </row>
    <row r="43" spans="1:38" ht="51" x14ac:dyDescent="0.2">
      <c r="A43" s="356">
        <v>461</v>
      </c>
      <c r="B43" s="356" t="s">
        <v>1376</v>
      </c>
      <c r="C43" s="356" t="s">
        <v>1382</v>
      </c>
      <c r="D43" s="356">
        <v>22695</v>
      </c>
      <c r="E43" s="356" t="s">
        <v>61</v>
      </c>
      <c r="F43" s="356">
        <v>54</v>
      </c>
      <c r="G43" s="356" t="s">
        <v>1689</v>
      </c>
      <c r="H43" s="358">
        <f>ROWS($G$4:G43)</f>
        <v>40</v>
      </c>
      <c r="I43" s="358" t="str">
        <f>IF('School Level Expenditures'!$B$2=A43,'School Tables'!H43,"")</f>
        <v/>
      </c>
      <c r="J43" s="358" t="str">
        <f>IFERROR(SMALL($I$4:$I$325,ROWS($I$4:I43)),"")</f>
        <v/>
      </c>
      <c r="K43" s="332" t="b">
        <f t="shared" si="0"/>
        <v>0</v>
      </c>
      <c r="L43" s="356">
        <v>315</v>
      </c>
      <c r="M43" s="356" t="s">
        <v>1191</v>
      </c>
      <c r="N43" s="356" t="s">
        <v>1194</v>
      </c>
      <c r="O43" s="356">
        <v>26640</v>
      </c>
      <c r="P43" s="356" t="s">
        <v>1533</v>
      </c>
      <c r="Q43" s="356">
        <v>27</v>
      </c>
      <c r="R43" s="356" t="s">
        <v>1719</v>
      </c>
      <c r="S43" s="358">
        <f>ROWS($Q$4:Q43)</f>
        <v>40</v>
      </c>
      <c r="T43" s="358" t="str">
        <f>IF('School Level Expenditures'!$B$2='School Tables'!L43,'School Tables'!S43,"")</f>
        <v/>
      </c>
      <c r="U43" s="358" t="str">
        <f>IFERROR(SMALL($T$4:$T$75,ROWS($T$4:T43)),"")</f>
        <v/>
      </c>
      <c r="V43" s="332" t="b">
        <f t="shared" si="1"/>
        <v>0</v>
      </c>
      <c r="W43" s="356">
        <v>708</v>
      </c>
      <c r="X43" s="356" t="s">
        <v>1499</v>
      </c>
      <c r="Y43" s="356" t="s">
        <v>1501</v>
      </c>
      <c r="Z43" s="356">
        <v>29192</v>
      </c>
      <c r="AA43" s="356" t="s">
        <v>1534</v>
      </c>
      <c r="AB43" s="356">
        <v>432</v>
      </c>
      <c r="AC43" s="356" t="s">
        <v>1499</v>
      </c>
      <c r="AD43" s="358">
        <f>ROWS($AC$4:AC43)</f>
        <v>40</v>
      </c>
      <c r="AE43" s="358" t="str">
        <f>IF('School Level Expenditures'!$B$2='School Tables'!W43,'School Tables'!AD43,"")</f>
        <v/>
      </c>
      <c r="AF43" s="358" t="str">
        <f>IFERROR(SMALL(AE43:$AE$100,ROWS($AE$4:AE43)),"")</f>
        <v/>
      </c>
      <c r="AG43" s="332" t="b">
        <f t="shared" si="3"/>
        <v>0</v>
      </c>
      <c r="AH43">
        <v>141</v>
      </c>
      <c r="AI43">
        <v>141</v>
      </c>
      <c r="AJ43" t="s">
        <v>1008</v>
      </c>
      <c r="AK43">
        <v>11</v>
      </c>
      <c r="AL43" t="s">
        <v>1710</v>
      </c>
    </row>
    <row r="44" spans="1:38" ht="38.25" x14ac:dyDescent="0.2">
      <c r="A44" s="356">
        <v>174</v>
      </c>
      <c r="B44" s="356" t="s">
        <v>1033</v>
      </c>
      <c r="C44" s="356" t="s">
        <v>1037</v>
      </c>
      <c r="D44" s="356">
        <v>22975</v>
      </c>
      <c r="E44" s="356" t="s">
        <v>61</v>
      </c>
      <c r="F44" s="356">
        <v>60</v>
      </c>
      <c r="G44" s="356" t="s">
        <v>1662</v>
      </c>
      <c r="H44" s="358">
        <f>ROWS($G$4:G44)</f>
        <v>41</v>
      </c>
      <c r="I44" s="358" t="str">
        <f>IF('School Level Expenditures'!$B$2=A44,'School Tables'!H44,"")</f>
        <v/>
      </c>
      <c r="J44" s="358" t="str">
        <f>IFERROR(SMALL($I$4:$I$325,ROWS($I$4:I44)),"")</f>
        <v/>
      </c>
      <c r="K44" s="332" t="b">
        <f t="shared" si="0"/>
        <v>0</v>
      </c>
      <c r="L44" s="356">
        <v>319</v>
      </c>
      <c r="M44" s="356" t="s">
        <v>1199</v>
      </c>
      <c r="N44" s="356" t="s">
        <v>1203</v>
      </c>
      <c r="O44" s="356">
        <v>20480</v>
      </c>
      <c r="P44" s="356" t="s">
        <v>1533</v>
      </c>
      <c r="Q44" s="356">
        <v>12</v>
      </c>
      <c r="R44" s="356" t="s">
        <v>1743</v>
      </c>
      <c r="S44" s="358">
        <f>ROWS($Q$4:Q44)</f>
        <v>41</v>
      </c>
      <c r="T44" s="358" t="str">
        <f>IF('School Level Expenditures'!$B$2='School Tables'!L44,'School Tables'!S44,"")</f>
        <v/>
      </c>
      <c r="U44" s="358" t="str">
        <f>IFERROR(SMALL($T$4:$T$75,ROWS($T$4:T44)),"")</f>
        <v/>
      </c>
      <c r="V44" s="332" t="b">
        <f t="shared" si="1"/>
        <v>0</v>
      </c>
      <c r="W44" s="356">
        <v>285</v>
      </c>
      <c r="X44" s="356" t="s">
        <v>1166</v>
      </c>
      <c r="Y44" s="356" t="s">
        <v>1167</v>
      </c>
      <c r="Z44" s="356">
        <v>21255</v>
      </c>
      <c r="AA44" s="356" t="s">
        <v>1534</v>
      </c>
      <c r="AB44" s="356">
        <v>30</v>
      </c>
      <c r="AC44" s="356" t="s">
        <v>1705</v>
      </c>
      <c r="AD44" s="358">
        <f>ROWS($AC$4:AC44)</f>
        <v>41</v>
      </c>
      <c r="AE44" s="358" t="str">
        <f>IF('School Level Expenditures'!$B$2='School Tables'!W44,'School Tables'!AD44,"")</f>
        <v/>
      </c>
      <c r="AF44" s="358" t="str">
        <f>IFERROR(SMALL(AE44:$AE$100,ROWS($AE$4:AE44)),"")</f>
        <v/>
      </c>
      <c r="AG44" s="332" t="b">
        <f t="shared" si="3"/>
        <v>0</v>
      </c>
      <c r="AH44">
        <v>142</v>
      </c>
      <c r="AI44">
        <v>0</v>
      </c>
      <c r="AJ44" t="s">
        <v>1014</v>
      </c>
      <c r="AK44">
        <v>70</v>
      </c>
      <c r="AL44" t="s">
        <v>1679</v>
      </c>
    </row>
    <row r="45" spans="1:38" ht="38.25" x14ac:dyDescent="0.2">
      <c r="A45" s="356">
        <v>174</v>
      </c>
      <c r="B45" s="356" t="s">
        <v>1033</v>
      </c>
      <c r="C45" s="356" t="s">
        <v>1039</v>
      </c>
      <c r="D45" s="356">
        <v>22985</v>
      </c>
      <c r="E45" s="356" t="s">
        <v>61</v>
      </c>
      <c r="F45" s="356">
        <v>60</v>
      </c>
      <c r="G45" s="356" t="s">
        <v>1662</v>
      </c>
      <c r="H45" s="358">
        <f>ROWS($G$4:G45)</f>
        <v>42</v>
      </c>
      <c r="I45" s="358" t="str">
        <f>IF('School Level Expenditures'!$B$2=A45,'School Tables'!H45,"")</f>
        <v/>
      </c>
      <c r="J45" s="358" t="str">
        <f>IFERROR(SMALL($I$4:$I$325,ROWS($I$4:I45)),"")</f>
        <v/>
      </c>
      <c r="K45" s="332" t="b">
        <f t="shared" si="0"/>
        <v>0</v>
      </c>
      <c r="L45" s="356">
        <v>351</v>
      </c>
      <c r="M45" s="356" t="s">
        <v>1243</v>
      </c>
      <c r="N45" s="356" t="s">
        <v>1244</v>
      </c>
      <c r="O45" s="356">
        <v>28375</v>
      </c>
      <c r="P45" s="356" t="s">
        <v>1533</v>
      </c>
      <c r="Q45" s="356">
        <v>26</v>
      </c>
      <c r="R45" s="356" t="s">
        <v>1732</v>
      </c>
      <c r="S45" s="358">
        <f>ROWS($Q$4:Q45)</f>
        <v>42</v>
      </c>
      <c r="T45" s="358" t="str">
        <f>IF('School Level Expenditures'!$B$2='School Tables'!L45,'School Tables'!S45,"")</f>
        <v/>
      </c>
      <c r="U45" s="358" t="str">
        <f>IFERROR(SMALL($T$4:$T$75,ROWS($T$4:T45)),"")</f>
        <v/>
      </c>
      <c r="V45" s="332" t="b">
        <f t="shared" si="1"/>
        <v>0</v>
      </c>
      <c r="W45" s="356">
        <v>706</v>
      </c>
      <c r="X45" s="356" t="s">
        <v>1497</v>
      </c>
      <c r="Y45" s="356" t="s">
        <v>1497</v>
      </c>
      <c r="Z45" s="356">
        <v>29189</v>
      </c>
      <c r="AA45" s="356" t="s">
        <v>1534</v>
      </c>
      <c r="AB45" s="356">
        <v>431</v>
      </c>
      <c r="AC45" s="356" t="s">
        <v>1497</v>
      </c>
      <c r="AD45" s="358">
        <f>ROWS($AC$4:AC45)</f>
        <v>42</v>
      </c>
      <c r="AE45" s="358" t="str">
        <f>IF('School Level Expenditures'!$B$2='School Tables'!W45,'School Tables'!AD45,"")</f>
        <v/>
      </c>
      <c r="AF45" s="358" t="str">
        <f>IFERROR(SMALL(AE45:$AE$100,ROWS($AE$4:AE45)),"")</f>
        <v/>
      </c>
      <c r="AG45" s="332" t="b">
        <f t="shared" si="3"/>
        <v>0</v>
      </c>
      <c r="AH45">
        <v>147</v>
      </c>
      <c r="AI45">
        <v>147</v>
      </c>
      <c r="AJ45" t="s">
        <v>1779</v>
      </c>
      <c r="AK45">
        <v>20</v>
      </c>
      <c r="AL45" t="s">
        <v>1703</v>
      </c>
    </row>
    <row r="46" spans="1:38" ht="38.25" x14ac:dyDescent="0.2">
      <c r="A46" s="356">
        <v>371</v>
      </c>
      <c r="B46" s="356" t="s">
        <v>1283</v>
      </c>
      <c r="C46" s="356" t="s">
        <v>1297</v>
      </c>
      <c r="D46" s="356">
        <v>21930</v>
      </c>
      <c r="E46" s="356" t="s">
        <v>61</v>
      </c>
      <c r="F46" s="356">
        <v>42</v>
      </c>
      <c r="G46" s="356" t="s">
        <v>1666</v>
      </c>
      <c r="H46" s="358">
        <f>ROWS($G$4:G46)</f>
        <v>43</v>
      </c>
      <c r="I46" s="358" t="str">
        <f>IF('School Level Expenditures'!$B$2=A46,'School Tables'!H46,"")</f>
        <v/>
      </c>
      <c r="J46" s="358" t="str">
        <f>IFERROR(SMALL($I$4:$I$325,ROWS($I$4:I46)),"")</f>
        <v/>
      </c>
      <c r="K46" s="332" t="b">
        <f t="shared" si="0"/>
        <v>0</v>
      </c>
      <c r="L46" s="356">
        <v>352</v>
      </c>
      <c r="M46" s="356" t="s">
        <v>1250</v>
      </c>
      <c r="N46" s="356" t="s">
        <v>1251</v>
      </c>
      <c r="O46" s="356">
        <v>26585</v>
      </c>
      <c r="P46" s="356" t="s">
        <v>1533</v>
      </c>
      <c r="Q46" s="356">
        <v>46</v>
      </c>
      <c r="R46" s="356" t="s">
        <v>1667</v>
      </c>
      <c r="S46" s="358">
        <f>ROWS($Q$4:Q46)</f>
        <v>43</v>
      </c>
      <c r="T46" s="358" t="str">
        <f>IF('School Level Expenditures'!$B$2='School Tables'!L46,'School Tables'!S46,"")</f>
        <v/>
      </c>
      <c r="U46" s="358" t="str">
        <f>IFERROR(SMALL($T$4:$T$75,ROWS($T$4:T46)),"")</f>
        <v/>
      </c>
      <c r="V46" s="332" t="b">
        <f t="shared" si="1"/>
        <v>0</v>
      </c>
      <c r="W46" s="356">
        <v>295</v>
      </c>
      <c r="X46" s="356" t="s">
        <v>1176</v>
      </c>
      <c r="Y46" s="356" t="s">
        <v>1179</v>
      </c>
      <c r="Z46" s="356">
        <v>21360</v>
      </c>
      <c r="AA46" s="356" t="s">
        <v>1534</v>
      </c>
      <c r="AB46" s="356">
        <v>88</v>
      </c>
      <c r="AC46" s="356" t="s">
        <v>1722</v>
      </c>
      <c r="AD46" s="358">
        <f>ROWS($AC$4:AC46)</f>
        <v>43</v>
      </c>
      <c r="AE46" s="358" t="str">
        <f>IF('School Level Expenditures'!$B$2='School Tables'!W46,'School Tables'!AD46,"")</f>
        <v/>
      </c>
      <c r="AF46" s="358" t="str">
        <f>IFERROR(SMALL(AE46:$AE$100,ROWS($AE$4:AE46)),"")</f>
        <v/>
      </c>
      <c r="AG46" s="332" t="b">
        <f t="shared" si="3"/>
        <v>0</v>
      </c>
      <c r="AH46">
        <v>149</v>
      </c>
      <c r="AI46">
        <v>149</v>
      </c>
      <c r="AJ46" t="s">
        <v>1017</v>
      </c>
      <c r="AK46">
        <v>67</v>
      </c>
      <c r="AL46" t="s">
        <v>1682</v>
      </c>
    </row>
    <row r="47" spans="1:38" ht="38.25" x14ac:dyDescent="0.2">
      <c r="A47" s="356">
        <v>93</v>
      </c>
      <c r="B47" s="356" t="s">
        <v>957</v>
      </c>
      <c r="C47" s="356" t="s">
        <v>958</v>
      </c>
      <c r="D47" s="356">
        <v>20500</v>
      </c>
      <c r="E47" s="356" t="s">
        <v>61</v>
      </c>
      <c r="F47" s="356">
        <v>82</v>
      </c>
      <c r="G47" s="356" t="s">
        <v>1690</v>
      </c>
      <c r="H47" s="358">
        <f>ROWS($G$4:G47)</f>
        <v>44</v>
      </c>
      <c r="I47" s="358" t="str">
        <f>IF('School Level Expenditures'!$B$2=A47,'School Tables'!H47,"")</f>
        <v/>
      </c>
      <c r="J47" s="358" t="str">
        <f>IFERROR(SMALL($I$4:$I$325,ROWS($I$4:I47)),"")</f>
        <v/>
      </c>
      <c r="K47" s="332" t="b">
        <f t="shared" si="0"/>
        <v>0</v>
      </c>
      <c r="L47" s="356">
        <v>335</v>
      </c>
      <c r="M47" s="356" t="s">
        <v>906</v>
      </c>
      <c r="N47" s="356" t="s">
        <v>1213</v>
      </c>
      <c r="O47" s="356">
        <v>21525</v>
      </c>
      <c r="P47" s="356" t="s">
        <v>1533</v>
      </c>
      <c r="Q47" s="356">
        <v>37</v>
      </c>
      <c r="R47" s="356" t="s">
        <v>1672</v>
      </c>
      <c r="S47" s="358">
        <f>ROWS($Q$4:Q47)</f>
        <v>44</v>
      </c>
      <c r="T47" s="358" t="str">
        <f>IF('School Level Expenditures'!$B$2='School Tables'!L47,'School Tables'!S47,"")</f>
        <v/>
      </c>
      <c r="U47" s="358" t="str">
        <f>IFERROR(SMALL($T$4:$T$75,ROWS($T$4:T47)),"")</f>
        <v/>
      </c>
      <c r="V47" s="332" t="b">
        <f t="shared" si="1"/>
        <v>0</v>
      </c>
      <c r="W47" s="356">
        <v>719</v>
      </c>
      <c r="X47" s="356" t="s">
        <v>1507</v>
      </c>
      <c r="Y47" s="356" t="s">
        <v>1507</v>
      </c>
      <c r="Z47" s="356">
        <v>28565</v>
      </c>
      <c r="AA47" s="356" t="s">
        <v>1534</v>
      </c>
      <c r="AB47" s="356">
        <v>408</v>
      </c>
      <c r="AC47" s="356" t="s">
        <v>1507</v>
      </c>
      <c r="AD47" s="358">
        <f>ROWS($AC$4:AC47)</f>
        <v>44</v>
      </c>
      <c r="AE47" s="358" t="str">
        <f>IF('School Level Expenditures'!$B$2='School Tables'!W47,'School Tables'!AD47,"")</f>
        <v/>
      </c>
      <c r="AF47" s="358" t="str">
        <f>IFERROR(SMALL(AE47:$AE$100,ROWS($AE$4:AE47)),"")</f>
        <v/>
      </c>
      <c r="AG47" s="332" t="b">
        <f t="shared" si="3"/>
        <v>0</v>
      </c>
      <c r="AH47">
        <v>153</v>
      </c>
      <c r="AI47">
        <v>153</v>
      </c>
      <c r="AJ47" t="s">
        <v>1019</v>
      </c>
      <c r="AK47">
        <v>16</v>
      </c>
      <c r="AL47" t="s">
        <v>1702</v>
      </c>
    </row>
    <row r="48" spans="1:38" ht="38.25" x14ac:dyDescent="0.2">
      <c r="A48" s="356">
        <v>95</v>
      </c>
      <c r="B48" s="356" t="s">
        <v>959</v>
      </c>
      <c r="C48" s="356" t="s">
        <v>960</v>
      </c>
      <c r="D48" s="356">
        <v>21140</v>
      </c>
      <c r="E48" s="356" t="s">
        <v>61</v>
      </c>
      <c r="F48" s="356">
        <v>29</v>
      </c>
      <c r="G48" s="356" t="s">
        <v>1691</v>
      </c>
      <c r="H48" s="358">
        <f>ROWS($G$4:G48)</f>
        <v>45</v>
      </c>
      <c r="I48" s="358" t="str">
        <f>IF('School Level Expenditures'!$B$2=A48,'School Tables'!H48,"")</f>
        <v/>
      </c>
      <c r="J48" s="358" t="str">
        <f>IFERROR(SMALL($I$4:$I$325,ROWS($I$4:I48)),"")</f>
        <v/>
      </c>
      <c r="K48" s="332" t="b">
        <f t="shared" si="0"/>
        <v>0</v>
      </c>
      <c r="L48" s="356">
        <v>357</v>
      </c>
      <c r="M48" s="356" t="s">
        <v>1262</v>
      </c>
      <c r="N48" s="356" t="s">
        <v>1263</v>
      </c>
      <c r="O48" s="356">
        <v>21760</v>
      </c>
      <c r="P48" s="356" t="s">
        <v>1533</v>
      </c>
      <c r="Q48" s="356">
        <v>40</v>
      </c>
      <c r="R48" s="356" t="s">
        <v>1725</v>
      </c>
      <c r="S48" s="358">
        <f>ROWS($Q$4:Q48)</f>
        <v>45</v>
      </c>
      <c r="T48" s="358" t="str">
        <f>IF('School Level Expenditures'!$B$2='School Tables'!L48,'School Tables'!S48,"")</f>
        <v/>
      </c>
      <c r="U48" s="358" t="str">
        <f>IFERROR(SMALL($T$4:$T$75,ROWS($T$4:T48)),"")</f>
        <v/>
      </c>
      <c r="V48" s="332" t="b">
        <f t="shared" si="1"/>
        <v>0</v>
      </c>
      <c r="W48" s="356">
        <v>305</v>
      </c>
      <c r="X48" s="356" t="s">
        <v>1183</v>
      </c>
      <c r="Y48" s="356" t="s">
        <v>1185</v>
      </c>
      <c r="Z48" s="356">
        <v>23110</v>
      </c>
      <c r="AA48" s="356" t="s">
        <v>1534</v>
      </c>
      <c r="AB48" s="356">
        <v>68</v>
      </c>
      <c r="AC48" s="356" t="s">
        <v>1738</v>
      </c>
      <c r="AD48" s="358">
        <f>ROWS($AC$4:AC48)</f>
        <v>45</v>
      </c>
      <c r="AE48" s="358" t="str">
        <f>IF('School Level Expenditures'!$B$2='School Tables'!W48,'School Tables'!AD48,"")</f>
        <v/>
      </c>
      <c r="AF48" s="358" t="str">
        <f>IFERROR(SMALL(AE48:$AE$100,ROWS($AE$4:AE48)),"")</f>
        <v/>
      </c>
      <c r="AG48" s="332" t="b">
        <f t="shared" si="3"/>
        <v>0</v>
      </c>
      <c r="AH48">
        <v>159</v>
      </c>
      <c r="AI48">
        <v>159</v>
      </c>
      <c r="AJ48" t="s">
        <v>1780</v>
      </c>
      <c r="AK48">
        <v>9</v>
      </c>
      <c r="AL48" t="s">
        <v>1694</v>
      </c>
    </row>
    <row r="49" spans="1:38" ht="51" x14ac:dyDescent="0.2">
      <c r="A49" s="356">
        <v>99</v>
      </c>
      <c r="B49" s="356" t="s">
        <v>961</v>
      </c>
      <c r="C49" s="356" t="s">
        <v>962</v>
      </c>
      <c r="D49" s="356">
        <v>22590</v>
      </c>
      <c r="E49" s="356" t="s">
        <v>61</v>
      </c>
      <c r="F49" s="356">
        <v>53</v>
      </c>
      <c r="G49" s="356" t="s">
        <v>1664</v>
      </c>
      <c r="H49" s="358">
        <f>ROWS($G$4:G49)</f>
        <v>46</v>
      </c>
      <c r="I49" s="358" t="str">
        <f>IF('School Level Expenditures'!$B$2=A49,'School Tables'!H49,"")</f>
        <v/>
      </c>
      <c r="J49" s="358" t="str">
        <f>IFERROR(SMALL($I$4:$I$325,ROWS($I$4:I49)),"")</f>
        <v/>
      </c>
      <c r="K49" s="332" t="b">
        <f t="shared" si="0"/>
        <v>0</v>
      </c>
      <c r="L49" s="356">
        <v>363</v>
      </c>
      <c r="M49" s="356" t="s">
        <v>1271</v>
      </c>
      <c r="N49" s="356" t="s">
        <v>1272</v>
      </c>
      <c r="O49" s="356">
        <v>26980</v>
      </c>
      <c r="P49" s="356" t="s">
        <v>1533</v>
      </c>
      <c r="Q49" s="356">
        <v>93</v>
      </c>
      <c r="R49" s="356" t="s">
        <v>1697</v>
      </c>
      <c r="S49" s="358">
        <f>ROWS($Q$4:Q49)</f>
        <v>46</v>
      </c>
      <c r="T49" s="358" t="str">
        <f>IF('School Level Expenditures'!$B$2='School Tables'!L49,'School Tables'!S49,"")</f>
        <v/>
      </c>
      <c r="U49" s="358" t="str">
        <f>IFERROR(SMALL($T$4:$T$75,ROWS($T$4:T49)),"")</f>
        <v/>
      </c>
      <c r="V49" s="332" t="b">
        <f t="shared" si="1"/>
        <v>0</v>
      </c>
      <c r="W49" s="356">
        <v>306</v>
      </c>
      <c r="X49" s="356" t="s">
        <v>1187</v>
      </c>
      <c r="Y49" s="356" t="s">
        <v>1190</v>
      </c>
      <c r="Z49" s="356">
        <v>23100</v>
      </c>
      <c r="AA49" s="356" t="s">
        <v>1534</v>
      </c>
      <c r="AB49" s="356">
        <v>35</v>
      </c>
      <c r="AC49" s="356" t="s">
        <v>1680</v>
      </c>
      <c r="AD49" s="358">
        <f>ROWS($AC$4:AC49)</f>
        <v>46</v>
      </c>
      <c r="AE49" s="358" t="str">
        <f>IF('School Level Expenditures'!$B$2='School Tables'!W49,'School Tables'!AD49,"")</f>
        <v/>
      </c>
      <c r="AF49" s="358" t="str">
        <f>IFERROR(SMALL(AE49:$AE$100,ROWS($AE$4:AE49)),"")</f>
        <v/>
      </c>
      <c r="AG49" s="332" t="b">
        <f t="shared" si="3"/>
        <v>0</v>
      </c>
      <c r="AH49">
        <v>162</v>
      </c>
      <c r="AI49">
        <v>162</v>
      </c>
      <c r="AJ49" t="s">
        <v>1781</v>
      </c>
      <c r="AK49">
        <v>48</v>
      </c>
      <c r="AL49" t="s">
        <v>1684</v>
      </c>
    </row>
    <row r="50" spans="1:38" ht="38.25" x14ac:dyDescent="0.2">
      <c r="A50" s="356">
        <v>111</v>
      </c>
      <c r="B50" s="356" t="s">
        <v>969</v>
      </c>
      <c r="C50" s="356" t="s">
        <v>976</v>
      </c>
      <c r="D50" s="356">
        <v>20305</v>
      </c>
      <c r="E50" s="356" t="s">
        <v>61</v>
      </c>
      <c r="F50" s="356">
        <v>8</v>
      </c>
      <c r="G50" s="356" t="s">
        <v>1661</v>
      </c>
      <c r="H50" s="358">
        <f>ROWS($G$4:G50)</f>
        <v>47</v>
      </c>
      <c r="I50" s="358" t="str">
        <f>IF('School Level Expenditures'!$B$2=A50,'School Tables'!H50,"")</f>
        <v/>
      </c>
      <c r="J50" s="358" t="str">
        <f>IFERROR(SMALL($I$4:$I$325,ROWS($I$4:I50)),"")</f>
        <v/>
      </c>
      <c r="K50" s="332" t="b">
        <f t="shared" si="0"/>
        <v>0</v>
      </c>
      <c r="L50" s="356">
        <v>369</v>
      </c>
      <c r="M50" s="356" t="s">
        <v>1280</v>
      </c>
      <c r="N50" s="356" t="s">
        <v>1608</v>
      </c>
      <c r="O50" s="356">
        <v>26960</v>
      </c>
      <c r="P50" s="356" t="s">
        <v>1533</v>
      </c>
      <c r="Q50" s="356">
        <v>45</v>
      </c>
      <c r="R50" s="356" t="s">
        <v>1749</v>
      </c>
      <c r="S50" s="358">
        <f>ROWS($Q$4:Q50)</f>
        <v>47</v>
      </c>
      <c r="T50" s="358" t="str">
        <f>IF('School Level Expenditures'!$B$2='School Tables'!L50,'School Tables'!S50,"")</f>
        <v/>
      </c>
      <c r="U50" s="358" t="str">
        <f>IFERROR(SMALL($T$4:$T$75,ROWS($T$4:T50)),"")</f>
        <v/>
      </c>
      <c r="V50" s="332" t="b">
        <f t="shared" si="1"/>
        <v>0</v>
      </c>
      <c r="W50" s="356">
        <v>317</v>
      </c>
      <c r="X50" s="356" t="s">
        <v>1195</v>
      </c>
      <c r="Y50" s="356" t="s">
        <v>1197</v>
      </c>
      <c r="Z50" s="356">
        <v>21445</v>
      </c>
      <c r="AA50" s="356" t="s">
        <v>1534</v>
      </c>
      <c r="AB50" s="356">
        <v>84</v>
      </c>
      <c r="AC50" s="356" t="s">
        <v>1746</v>
      </c>
      <c r="AD50" s="358">
        <f>ROWS($AC$4:AC50)</f>
        <v>47</v>
      </c>
      <c r="AE50" s="358" t="str">
        <f>IF('School Level Expenditures'!$B$2='School Tables'!W50,'School Tables'!AD50,"")</f>
        <v/>
      </c>
      <c r="AF50" s="358" t="str">
        <f>IFERROR(SMALL(AE50:$AE$100,ROWS($AE$4:AE50)),"")</f>
        <v/>
      </c>
      <c r="AG50" s="332" t="b">
        <f t="shared" si="3"/>
        <v>0</v>
      </c>
      <c r="AH50">
        <v>165</v>
      </c>
      <c r="AI50">
        <v>165</v>
      </c>
      <c r="AJ50" t="s">
        <v>1021</v>
      </c>
      <c r="AK50">
        <v>14</v>
      </c>
      <c r="AL50" t="s">
        <v>1706</v>
      </c>
    </row>
    <row r="51" spans="1:38" ht="38.25" x14ac:dyDescent="0.2">
      <c r="A51" s="356">
        <v>101</v>
      </c>
      <c r="B51" s="356" t="s">
        <v>963</v>
      </c>
      <c r="C51" s="356" t="s">
        <v>1553</v>
      </c>
      <c r="D51" s="356">
        <v>29184</v>
      </c>
      <c r="E51" s="356" t="s">
        <v>1554</v>
      </c>
      <c r="F51" s="356">
        <v>6</v>
      </c>
      <c r="G51" s="356" t="s">
        <v>1681</v>
      </c>
      <c r="H51" s="358">
        <f>ROWS($G$4:G51)</f>
        <v>48</v>
      </c>
      <c r="I51" s="358" t="str">
        <f>IF('School Level Expenditures'!$B$2=A51,'School Tables'!H51,"")</f>
        <v/>
      </c>
      <c r="J51" s="358" t="str">
        <f>IFERROR(SMALL($I$4:$I$325,ROWS($I$4:I51)),"")</f>
        <v/>
      </c>
      <c r="K51" s="332" t="b">
        <f t="shared" si="0"/>
        <v>0</v>
      </c>
      <c r="L51" s="356">
        <v>199</v>
      </c>
      <c r="M51" s="356" t="s">
        <v>1063</v>
      </c>
      <c r="N51" s="356" t="s">
        <v>1064</v>
      </c>
      <c r="O51" s="356">
        <v>26820</v>
      </c>
      <c r="P51" s="356" t="s">
        <v>1533</v>
      </c>
      <c r="Q51" s="356">
        <v>19</v>
      </c>
      <c r="R51" s="356" t="s">
        <v>1675</v>
      </c>
      <c r="S51" s="358">
        <f>ROWS($Q$4:Q51)</f>
        <v>48</v>
      </c>
      <c r="T51" s="358" t="str">
        <f>IF('School Level Expenditures'!$B$2='School Tables'!L51,'School Tables'!S51,"")</f>
        <v/>
      </c>
      <c r="U51" s="358" t="str">
        <f>IFERROR(SMALL($T$4:$T$75,ROWS($T$4:T51)),"")</f>
        <v/>
      </c>
      <c r="V51" s="332" t="b">
        <f t="shared" si="1"/>
        <v>0</v>
      </c>
      <c r="W51" s="356">
        <v>319</v>
      </c>
      <c r="X51" s="356" t="s">
        <v>1199</v>
      </c>
      <c r="Y51" s="356" t="s">
        <v>1205</v>
      </c>
      <c r="Z51" s="356">
        <v>20490</v>
      </c>
      <c r="AA51" s="356" t="s">
        <v>1534</v>
      </c>
      <c r="AB51" s="356">
        <v>12</v>
      </c>
      <c r="AC51" s="356" t="s">
        <v>1743</v>
      </c>
      <c r="AD51" s="358">
        <f>ROWS($AC$4:AC51)</f>
        <v>48</v>
      </c>
      <c r="AE51" s="358" t="str">
        <f>IF('School Level Expenditures'!$B$2='School Tables'!W51,'School Tables'!AD51,"")</f>
        <v/>
      </c>
      <c r="AF51" s="358" t="str">
        <f>IFERROR(SMALL(AE51:$AE$100,ROWS($AE$4:AE51)),"")</f>
        <v/>
      </c>
      <c r="AG51" s="332" t="b">
        <f t="shared" si="3"/>
        <v>0</v>
      </c>
      <c r="AH51">
        <v>167</v>
      </c>
      <c r="AI51">
        <v>167</v>
      </c>
      <c r="AJ51" t="s">
        <v>1023</v>
      </c>
      <c r="AK51">
        <v>53</v>
      </c>
      <c r="AL51" t="s">
        <v>1664</v>
      </c>
    </row>
    <row r="52" spans="1:38" ht="63.75" x14ac:dyDescent="0.2">
      <c r="A52" s="356">
        <v>17</v>
      </c>
      <c r="B52" s="356" t="s">
        <v>915</v>
      </c>
      <c r="C52" s="356" t="s">
        <v>917</v>
      </c>
      <c r="D52" s="356">
        <v>21750</v>
      </c>
      <c r="E52" s="356" t="s">
        <v>61</v>
      </c>
      <c r="F52" s="356">
        <v>39</v>
      </c>
      <c r="G52" s="356" t="s">
        <v>1692</v>
      </c>
      <c r="H52" s="358">
        <f>ROWS($G$4:G52)</f>
        <v>49</v>
      </c>
      <c r="I52" s="358" t="str">
        <f>IF('School Level Expenditures'!$B$2=A52,'School Tables'!H52,"")</f>
        <v/>
      </c>
      <c r="J52" s="358" t="str">
        <f>IFERROR(SMALL($I$4:$I$325,ROWS($I$4:I52)),"")</f>
        <v/>
      </c>
      <c r="K52" s="332" t="b">
        <f t="shared" si="0"/>
        <v>0</v>
      </c>
      <c r="L52" s="356">
        <v>388</v>
      </c>
      <c r="M52" s="356" t="s">
        <v>1537</v>
      </c>
      <c r="N52" s="356" t="s">
        <v>1310</v>
      </c>
      <c r="O52" s="356">
        <v>26680</v>
      </c>
      <c r="P52" s="356" t="s">
        <v>1533</v>
      </c>
      <c r="Q52" s="356">
        <v>4</v>
      </c>
      <c r="R52" s="356" t="s">
        <v>1683</v>
      </c>
      <c r="S52" s="358">
        <f>ROWS($Q$4:Q52)</f>
        <v>49</v>
      </c>
      <c r="T52" s="358" t="str">
        <f>IF('School Level Expenditures'!$B$2='School Tables'!L52,'School Tables'!S52,"")</f>
        <v/>
      </c>
      <c r="U52" s="358" t="str">
        <f>IFERROR(SMALL($T$4:$T$75,ROWS($T$4:T52)),"")</f>
        <v/>
      </c>
      <c r="V52" s="332" t="b">
        <f t="shared" si="1"/>
        <v>0</v>
      </c>
      <c r="W52" s="356">
        <v>733</v>
      </c>
      <c r="X52" s="356" t="s">
        <v>1519</v>
      </c>
      <c r="Y52" s="356" t="s">
        <v>1520</v>
      </c>
      <c r="Z52" s="356">
        <v>29160</v>
      </c>
      <c r="AA52" s="356" t="s">
        <v>1534</v>
      </c>
      <c r="AB52" s="356">
        <v>418</v>
      </c>
      <c r="AC52" s="356" t="s">
        <v>1519</v>
      </c>
      <c r="AD52" s="358">
        <f>ROWS($AC$4:AC52)</f>
        <v>49</v>
      </c>
      <c r="AE52" s="358" t="str">
        <f>IF('School Level Expenditures'!$B$2='School Tables'!W52,'School Tables'!AD52,"")</f>
        <v/>
      </c>
      <c r="AF52" s="358" t="str">
        <f>IFERROR(SMALL(AE52:$AE$100,ROWS($AE$4:AE52)),"")</f>
        <v/>
      </c>
      <c r="AG52" s="332" t="b">
        <f t="shared" si="3"/>
        <v>0</v>
      </c>
      <c r="AH52">
        <v>171</v>
      </c>
      <c r="AI52">
        <v>171</v>
      </c>
      <c r="AJ52" t="s">
        <v>1025</v>
      </c>
      <c r="AK52">
        <v>20</v>
      </c>
      <c r="AL52" t="s">
        <v>1703</v>
      </c>
    </row>
    <row r="53" spans="1:38" ht="38.25" x14ac:dyDescent="0.2">
      <c r="A53" s="356">
        <v>105</v>
      </c>
      <c r="B53" s="356" t="s">
        <v>968</v>
      </c>
      <c r="C53" s="356" t="s">
        <v>1598</v>
      </c>
      <c r="D53" s="356">
        <v>20195</v>
      </c>
      <c r="E53" s="356" t="s">
        <v>61</v>
      </c>
      <c r="F53" s="356">
        <v>7</v>
      </c>
      <c r="G53" s="356" t="s">
        <v>1693</v>
      </c>
      <c r="H53" s="358">
        <f>ROWS($G$4:G53)</f>
        <v>50</v>
      </c>
      <c r="I53" s="358" t="str">
        <f>IF('School Level Expenditures'!$B$2=A53,'School Tables'!H53,"")</f>
        <v/>
      </c>
      <c r="J53" s="358" t="str">
        <f>IFERROR(SMALL($I$4:$I$325,ROWS($I$4:I53)),"")</f>
        <v/>
      </c>
      <c r="K53" s="332" t="b">
        <f t="shared" si="0"/>
        <v>0</v>
      </c>
      <c r="L53" s="356">
        <v>401</v>
      </c>
      <c r="M53" s="356" t="s">
        <v>1321</v>
      </c>
      <c r="N53" s="356" t="s">
        <v>1322</v>
      </c>
      <c r="O53" s="356">
        <v>26970</v>
      </c>
      <c r="P53" s="356" t="s">
        <v>1533</v>
      </c>
      <c r="Q53" s="356">
        <v>43</v>
      </c>
      <c r="R53" s="356" t="s">
        <v>1757</v>
      </c>
      <c r="S53" s="358">
        <f>ROWS($Q$4:Q53)</f>
        <v>50</v>
      </c>
      <c r="T53" s="358" t="str">
        <f>IF('School Level Expenditures'!$B$2='School Tables'!L53,'School Tables'!S53,"")</f>
        <v/>
      </c>
      <c r="U53" s="358" t="str">
        <f>IFERROR(SMALL($T$4:$T$75,ROWS($T$4:T53)),"")</f>
        <v/>
      </c>
      <c r="V53" s="332" t="b">
        <f t="shared" si="1"/>
        <v>0</v>
      </c>
      <c r="W53" s="356">
        <v>335</v>
      </c>
      <c r="X53" s="356" t="s">
        <v>906</v>
      </c>
      <c r="Y53" s="356" t="s">
        <v>1211</v>
      </c>
      <c r="Z53" s="356">
        <v>21510</v>
      </c>
      <c r="AA53" s="356" t="s">
        <v>1534</v>
      </c>
      <c r="AB53" s="356">
        <v>37</v>
      </c>
      <c r="AC53" s="356" t="s">
        <v>1672</v>
      </c>
      <c r="AD53" s="358">
        <f>ROWS($AC$4:AC53)</f>
        <v>50</v>
      </c>
      <c r="AE53" s="358" t="str">
        <f>IF('School Level Expenditures'!$B$2='School Tables'!W53,'School Tables'!AD53,"")</f>
        <v/>
      </c>
      <c r="AF53" s="358" t="str">
        <f>IFERROR(SMALL(AE53:$AE$100,ROWS($AE$4:AE53)),"")</f>
        <v/>
      </c>
      <c r="AG53" s="332" t="b">
        <f t="shared" si="3"/>
        <v>0</v>
      </c>
      <c r="AH53">
        <v>173</v>
      </c>
      <c r="AI53">
        <v>173</v>
      </c>
      <c r="AJ53" t="s">
        <v>1030</v>
      </c>
      <c r="AK53">
        <v>16</v>
      </c>
      <c r="AL53" t="s">
        <v>1702</v>
      </c>
    </row>
    <row r="54" spans="1:38" ht="63.75" x14ac:dyDescent="0.2">
      <c r="A54" s="356">
        <v>743</v>
      </c>
      <c r="B54" s="356" t="s">
        <v>1529</v>
      </c>
      <c r="C54" s="356" t="s">
        <v>1599</v>
      </c>
      <c r="D54" s="356">
        <v>29166</v>
      </c>
      <c r="E54" s="356" t="s">
        <v>61</v>
      </c>
      <c r="F54" s="356">
        <v>429</v>
      </c>
      <c r="G54" s="356" t="s">
        <v>1529</v>
      </c>
      <c r="H54" s="358">
        <f>ROWS($G$4:G54)</f>
        <v>51</v>
      </c>
      <c r="I54" s="358" t="str">
        <f>IF('School Level Expenditures'!$B$2=A54,'School Tables'!H54,"")</f>
        <v/>
      </c>
      <c r="J54" s="358" t="str">
        <f>IFERROR(SMALL($I$4:$I$325,ROWS($I$4:I54)),"")</f>
        <v/>
      </c>
      <c r="K54" s="332" t="b">
        <f t="shared" si="0"/>
        <v>0</v>
      </c>
      <c r="L54" s="356">
        <v>703</v>
      </c>
      <c r="M54" s="356" t="s">
        <v>1492</v>
      </c>
      <c r="N54" s="356" t="s">
        <v>1493</v>
      </c>
      <c r="O54" s="356">
        <v>28505</v>
      </c>
      <c r="P54" s="356" t="s">
        <v>1533</v>
      </c>
      <c r="Q54" s="356">
        <v>402</v>
      </c>
      <c r="R54" s="356" t="s">
        <v>1492</v>
      </c>
      <c r="S54" s="358">
        <f>ROWS($Q$4:Q54)</f>
        <v>51</v>
      </c>
      <c r="T54" s="358" t="str">
        <f>IF('School Level Expenditures'!$B$2='School Tables'!L54,'School Tables'!S54,"")</f>
        <v/>
      </c>
      <c r="U54" s="358" t="str">
        <f>IFERROR(SMALL($T$4:$T$75,ROWS($T$4:T54)),"")</f>
        <v/>
      </c>
      <c r="V54" s="332" t="b">
        <f t="shared" si="1"/>
        <v>0</v>
      </c>
      <c r="W54" s="356">
        <v>335</v>
      </c>
      <c r="X54" s="356" t="s">
        <v>906</v>
      </c>
      <c r="Y54" s="356" t="s">
        <v>1210</v>
      </c>
      <c r="Z54" s="356">
        <v>21505</v>
      </c>
      <c r="AA54" s="356" t="s">
        <v>1534</v>
      </c>
      <c r="AB54" s="356">
        <v>37</v>
      </c>
      <c r="AC54" s="356" t="s">
        <v>1672</v>
      </c>
      <c r="AD54" s="358">
        <f>ROWS($AC$4:AC54)</f>
        <v>51</v>
      </c>
      <c r="AE54" s="358" t="str">
        <f>IF('School Level Expenditures'!$B$2='School Tables'!W54,'School Tables'!AD54,"")</f>
        <v/>
      </c>
      <c r="AF54" s="358" t="str">
        <f>IFERROR(SMALL(AE54:$AE$100,ROWS($AE$4:AE54)),"")</f>
        <v/>
      </c>
      <c r="AG54" s="332" t="b">
        <f t="shared" si="3"/>
        <v>0</v>
      </c>
      <c r="AH54">
        <v>172</v>
      </c>
      <c r="AI54">
        <v>0</v>
      </c>
      <c r="AJ54" t="s">
        <v>1027</v>
      </c>
      <c r="AK54">
        <v>16</v>
      </c>
      <c r="AL54" t="s">
        <v>1702</v>
      </c>
    </row>
    <row r="55" spans="1:38" ht="51" x14ac:dyDescent="0.2">
      <c r="A55" s="356">
        <v>113</v>
      </c>
      <c r="B55" s="356" t="s">
        <v>989</v>
      </c>
      <c r="C55" s="356" t="s">
        <v>992</v>
      </c>
      <c r="D55" s="356">
        <v>20340</v>
      </c>
      <c r="E55" s="356" t="s">
        <v>61</v>
      </c>
      <c r="F55" s="356">
        <v>9</v>
      </c>
      <c r="G55" s="356" t="s">
        <v>1694</v>
      </c>
      <c r="H55" s="358">
        <f>ROWS($G$4:G55)</f>
        <v>52</v>
      </c>
      <c r="I55" s="358" t="str">
        <f>IF('School Level Expenditures'!$B$2=A55,'School Tables'!H55,"")</f>
        <v/>
      </c>
      <c r="J55" s="358" t="str">
        <f>IFERROR(SMALL($I$4:$I$325,ROWS($I$4:I55)),"")</f>
        <v/>
      </c>
      <c r="K55" s="332" t="b">
        <f t="shared" si="0"/>
        <v>0</v>
      </c>
      <c r="L55" s="356">
        <v>359</v>
      </c>
      <c r="M55" s="356" t="s">
        <v>1267</v>
      </c>
      <c r="N55" s="356" t="s">
        <v>1268</v>
      </c>
      <c r="O55" s="356">
        <v>26540</v>
      </c>
      <c r="P55" s="356" t="s">
        <v>1533</v>
      </c>
      <c r="Q55" s="356">
        <v>64</v>
      </c>
      <c r="R55" s="356" t="s">
        <v>1747</v>
      </c>
      <c r="S55" s="358">
        <f>ROWS($Q$4:Q55)</f>
        <v>52</v>
      </c>
      <c r="T55" s="358" t="str">
        <f>IF('School Level Expenditures'!$B$2='School Tables'!L55,'School Tables'!S55,"")</f>
        <v/>
      </c>
      <c r="U55" s="358" t="str">
        <f>IFERROR(SMALL($T$4:$T$75,ROWS($T$4:T55)),"")</f>
        <v/>
      </c>
      <c r="V55" s="332" t="b">
        <f t="shared" si="1"/>
        <v>0</v>
      </c>
      <c r="W55" s="356">
        <v>335</v>
      </c>
      <c r="X55" s="356" t="s">
        <v>906</v>
      </c>
      <c r="Y55" s="356" t="s">
        <v>1227</v>
      </c>
      <c r="Z55" s="356">
        <v>29085</v>
      </c>
      <c r="AA55" s="356" t="s">
        <v>1534</v>
      </c>
      <c r="AB55" s="356">
        <v>37</v>
      </c>
      <c r="AC55" s="356" t="s">
        <v>1672</v>
      </c>
      <c r="AD55" s="358">
        <f>ROWS($AC$4:AC55)</f>
        <v>52</v>
      </c>
      <c r="AE55" s="358" t="str">
        <f>IF('School Level Expenditures'!$B$2='School Tables'!W55,'School Tables'!AD55,"")</f>
        <v/>
      </c>
      <c r="AF55" s="358" t="str">
        <f>IFERROR(SMALL(AE55:$AE$100,ROWS($AE$4:AE55)),"")</f>
        <v/>
      </c>
      <c r="AG55" s="332" t="b">
        <f t="shared" si="3"/>
        <v>0</v>
      </c>
      <c r="AH55">
        <v>174</v>
      </c>
      <c r="AI55">
        <v>0</v>
      </c>
      <c r="AJ55" t="s">
        <v>1033</v>
      </c>
      <c r="AK55">
        <v>60</v>
      </c>
      <c r="AL55" t="s">
        <v>1662</v>
      </c>
    </row>
    <row r="56" spans="1:38" ht="38.25" x14ac:dyDescent="0.2">
      <c r="A56" s="356">
        <v>115</v>
      </c>
      <c r="B56" s="356" t="s">
        <v>994</v>
      </c>
      <c r="C56" s="356" t="s">
        <v>995</v>
      </c>
      <c r="D56" s="356">
        <v>20175</v>
      </c>
      <c r="E56" s="356" t="s">
        <v>61</v>
      </c>
      <c r="F56" s="356">
        <v>100</v>
      </c>
      <c r="G56" s="356" t="s">
        <v>1695</v>
      </c>
      <c r="H56" s="358">
        <f>ROWS($G$4:G56)</f>
        <v>53</v>
      </c>
      <c r="I56" s="358" t="str">
        <f>IF('School Level Expenditures'!$B$2=A56,'School Tables'!H56,"")</f>
        <v/>
      </c>
      <c r="J56" s="358" t="str">
        <f>IFERROR(SMALL($I$4:$I$325,ROWS($I$4:I56)),"")</f>
        <v/>
      </c>
      <c r="K56" s="332" t="b">
        <f t="shared" si="0"/>
        <v>0</v>
      </c>
      <c r="L56" s="356">
        <v>423</v>
      </c>
      <c r="M56" s="356" t="s">
        <v>1335</v>
      </c>
      <c r="N56" s="356" t="s">
        <v>1337</v>
      </c>
      <c r="O56" s="356">
        <v>22790</v>
      </c>
      <c r="P56" s="356" t="s">
        <v>1533</v>
      </c>
      <c r="Q56" s="356">
        <v>5</v>
      </c>
      <c r="R56" s="356" t="s">
        <v>1742</v>
      </c>
      <c r="S56" s="358">
        <f>ROWS($Q$4:Q56)</f>
        <v>53</v>
      </c>
      <c r="T56" s="358">
        <f>IF('School Level Expenditures'!$B$2='School Tables'!L56,'School Tables'!S56,"")</f>
        <v>53</v>
      </c>
      <c r="U56" s="358" t="str">
        <f>IFERROR(SMALL($T$4:$T$75,ROWS($T$4:T56)),"")</f>
        <v/>
      </c>
      <c r="V56" s="332" t="b">
        <f t="shared" si="1"/>
        <v>0</v>
      </c>
      <c r="W56" s="356">
        <v>335</v>
      </c>
      <c r="X56" s="356" t="s">
        <v>906</v>
      </c>
      <c r="Y56" s="356" t="s">
        <v>1217</v>
      </c>
      <c r="Z56" s="356">
        <v>21555</v>
      </c>
      <c r="AA56" s="356" t="s">
        <v>1534</v>
      </c>
      <c r="AB56" s="356">
        <v>37</v>
      </c>
      <c r="AC56" s="356" t="s">
        <v>1672</v>
      </c>
      <c r="AD56" s="358">
        <f>ROWS($AC$4:AC56)</f>
        <v>53</v>
      </c>
      <c r="AE56" s="358" t="str">
        <f>IF('School Level Expenditures'!$B$2='School Tables'!W56,'School Tables'!AD56,"")</f>
        <v/>
      </c>
      <c r="AF56" s="358" t="str">
        <f>IFERROR(SMALL(AE56:$AE$100,ROWS($AE$4:AE56)),"")</f>
        <v/>
      </c>
      <c r="AG56" s="332" t="b">
        <f t="shared" si="3"/>
        <v>0</v>
      </c>
      <c r="AH56">
        <v>175</v>
      </c>
      <c r="AI56">
        <v>175</v>
      </c>
      <c r="AJ56" t="s">
        <v>1045</v>
      </c>
      <c r="AK56">
        <v>61</v>
      </c>
      <c r="AL56" t="s">
        <v>1724</v>
      </c>
    </row>
    <row r="57" spans="1:38" ht="51" x14ac:dyDescent="0.2">
      <c r="A57" s="356">
        <v>208</v>
      </c>
      <c r="B57" s="356" t="s">
        <v>1072</v>
      </c>
      <c r="C57" s="356" t="s">
        <v>1080</v>
      </c>
      <c r="D57" s="356">
        <v>27515</v>
      </c>
      <c r="E57" s="356" t="s">
        <v>61</v>
      </c>
      <c r="F57" s="356">
        <v>49</v>
      </c>
      <c r="G57" s="356" t="s">
        <v>1687</v>
      </c>
      <c r="H57" s="358">
        <f>ROWS($G$4:G57)</f>
        <v>54</v>
      </c>
      <c r="I57" s="358" t="str">
        <f>IF('School Level Expenditures'!$B$2=A57,'School Tables'!H57,"")</f>
        <v/>
      </c>
      <c r="J57" s="358" t="str">
        <f>IFERROR(SMALL($I$4:$I$325,ROWS($I$4:I57)),"")</f>
        <v/>
      </c>
      <c r="K57" s="332" t="b">
        <f t="shared" si="0"/>
        <v>0</v>
      </c>
      <c r="L57" s="356">
        <v>371</v>
      </c>
      <c r="M57" s="356" t="s">
        <v>1283</v>
      </c>
      <c r="N57" s="356" t="s">
        <v>1284</v>
      </c>
      <c r="O57" s="356">
        <v>21825</v>
      </c>
      <c r="P57" s="356" t="s">
        <v>1533</v>
      </c>
      <c r="Q57" s="356">
        <v>42</v>
      </c>
      <c r="R57" s="356" t="s">
        <v>1666</v>
      </c>
      <c r="S57" s="358">
        <f>ROWS($Q$4:Q57)</f>
        <v>54</v>
      </c>
      <c r="T57" s="358" t="str">
        <f>IF('School Level Expenditures'!$B$2='School Tables'!L57,'School Tables'!S57,"")</f>
        <v/>
      </c>
      <c r="U57" s="358" t="str">
        <f>IFERROR(SMALL($T$4:$T$75,ROWS($T$4:T57)),"")</f>
        <v/>
      </c>
      <c r="V57" s="332" t="b">
        <f t="shared" si="1"/>
        <v>0</v>
      </c>
      <c r="W57" s="356">
        <v>342</v>
      </c>
      <c r="X57" s="356" t="s">
        <v>1232</v>
      </c>
      <c r="Y57" s="356" t="s">
        <v>1234</v>
      </c>
      <c r="Z57" s="356">
        <v>23050</v>
      </c>
      <c r="AA57" s="356" t="s">
        <v>1534</v>
      </c>
      <c r="AB57" s="356">
        <v>87</v>
      </c>
      <c r="AC57" s="356" t="s">
        <v>1726</v>
      </c>
      <c r="AD57" s="358">
        <f>ROWS($AC$4:AC57)</f>
        <v>54</v>
      </c>
      <c r="AE57" s="358" t="str">
        <f>IF('School Level Expenditures'!$B$2='School Tables'!W57,'School Tables'!AD57,"")</f>
        <v/>
      </c>
      <c r="AF57" s="358" t="str">
        <f>IFERROR(SMALL(AE57:$AE$100,ROWS($AE$4:AE57)),"")</f>
        <v/>
      </c>
      <c r="AG57" s="332" t="b">
        <f t="shared" si="3"/>
        <v>0</v>
      </c>
      <c r="AH57">
        <v>185</v>
      </c>
      <c r="AI57">
        <v>185</v>
      </c>
      <c r="AJ57" t="s">
        <v>1049</v>
      </c>
      <c r="AK57">
        <v>18</v>
      </c>
      <c r="AL57" t="s">
        <v>1708</v>
      </c>
    </row>
    <row r="58" spans="1:38" ht="38.25" x14ac:dyDescent="0.2">
      <c r="A58" s="356">
        <v>117</v>
      </c>
      <c r="B58" s="356" t="s">
        <v>996</v>
      </c>
      <c r="C58" s="356" t="s">
        <v>997</v>
      </c>
      <c r="D58" s="356">
        <v>21960</v>
      </c>
      <c r="E58" s="356" t="s">
        <v>61</v>
      </c>
      <c r="F58" s="356">
        <v>99</v>
      </c>
      <c r="G58" s="356" t="s">
        <v>1696</v>
      </c>
      <c r="H58" s="358">
        <f>ROWS($G$4:G58)</f>
        <v>55</v>
      </c>
      <c r="I58" s="358" t="str">
        <f>IF('School Level Expenditures'!$B$2=A58,'School Tables'!H58,"")</f>
        <v/>
      </c>
      <c r="J58" s="358" t="str">
        <f>IFERROR(SMALL($I$4:$I$325,ROWS($I$4:I58)),"")</f>
        <v/>
      </c>
      <c r="K58" s="332" t="b">
        <f t="shared" si="0"/>
        <v>0</v>
      </c>
      <c r="L58" s="356">
        <v>439</v>
      </c>
      <c r="M58" s="356" t="s">
        <v>1355</v>
      </c>
      <c r="N58" s="356" t="s">
        <v>1357</v>
      </c>
      <c r="O58" s="356">
        <v>26550</v>
      </c>
      <c r="P58" s="356" t="s">
        <v>1533</v>
      </c>
      <c r="Q58" s="356">
        <v>51</v>
      </c>
      <c r="R58" s="356" t="s">
        <v>1755</v>
      </c>
      <c r="S58" s="358">
        <f>ROWS($Q$4:Q58)</f>
        <v>55</v>
      </c>
      <c r="T58" s="358" t="str">
        <f>IF('School Level Expenditures'!$B$2='School Tables'!L58,'School Tables'!S58,"")</f>
        <v/>
      </c>
      <c r="U58" s="358" t="str">
        <f>IFERROR(SMALL($T$4:$T$75,ROWS($T$4:T58)),"")</f>
        <v/>
      </c>
      <c r="V58" s="332" t="b">
        <f t="shared" si="1"/>
        <v>0</v>
      </c>
      <c r="W58" s="356">
        <v>343</v>
      </c>
      <c r="X58" s="356" t="s">
        <v>1236</v>
      </c>
      <c r="Y58" s="356" t="s">
        <v>1237</v>
      </c>
      <c r="Z58" s="356">
        <v>21305</v>
      </c>
      <c r="AA58" s="356" t="s">
        <v>1534</v>
      </c>
      <c r="AB58" s="356">
        <v>62</v>
      </c>
      <c r="AC58" s="356" t="s">
        <v>1685</v>
      </c>
      <c r="AD58" s="358">
        <f>ROWS($AC$4:AC58)</f>
        <v>55</v>
      </c>
      <c r="AE58" s="358" t="str">
        <f>IF('School Level Expenditures'!$B$2='School Tables'!W58,'School Tables'!AD58,"")</f>
        <v/>
      </c>
      <c r="AF58" s="358" t="str">
        <f>IFERROR(SMALL(AE58:$AE$100,ROWS($AE$4:AE58)),"")</f>
        <v/>
      </c>
      <c r="AG58" s="332" t="b">
        <f t="shared" si="3"/>
        <v>0</v>
      </c>
      <c r="AH58">
        <v>187</v>
      </c>
      <c r="AI58">
        <v>187</v>
      </c>
      <c r="AJ58" t="s">
        <v>1053</v>
      </c>
      <c r="AK58">
        <v>13</v>
      </c>
      <c r="AL58" t="s">
        <v>1709</v>
      </c>
    </row>
    <row r="59" spans="1:38" ht="38.25" x14ac:dyDescent="0.2">
      <c r="A59" s="356">
        <v>363</v>
      </c>
      <c r="B59" s="356" t="s">
        <v>1271</v>
      </c>
      <c r="C59" s="356" t="s">
        <v>1600</v>
      </c>
      <c r="D59" s="356">
        <v>21715</v>
      </c>
      <c r="E59" s="356" t="s">
        <v>61</v>
      </c>
      <c r="F59" s="356">
        <v>93</v>
      </c>
      <c r="G59" s="356" t="s">
        <v>1697</v>
      </c>
      <c r="H59" s="358">
        <f>ROWS($G$4:G59)</f>
        <v>56</v>
      </c>
      <c r="I59" s="358" t="str">
        <f>IF('School Level Expenditures'!$B$2=A59,'School Tables'!H59,"")</f>
        <v/>
      </c>
      <c r="J59" s="358" t="str">
        <f>IFERROR(SMALL($I$4:$I$325,ROWS($I$4:I59)),"")</f>
        <v/>
      </c>
      <c r="K59" s="332" t="b">
        <f t="shared" si="0"/>
        <v>0</v>
      </c>
      <c r="L59" s="356">
        <v>449</v>
      </c>
      <c r="M59" s="356" t="s">
        <v>1363</v>
      </c>
      <c r="N59" s="356" t="s">
        <v>1364</v>
      </c>
      <c r="O59" s="356">
        <v>22510</v>
      </c>
      <c r="P59" s="356" t="s">
        <v>1533</v>
      </c>
      <c r="Q59" s="356">
        <v>52</v>
      </c>
      <c r="R59" s="356" t="s">
        <v>1739</v>
      </c>
      <c r="S59" s="358">
        <f>ROWS($Q$4:Q59)</f>
        <v>56</v>
      </c>
      <c r="T59" s="358" t="str">
        <f>IF('School Level Expenditures'!$B$2='School Tables'!L59,'School Tables'!S59,"")</f>
        <v/>
      </c>
      <c r="U59" s="358" t="str">
        <f>IFERROR(SMALL($T$4:$T$75,ROWS($T$4:T59)),"")</f>
        <v/>
      </c>
      <c r="V59" s="332" t="b">
        <f t="shared" si="1"/>
        <v>0</v>
      </c>
      <c r="W59" s="356">
        <v>351</v>
      </c>
      <c r="X59" s="356" t="s">
        <v>1243</v>
      </c>
      <c r="Y59" s="356" t="s">
        <v>1249</v>
      </c>
      <c r="Z59" s="356">
        <v>21040</v>
      </c>
      <c r="AA59" s="356" t="s">
        <v>1534</v>
      </c>
      <c r="AB59" s="356">
        <v>26</v>
      </c>
      <c r="AC59" s="356" t="s">
        <v>1732</v>
      </c>
      <c r="AD59" s="358">
        <f>ROWS($AC$4:AC59)</f>
        <v>56</v>
      </c>
      <c r="AE59" s="358" t="str">
        <f>IF('School Level Expenditures'!$B$2='School Tables'!W59,'School Tables'!AD59,"")</f>
        <v/>
      </c>
      <c r="AF59" s="358" t="str">
        <f>IFERROR(SMALL(AE59:$AE$100,ROWS($AE$4:AE59)),"")</f>
        <v/>
      </c>
      <c r="AG59" s="332" t="b">
        <f t="shared" si="3"/>
        <v>0</v>
      </c>
      <c r="AH59">
        <v>189</v>
      </c>
      <c r="AI59">
        <v>189</v>
      </c>
      <c r="AJ59" t="s">
        <v>1055</v>
      </c>
      <c r="AK59">
        <v>83</v>
      </c>
      <c r="AL59" t="s">
        <v>1704</v>
      </c>
    </row>
    <row r="60" spans="1:38" ht="51" x14ac:dyDescent="0.2">
      <c r="A60" s="356">
        <v>388</v>
      </c>
      <c r="B60" s="356" t="s">
        <v>1537</v>
      </c>
      <c r="C60" s="356" t="s">
        <v>1313</v>
      </c>
      <c r="D60" s="356">
        <v>20095</v>
      </c>
      <c r="E60" s="356" t="s">
        <v>61</v>
      </c>
      <c r="F60" s="356">
        <v>4</v>
      </c>
      <c r="G60" s="356" t="s">
        <v>1683</v>
      </c>
      <c r="H60" s="358">
        <f>ROWS($G$4:G60)</f>
        <v>57</v>
      </c>
      <c r="I60" s="358" t="str">
        <f>IF('School Level Expenditures'!$B$2=A60,'School Tables'!H60,"")</f>
        <v/>
      </c>
      <c r="J60" s="358" t="str">
        <f>IFERROR(SMALL($I$4:$I$325,ROWS($I$4:I60)),"")</f>
        <v/>
      </c>
      <c r="K60" s="332" t="b">
        <f t="shared" si="0"/>
        <v>0</v>
      </c>
      <c r="L60" s="356">
        <v>450</v>
      </c>
      <c r="M60" s="356" t="s">
        <v>1369</v>
      </c>
      <c r="N60" s="356" t="s">
        <v>1371</v>
      </c>
      <c r="O60" s="356">
        <v>26990</v>
      </c>
      <c r="P60" s="356" t="s">
        <v>1533</v>
      </c>
      <c r="Q60" s="356">
        <v>35</v>
      </c>
      <c r="R60" s="356" t="s">
        <v>1680</v>
      </c>
      <c r="S60" s="358">
        <f>ROWS($Q$4:Q60)</f>
        <v>57</v>
      </c>
      <c r="T60" s="358" t="str">
        <f>IF('School Level Expenditures'!$B$2='School Tables'!L60,'School Tables'!S60,"")</f>
        <v/>
      </c>
      <c r="U60" s="358" t="str">
        <f>IFERROR(SMALL($T$4:$T$75,ROWS($T$4:T60)),"")</f>
        <v/>
      </c>
      <c r="V60" s="332" t="b">
        <f t="shared" si="1"/>
        <v>0</v>
      </c>
      <c r="W60" s="356">
        <v>352</v>
      </c>
      <c r="X60" s="356" t="s">
        <v>1250</v>
      </c>
      <c r="Y60" s="356" t="s">
        <v>1255</v>
      </c>
      <c r="Z60" s="356">
        <v>22195</v>
      </c>
      <c r="AA60" s="356" t="s">
        <v>1534</v>
      </c>
      <c r="AB60" s="356">
        <v>46</v>
      </c>
      <c r="AC60" s="356" t="s">
        <v>1667</v>
      </c>
      <c r="AD60" s="358">
        <f>ROWS($AC$4:AC60)</f>
        <v>57</v>
      </c>
      <c r="AE60" s="358" t="str">
        <f>IF('School Level Expenditures'!$B$2='School Tables'!W60,'School Tables'!AD60,"")</f>
        <v/>
      </c>
      <c r="AF60" s="358" t="str">
        <f>IFERROR(SMALL(AE60:$AE$100,ROWS($AE$4:AE60)),"")</f>
        <v/>
      </c>
      <c r="AG60" s="332" t="b">
        <f t="shared" si="3"/>
        <v>0</v>
      </c>
      <c r="AH60" s="359">
        <v>742</v>
      </c>
      <c r="AI60" s="359">
        <v>742</v>
      </c>
      <c r="AJ60" s="359" t="s">
        <v>1527</v>
      </c>
      <c r="AK60" s="359">
        <v>425</v>
      </c>
      <c r="AL60" s="359" t="s">
        <v>1527</v>
      </c>
    </row>
    <row r="61" spans="1:38" ht="51" x14ac:dyDescent="0.2">
      <c r="A61" s="356">
        <v>476</v>
      </c>
      <c r="B61" s="356" t="s">
        <v>1403</v>
      </c>
      <c r="C61" s="356" t="s">
        <v>1405</v>
      </c>
      <c r="D61" s="356">
        <v>20625</v>
      </c>
      <c r="E61" s="356" t="s">
        <v>61</v>
      </c>
      <c r="F61" s="356">
        <v>17</v>
      </c>
      <c r="G61" s="356" t="s">
        <v>1698</v>
      </c>
      <c r="H61" s="358">
        <f>ROWS($G$4:G61)</f>
        <v>58</v>
      </c>
      <c r="I61" s="358" t="str">
        <f>IF('School Level Expenditures'!$B$2=A61,'School Tables'!H61,"")</f>
        <v/>
      </c>
      <c r="J61" s="358" t="str">
        <f>IFERROR(SMALL($I$4:$I$325,ROWS($I$4:I61)),"")</f>
        <v/>
      </c>
      <c r="K61" s="332" t="b">
        <f t="shared" si="0"/>
        <v>0</v>
      </c>
      <c r="L61" s="356">
        <v>461</v>
      </c>
      <c r="M61" s="356" t="s">
        <v>1376</v>
      </c>
      <c r="N61" s="356" t="s">
        <v>1384</v>
      </c>
      <c r="O61" s="356">
        <v>22705</v>
      </c>
      <c r="P61" s="356" t="s">
        <v>1533</v>
      </c>
      <c r="Q61" s="356">
        <v>54</v>
      </c>
      <c r="R61" s="356" t="s">
        <v>1689</v>
      </c>
      <c r="S61" s="358">
        <f>ROWS($Q$4:Q61)</f>
        <v>58</v>
      </c>
      <c r="T61" s="358" t="str">
        <f>IF('School Level Expenditures'!$B$2='School Tables'!L61,'School Tables'!S61,"")</f>
        <v/>
      </c>
      <c r="U61" s="358" t="str">
        <f>IFERROR(SMALL($T$4:$T$75,ROWS($T$4:T61)),"")</f>
        <v/>
      </c>
      <c r="V61" s="332" t="b">
        <f t="shared" si="1"/>
        <v>0</v>
      </c>
      <c r="W61" s="356">
        <v>357</v>
      </c>
      <c r="X61" s="356" t="s">
        <v>1262</v>
      </c>
      <c r="Y61" s="356" t="s">
        <v>1264</v>
      </c>
      <c r="Z61" s="356">
        <v>21765</v>
      </c>
      <c r="AA61" s="356" t="s">
        <v>1534</v>
      </c>
      <c r="AB61" s="356">
        <v>40</v>
      </c>
      <c r="AC61" s="356" t="s">
        <v>1725</v>
      </c>
      <c r="AD61" s="358">
        <f>ROWS($AC$4:AC61)</f>
        <v>58</v>
      </c>
      <c r="AE61" s="358" t="str">
        <f>IF('School Level Expenditures'!$B$2='School Tables'!W61,'School Tables'!AD61,"")</f>
        <v/>
      </c>
      <c r="AF61" s="358" t="str">
        <f>IFERROR(SMALL(AE61:$AE$100,ROWS($AE$4:AE61)),"")</f>
        <v/>
      </c>
      <c r="AG61" s="332" t="b">
        <f t="shared" si="3"/>
        <v>0</v>
      </c>
      <c r="AH61" s="359">
        <v>750</v>
      </c>
      <c r="AI61" s="359">
        <v>750</v>
      </c>
      <c r="AJ61" s="359" t="s">
        <v>1711</v>
      </c>
      <c r="AK61" s="359">
        <v>450</v>
      </c>
      <c r="AL61" s="359" t="s">
        <v>1713</v>
      </c>
    </row>
    <row r="62" spans="1:38" ht="51" x14ac:dyDescent="0.2">
      <c r="A62" s="356">
        <v>534</v>
      </c>
      <c r="B62" s="356" t="s">
        <v>1443</v>
      </c>
      <c r="C62" s="356" t="s">
        <v>1446</v>
      </c>
      <c r="D62" s="356">
        <v>22745</v>
      </c>
      <c r="E62" s="356" t="s">
        <v>61</v>
      </c>
      <c r="F62" s="356">
        <v>106</v>
      </c>
      <c r="G62" s="356" t="s">
        <v>1670</v>
      </c>
      <c r="H62" s="358">
        <f>ROWS($G$4:G62)</f>
        <v>59</v>
      </c>
      <c r="I62" s="358" t="str">
        <f>IF('School Level Expenditures'!$B$2=A62,'School Tables'!H62,"")</f>
        <v/>
      </c>
      <c r="J62" s="358" t="str">
        <f>IFERROR(SMALL($I$4:$I$325,ROWS($I$4:I62)),"")</f>
        <v/>
      </c>
      <c r="K62" s="332" t="b">
        <f t="shared" si="0"/>
        <v>0</v>
      </c>
      <c r="L62" s="356">
        <v>41</v>
      </c>
      <c r="M62" s="356" t="s">
        <v>934</v>
      </c>
      <c r="N62" s="356" t="s">
        <v>939</v>
      </c>
      <c r="O62" s="356">
        <v>28560</v>
      </c>
      <c r="P62" s="356" t="s">
        <v>1533</v>
      </c>
      <c r="Q62" s="356">
        <v>25</v>
      </c>
      <c r="R62" s="356" t="s">
        <v>1744</v>
      </c>
      <c r="S62" s="358">
        <f>ROWS($Q$4:Q62)</f>
        <v>59</v>
      </c>
      <c r="T62" s="358" t="str">
        <f>IF('School Level Expenditures'!$B$2='School Tables'!L62,'School Tables'!S62,"")</f>
        <v/>
      </c>
      <c r="U62" s="358" t="str">
        <f>IFERROR(SMALL($T$4:$T$75,ROWS($T$4:T62)),"")</f>
        <v/>
      </c>
      <c r="V62" s="332" t="b">
        <f t="shared" si="1"/>
        <v>0</v>
      </c>
      <c r="W62" s="356">
        <v>363</v>
      </c>
      <c r="X62" s="356" t="s">
        <v>1271</v>
      </c>
      <c r="Y62" s="356" t="s">
        <v>1273</v>
      </c>
      <c r="Z62" s="356">
        <v>21700</v>
      </c>
      <c r="AA62" s="356" t="s">
        <v>1534</v>
      </c>
      <c r="AB62" s="356">
        <v>93</v>
      </c>
      <c r="AC62" s="356" t="s">
        <v>1697</v>
      </c>
      <c r="AD62" s="358">
        <f>ROWS($AC$4:AC62)</f>
        <v>59</v>
      </c>
      <c r="AE62" s="358" t="str">
        <f>IF('School Level Expenditures'!$B$2='School Tables'!W62,'School Tables'!AD62,"")</f>
        <v/>
      </c>
      <c r="AF62" s="358" t="str">
        <f>IFERROR(SMALL(AE62:$AE$100,ROWS($AE$4:AE62)),"")</f>
        <v/>
      </c>
      <c r="AG62" s="332" t="b">
        <f t="shared" si="3"/>
        <v>0</v>
      </c>
      <c r="AH62">
        <v>191</v>
      </c>
      <c r="AI62">
        <v>191</v>
      </c>
      <c r="AJ62" t="s">
        <v>1057</v>
      </c>
      <c r="AK62">
        <v>73</v>
      </c>
      <c r="AL62" t="s">
        <v>1714</v>
      </c>
    </row>
    <row r="63" spans="1:38" ht="38.25" x14ac:dyDescent="0.2">
      <c r="A63" s="356">
        <v>127</v>
      </c>
      <c r="B63" s="356" t="s">
        <v>998</v>
      </c>
      <c r="C63" s="356" t="s">
        <v>999</v>
      </c>
      <c r="D63" s="356">
        <v>22595</v>
      </c>
      <c r="E63" s="356" t="s">
        <v>61</v>
      </c>
      <c r="F63" s="356">
        <v>53</v>
      </c>
      <c r="G63" s="356" t="s">
        <v>1664</v>
      </c>
      <c r="H63" s="358">
        <f>ROWS($G$4:G63)</f>
        <v>60</v>
      </c>
      <c r="I63" s="358" t="str">
        <f>IF('School Level Expenditures'!$B$2=A63,'School Tables'!H63,"")</f>
        <v/>
      </c>
      <c r="J63" s="358" t="str">
        <f>IFERROR(SMALL($I$4:$I$325,ROWS($I$4:I63)),"")</f>
        <v/>
      </c>
      <c r="K63" s="332" t="b">
        <f t="shared" si="0"/>
        <v>0</v>
      </c>
      <c r="L63" s="356">
        <v>111</v>
      </c>
      <c r="M63" s="356" t="s">
        <v>969</v>
      </c>
      <c r="N63" s="356" t="s">
        <v>974</v>
      </c>
      <c r="O63" s="356">
        <v>20270</v>
      </c>
      <c r="P63" s="356" t="s">
        <v>1533</v>
      </c>
      <c r="Q63" s="356">
        <v>8</v>
      </c>
      <c r="R63" s="356" t="s">
        <v>1661</v>
      </c>
      <c r="S63" s="358">
        <f>ROWS($Q$4:Q63)</f>
        <v>60</v>
      </c>
      <c r="T63" s="358" t="str">
        <f>IF('School Level Expenditures'!$B$2='School Tables'!L63,'School Tables'!S63,"")</f>
        <v/>
      </c>
      <c r="U63" s="358" t="str">
        <f>IFERROR(SMALL($T$4:$T$75,ROWS($T$4:T63)),"")</f>
        <v/>
      </c>
      <c r="V63" s="332" t="b">
        <f t="shared" si="1"/>
        <v>0</v>
      </c>
      <c r="W63" s="356">
        <v>369</v>
      </c>
      <c r="X63" s="356" t="s">
        <v>1280</v>
      </c>
      <c r="Y63" s="356" t="s">
        <v>1282</v>
      </c>
      <c r="Z63" s="356">
        <v>22120</v>
      </c>
      <c r="AA63" s="356" t="s">
        <v>1534</v>
      </c>
      <c r="AB63" s="356">
        <v>45</v>
      </c>
      <c r="AC63" s="356" t="s">
        <v>1749</v>
      </c>
      <c r="AD63" s="358">
        <f>ROWS($AC$4:AC63)</f>
        <v>60</v>
      </c>
      <c r="AE63" s="358" t="str">
        <f>IF('School Level Expenditures'!$B$2='School Tables'!W63,'School Tables'!AD63,"")</f>
        <v/>
      </c>
      <c r="AF63" s="358" t="str">
        <f>IFERROR(SMALL(AE63:$AE$100,ROWS($AE$4:AE63)),"")</f>
        <v/>
      </c>
      <c r="AG63" s="332" t="b">
        <f t="shared" si="3"/>
        <v>0</v>
      </c>
      <c r="AH63">
        <v>195</v>
      </c>
      <c r="AI63">
        <v>195</v>
      </c>
      <c r="AJ63" t="s">
        <v>1061</v>
      </c>
      <c r="AK63">
        <v>79</v>
      </c>
      <c r="AL63" t="s">
        <v>1715</v>
      </c>
    </row>
    <row r="64" spans="1:38" ht="51" x14ac:dyDescent="0.2">
      <c r="A64" s="356">
        <v>131</v>
      </c>
      <c r="B64" s="356" t="s">
        <v>1000</v>
      </c>
      <c r="C64" s="356" t="s">
        <v>1555</v>
      </c>
      <c r="D64" s="356">
        <v>29156</v>
      </c>
      <c r="E64" s="356" t="s">
        <v>1554</v>
      </c>
      <c r="F64" s="356">
        <v>10</v>
      </c>
      <c r="G64" s="356" t="s">
        <v>1699</v>
      </c>
      <c r="H64" s="358">
        <f>ROWS($G$4:G64)</f>
        <v>61</v>
      </c>
      <c r="I64" s="358" t="str">
        <f>IF('School Level Expenditures'!$B$2=A64,'School Tables'!H64,"")</f>
        <v/>
      </c>
      <c r="J64" s="358" t="str">
        <f>IFERROR(SMALL($I$4:$I$325,ROWS($I$4:I64)),"")</f>
        <v/>
      </c>
      <c r="K64" s="332" t="b">
        <f t="shared" si="0"/>
        <v>0</v>
      </c>
      <c r="L64" s="356">
        <v>476</v>
      </c>
      <c r="M64" s="356" t="s">
        <v>1403</v>
      </c>
      <c r="N64" s="356" t="s">
        <v>1406</v>
      </c>
      <c r="O64" s="356">
        <v>20630</v>
      </c>
      <c r="P64" s="356" t="s">
        <v>1533</v>
      </c>
      <c r="Q64" s="356">
        <v>17</v>
      </c>
      <c r="R64" s="356" t="s">
        <v>1698</v>
      </c>
      <c r="S64" s="358">
        <f>ROWS($Q$4:Q64)</f>
        <v>61</v>
      </c>
      <c r="T64" s="358" t="str">
        <f>IF('School Level Expenditures'!$B$2='School Tables'!L64,'School Tables'!S64,"")</f>
        <v/>
      </c>
      <c r="U64" s="358" t="str">
        <f>IFERROR(SMALL($T$4:$T$75,ROWS($T$4:T64)),"")</f>
        <v/>
      </c>
      <c r="V64" s="332" t="b">
        <f t="shared" si="1"/>
        <v>0</v>
      </c>
      <c r="W64" s="356">
        <v>371</v>
      </c>
      <c r="X64" s="356" t="s">
        <v>1283</v>
      </c>
      <c r="Y64" s="356" t="s">
        <v>1300</v>
      </c>
      <c r="Z64" s="356">
        <v>27960</v>
      </c>
      <c r="AA64" s="356" t="s">
        <v>1534</v>
      </c>
      <c r="AB64" s="356">
        <v>42</v>
      </c>
      <c r="AC64" s="356" t="s">
        <v>1666</v>
      </c>
      <c r="AD64" s="358">
        <f>ROWS($AC$4:AC64)</f>
        <v>61</v>
      </c>
      <c r="AE64" s="358" t="str">
        <f>IF('School Level Expenditures'!$B$2='School Tables'!W64,'School Tables'!AD64,"")</f>
        <v/>
      </c>
      <c r="AF64" s="358" t="str">
        <f>IFERROR(SMALL(AE64:$AE$100,ROWS($AE$4:AE64)),"")</f>
        <v/>
      </c>
      <c r="AG64" s="332" t="b">
        <f t="shared" si="3"/>
        <v>0</v>
      </c>
      <c r="AH64">
        <v>199</v>
      </c>
      <c r="AI64">
        <v>199</v>
      </c>
      <c r="AJ64" t="s">
        <v>1063</v>
      </c>
      <c r="AK64">
        <v>19</v>
      </c>
      <c r="AL64" t="s">
        <v>1675</v>
      </c>
    </row>
    <row r="65" spans="1:38" ht="38.25" x14ac:dyDescent="0.2">
      <c r="A65" s="356">
        <v>131</v>
      </c>
      <c r="B65" s="356" t="s">
        <v>1000</v>
      </c>
      <c r="C65" s="356" t="s">
        <v>1004</v>
      </c>
      <c r="D65" s="356">
        <v>20380</v>
      </c>
      <c r="E65" s="356" t="s">
        <v>61</v>
      </c>
      <c r="F65" s="356">
        <v>10</v>
      </c>
      <c r="G65" s="356" t="s">
        <v>1699</v>
      </c>
      <c r="H65" s="358">
        <f>ROWS($G$4:G65)</f>
        <v>62</v>
      </c>
      <c r="I65" s="358" t="str">
        <f>IF('School Level Expenditures'!$B$2=A65,'School Tables'!H65,"")</f>
        <v/>
      </c>
      <c r="J65" s="358" t="str">
        <f>IFERROR(SMALL($I$4:$I$325,ROWS($I$4:I65)),"")</f>
        <v/>
      </c>
      <c r="K65" s="332" t="b">
        <f t="shared" si="0"/>
        <v>0</v>
      </c>
      <c r="L65" s="356">
        <v>491</v>
      </c>
      <c r="M65" s="356" t="s">
        <v>1415</v>
      </c>
      <c r="N65" s="356" t="s">
        <v>1416</v>
      </c>
      <c r="O65" s="356">
        <v>22830</v>
      </c>
      <c r="P65" s="356" t="s">
        <v>1533</v>
      </c>
      <c r="Q65" s="356">
        <v>56</v>
      </c>
      <c r="R65" s="356" t="s">
        <v>1729</v>
      </c>
      <c r="S65" s="358">
        <f>ROWS($Q$4:Q65)</f>
        <v>62</v>
      </c>
      <c r="T65" s="358" t="str">
        <f>IF('School Level Expenditures'!$B$2='School Tables'!L65,'School Tables'!S65,"")</f>
        <v/>
      </c>
      <c r="U65" s="358" t="str">
        <f>IFERROR(SMALL($T$4:$T$75,ROWS($T$4:T65)),"")</f>
        <v/>
      </c>
      <c r="V65" s="332" t="b">
        <f t="shared" si="1"/>
        <v>0</v>
      </c>
      <c r="W65" s="356">
        <v>371</v>
      </c>
      <c r="X65" s="356" t="s">
        <v>1283</v>
      </c>
      <c r="Y65" s="356" t="s">
        <v>1289</v>
      </c>
      <c r="Z65" s="356">
        <v>21860</v>
      </c>
      <c r="AA65" s="356" t="s">
        <v>1534</v>
      </c>
      <c r="AB65" s="356">
        <v>42</v>
      </c>
      <c r="AC65" s="356" t="s">
        <v>1666</v>
      </c>
      <c r="AD65" s="358">
        <f>ROWS($AC$4:AC65)</f>
        <v>62</v>
      </c>
      <c r="AE65" s="358" t="str">
        <f>IF('School Level Expenditures'!$B$2='School Tables'!W65,'School Tables'!AD65,"")</f>
        <v/>
      </c>
      <c r="AF65" s="358" t="str">
        <f>IFERROR(SMALL(AE65:$AE$100,ROWS($AE$4:AE65)),"")</f>
        <v/>
      </c>
      <c r="AG65" s="332" t="b">
        <f t="shared" si="3"/>
        <v>0</v>
      </c>
      <c r="AH65">
        <v>203</v>
      </c>
      <c r="AI65">
        <v>0</v>
      </c>
      <c r="AJ65" t="s">
        <v>1068</v>
      </c>
      <c r="AK65">
        <v>20</v>
      </c>
      <c r="AL65" t="s">
        <v>1703</v>
      </c>
    </row>
    <row r="66" spans="1:38" ht="38.25" x14ac:dyDescent="0.2">
      <c r="A66" s="356">
        <v>101</v>
      </c>
      <c r="B66" s="356" t="s">
        <v>963</v>
      </c>
      <c r="C66" s="356" t="s">
        <v>967</v>
      </c>
      <c r="D66" s="356">
        <v>20165</v>
      </c>
      <c r="E66" s="356" t="s">
        <v>61</v>
      </c>
      <c r="F66" s="356">
        <v>6</v>
      </c>
      <c r="G66" s="356" t="s">
        <v>1681</v>
      </c>
      <c r="H66" s="358">
        <f>ROWS($G$4:G66)</f>
        <v>63</v>
      </c>
      <c r="I66" s="358" t="str">
        <f>IF('School Level Expenditures'!$B$2=A66,'School Tables'!H66,"")</f>
        <v/>
      </c>
      <c r="J66" s="358" t="str">
        <f>IFERROR(SMALL($I$4:$I$325,ROWS($I$4:I66)),"")</f>
        <v/>
      </c>
      <c r="K66" s="332" t="b">
        <f t="shared" si="0"/>
        <v>0</v>
      </c>
      <c r="L66" s="356">
        <v>112</v>
      </c>
      <c r="M66" s="356" t="s">
        <v>977</v>
      </c>
      <c r="N66" s="356" t="s">
        <v>986</v>
      </c>
      <c r="O66" s="356">
        <v>22295</v>
      </c>
      <c r="P66" s="356" t="s">
        <v>1533</v>
      </c>
      <c r="Q66" s="356">
        <v>1</v>
      </c>
      <c r="R66" s="356" t="s">
        <v>1668</v>
      </c>
      <c r="S66" s="358">
        <f>ROWS($Q$4:Q66)</f>
        <v>63</v>
      </c>
      <c r="T66" s="358" t="str">
        <f>IF('School Level Expenditures'!$B$2='School Tables'!L66,'School Tables'!S66,"")</f>
        <v/>
      </c>
      <c r="U66" s="358" t="str">
        <f>IFERROR(SMALL($T$4:$T$75,ROWS($T$4:T66)),"")</f>
        <v/>
      </c>
      <c r="V66" s="332" t="b">
        <f t="shared" si="1"/>
        <v>0</v>
      </c>
      <c r="W66" s="356">
        <v>388</v>
      </c>
      <c r="X66" s="356" t="s">
        <v>1537</v>
      </c>
      <c r="Y66" s="356" t="s">
        <v>1311</v>
      </c>
      <c r="Z66" s="356">
        <v>20085</v>
      </c>
      <c r="AA66" s="356" t="s">
        <v>1534</v>
      </c>
      <c r="AB66" s="356">
        <v>4</v>
      </c>
      <c r="AC66" s="356" t="s">
        <v>1683</v>
      </c>
      <c r="AD66" s="358">
        <f>ROWS($AC$4:AC66)</f>
        <v>63</v>
      </c>
      <c r="AE66" s="358" t="str">
        <f>IF('School Level Expenditures'!$B$2='School Tables'!W66,'School Tables'!AD66,"")</f>
        <v/>
      </c>
      <c r="AF66" s="358" t="str">
        <f>IFERROR(SMALL(AE66:$AE$100,ROWS($AE$4:AE66)),"")</f>
        <v/>
      </c>
      <c r="AG66" s="332" t="b">
        <f t="shared" si="3"/>
        <v>0</v>
      </c>
      <c r="AH66">
        <v>204</v>
      </c>
      <c r="AI66">
        <v>203</v>
      </c>
      <c r="AJ66" t="s">
        <v>1782</v>
      </c>
      <c r="AK66">
        <v>102</v>
      </c>
      <c r="AL66" t="s">
        <v>1783</v>
      </c>
    </row>
    <row r="67" spans="1:38" ht="38.25" x14ac:dyDescent="0.2">
      <c r="A67" s="356">
        <v>363</v>
      </c>
      <c r="B67" s="356" t="s">
        <v>1271</v>
      </c>
      <c r="C67" s="356" t="s">
        <v>1275</v>
      </c>
      <c r="D67" s="356">
        <v>21665</v>
      </c>
      <c r="E67" s="356" t="s">
        <v>61</v>
      </c>
      <c r="F67" s="356">
        <v>93</v>
      </c>
      <c r="G67" s="356" t="s">
        <v>1697</v>
      </c>
      <c r="H67" s="358">
        <f>ROWS($G$4:G67)</f>
        <v>64</v>
      </c>
      <c r="I67" s="358" t="str">
        <f>IF('School Level Expenditures'!$B$2=A67,'School Tables'!H67,"")</f>
        <v/>
      </c>
      <c r="J67" s="358" t="str">
        <f>IFERROR(SMALL($I$4:$I$325,ROWS($I$4:I67)),"")</f>
        <v/>
      </c>
      <c r="K67" s="332" t="b">
        <f t="shared" si="0"/>
        <v>0</v>
      </c>
      <c r="L67" s="356">
        <v>335</v>
      </c>
      <c r="M67" s="356" t="s">
        <v>906</v>
      </c>
      <c r="N67" s="356" t="s">
        <v>1220</v>
      </c>
      <c r="O67" s="356">
        <v>21575</v>
      </c>
      <c r="P67" s="356" t="s">
        <v>1533</v>
      </c>
      <c r="Q67" s="356">
        <v>37</v>
      </c>
      <c r="R67" s="356" t="s">
        <v>1672</v>
      </c>
      <c r="S67" s="358">
        <f>ROWS($Q$4:Q67)</f>
        <v>64</v>
      </c>
      <c r="T67" s="358" t="str">
        <f>IF('School Level Expenditures'!$B$2='School Tables'!L67,'School Tables'!S67,"")</f>
        <v/>
      </c>
      <c r="U67" s="358" t="str">
        <f>IFERROR(SMALL($T$4:$T$75,ROWS($T$4:T67)),"")</f>
        <v/>
      </c>
      <c r="V67" s="332" t="b">
        <f t="shared" si="1"/>
        <v>0</v>
      </c>
      <c r="W67" s="356">
        <v>399</v>
      </c>
      <c r="X67" s="356" t="s">
        <v>1317</v>
      </c>
      <c r="Y67" s="356" t="s">
        <v>1319</v>
      </c>
      <c r="Z67" s="356">
        <v>23115</v>
      </c>
      <c r="AA67" s="356" t="s">
        <v>1534</v>
      </c>
      <c r="AB67" s="356">
        <v>31</v>
      </c>
      <c r="AC67" s="356" t="s">
        <v>1750</v>
      </c>
      <c r="AD67" s="358">
        <f>ROWS($AC$4:AC67)</f>
        <v>64</v>
      </c>
      <c r="AE67" s="358" t="str">
        <f>IF('School Level Expenditures'!$B$2='School Tables'!W67,'School Tables'!AD67,"")</f>
        <v/>
      </c>
      <c r="AF67" s="358" t="str">
        <f>IFERROR(SMALL(AE67:$AE$100,ROWS($AE$4:AE67)),"")</f>
        <v/>
      </c>
      <c r="AG67" s="332" t="b">
        <f t="shared" si="3"/>
        <v>0</v>
      </c>
      <c r="AH67">
        <v>208</v>
      </c>
      <c r="AI67">
        <v>0</v>
      </c>
      <c r="AJ67" t="s">
        <v>1072</v>
      </c>
      <c r="AK67">
        <v>49</v>
      </c>
      <c r="AL67" t="s">
        <v>1687</v>
      </c>
    </row>
    <row r="68" spans="1:38" ht="63.75" x14ac:dyDescent="0.2">
      <c r="A68" s="356">
        <v>267</v>
      </c>
      <c r="B68" s="356" t="s">
        <v>1130</v>
      </c>
      <c r="C68" s="356" t="s">
        <v>1131</v>
      </c>
      <c r="D68" s="356">
        <v>21045</v>
      </c>
      <c r="E68" s="356" t="s">
        <v>61</v>
      </c>
      <c r="F68" s="356">
        <v>81</v>
      </c>
      <c r="G68" s="356" t="s">
        <v>1700</v>
      </c>
      <c r="H68" s="358">
        <f>ROWS($G$4:G68)</f>
        <v>65</v>
      </c>
      <c r="I68" s="358" t="str">
        <f>IF('School Level Expenditures'!$B$2=A68,'School Tables'!H68,"")</f>
        <v/>
      </c>
      <c r="J68" s="358" t="str">
        <f>IFERROR(SMALL($I$4:$I$325,ROWS($I$4:I68)),"")</f>
        <v/>
      </c>
      <c r="K68" s="332" t="b">
        <f t="shared" si="0"/>
        <v>0</v>
      </c>
      <c r="L68" s="356">
        <v>515</v>
      </c>
      <c r="M68" s="356" t="s">
        <v>1436</v>
      </c>
      <c r="N68" s="356" t="s">
        <v>1538</v>
      </c>
      <c r="O68" s="356">
        <v>26965</v>
      </c>
      <c r="P68" s="356" t="s">
        <v>1533</v>
      </c>
      <c r="Q68" s="356">
        <v>85</v>
      </c>
      <c r="R68" s="356" t="s">
        <v>1762</v>
      </c>
      <c r="S68" s="358">
        <f>ROWS($Q$4:Q68)</f>
        <v>65</v>
      </c>
      <c r="T68" s="358" t="str">
        <f>IF('School Level Expenditures'!$B$2='School Tables'!L68,'School Tables'!S68,"")</f>
        <v/>
      </c>
      <c r="U68" s="358" t="str">
        <f>IFERROR(SMALL($T$4:$T$75,ROWS($T$4:T68)),"")</f>
        <v/>
      </c>
      <c r="V68" s="332" t="b">
        <f t="shared" si="1"/>
        <v>0</v>
      </c>
      <c r="W68" s="356">
        <v>401</v>
      </c>
      <c r="X68" s="356" t="s">
        <v>1321</v>
      </c>
      <c r="Y68" s="356" t="s">
        <v>1323</v>
      </c>
      <c r="Z68" s="356">
        <v>21985</v>
      </c>
      <c r="AA68" s="356" t="s">
        <v>1534</v>
      </c>
      <c r="AB68" s="356">
        <v>43</v>
      </c>
      <c r="AC68" s="356" t="s">
        <v>1757</v>
      </c>
      <c r="AD68" s="358">
        <f>ROWS($AC$4:AC68)</f>
        <v>65</v>
      </c>
      <c r="AE68" s="358" t="str">
        <f>IF('School Level Expenditures'!$B$2='School Tables'!W68,'School Tables'!AD68,"")</f>
        <v/>
      </c>
      <c r="AF68" s="358" t="str">
        <f>IFERROR(SMALL(AE68:$AE$100,ROWS($AE$4:AE68)),"")</f>
        <v/>
      </c>
      <c r="AG68" s="332" t="b">
        <f t="shared" ref="AG68:AG99" si="4">Y69=Y70</f>
        <v>0</v>
      </c>
      <c r="AH68" s="359">
        <v>702</v>
      </c>
      <c r="AI68" s="359">
        <v>702</v>
      </c>
      <c r="AJ68" s="359" t="s">
        <v>1491</v>
      </c>
      <c r="AK68" s="359">
        <v>426</v>
      </c>
      <c r="AL68" s="359" t="s">
        <v>1491</v>
      </c>
    </row>
    <row r="69" spans="1:38" ht="51" x14ac:dyDescent="0.2">
      <c r="A69" s="356">
        <v>473</v>
      </c>
      <c r="B69" s="356" t="s">
        <v>1395</v>
      </c>
      <c r="C69" s="356" t="s">
        <v>1402</v>
      </c>
      <c r="D69" s="356">
        <v>22895</v>
      </c>
      <c r="E69" s="356" t="s">
        <v>61</v>
      </c>
      <c r="F69" s="356">
        <v>57</v>
      </c>
      <c r="G69" s="356" t="s">
        <v>1701</v>
      </c>
      <c r="H69" s="358">
        <f>ROWS($G$4:G69)</f>
        <v>66</v>
      </c>
      <c r="I69" s="358" t="str">
        <f>IF('School Level Expenditures'!$B$2=A69,'School Tables'!H69,"")</f>
        <v/>
      </c>
      <c r="J69" s="358" t="str">
        <f>IFERROR(SMALL($I$4:$I$325,ROWS($I$4:I69)),"")</f>
        <v/>
      </c>
      <c r="K69" s="332" t="b">
        <f t="shared" ref="K69:K132" si="5">C69=C70</f>
        <v>0</v>
      </c>
      <c r="L69" s="356">
        <v>534</v>
      </c>
      <c r="M69" s="356" t="s">
        <v>1443</v>
      </c>
      <c r="N69" s="356" t="s">
        <v>1447</v>
      </c>
      <c r="O69" s="356">
        <v>22760</v>
      </c>
      <c r="P69" s="356" t="s">
        <v>1533</v>
      </c>
      <c r="Q69" s="356">
        <v>106</v>
      </c>
      <c r="R69" s="356" t="s">
        <v>1670</v>
      </c>
      <c r="S69" s="358">
        <f>ROWS($Q$4:Q69)</f>
        <v>66</v>
      </c>
      <c r="T69" s="358" t="str">
        <f>IF('School Level Expenditures'!$B$2='School Tables'!L69,'School Tables'!S69,"")</f>
        <v/>
      </c>
      <c r="U69" s="358" t="str">
        <f>IFERROR(SMALL($T$4:$T$75,ROWS($T$4:T69)),"")</f>
        <v/>
      </c>
      <c r="V69" s="332" t="b">
        <f t="shared" ref="V69:V75" si="6">N69=N70</f>
        <v>0</v>
      </c>
      <c r="W69" s="356">
        <v>740</v>
      </c>
      <c r="X69" s="356" t="s">
        <v>1523</v>
      </c>
      <c r="Y69" s="356" t="s">
        <v>1523</v>
      </c>
      <c r="Z69" s="356">
        <v>29105</v>
      </c>
      <c r="AA69" s="356" t="s">
        <v>1534</v>
      </c>
      <c r="AB69" s="356">
        <v>422</v>
      </c>
      <c r="AC69" s="356" t="s">
        <v>1523</v>
      </c>
      <c r="AD69" s="358">
        <f>ROWS($AC$4:AC69)</f>
        <v>66</v>
      </c>
      <c r="AE69" s="358" t="str">
        <f>IF('School Level Expenditures'!$B$2='School Tables'!W69,'School Tables'!AD69,"")</f>
        <v/>
      </c>
      <c r="AF69" s="358" t="str">
        <f>IFERROR(SMALL(AE69:$AE$100,ROWS($AE$4:AE69)),"")</f>
        <v/>
      </c>
      <c r="AG69" s="332" t="b">
        <f t="shared" si="4"/>
        <v>0</v>
      </c>
      <c r="AH69">
        <v>211</v>
      </c>
      <c r="AI69">
        <v>211</v>
      </c>
      <c r="AJ69" t="s">
        <v>1081</v>
      </c>
      <c r="AK69">
        <v>75</v>
      </c>
      <c r="AL69" t="s">
        <v>1717</v>
      </c>
    </row>
    <row r="70" spans="1:38" ht="38.25" x14ac:dyDescent="0.2">
      <c r="A70" s="356">
        <v>371</v>
      </c>
      <c r="B70" s="356" t="s">
        <v>1283</v>
      </c>
      <c r="C70" s="356" t="s">
        <v>1285</v>
      </c>
      <c r="D70" s="356">
        <v>21835</v>
      </c>
      <c r="E70" s="356" t="s">
        <v>61</v>
      </c>
      <c r="F70" s="356">
        <v>42</v>
      </c>
      <c r="G70" s="356" t="s">
        <v>1666</v>
      </c>
      <c r="H70" s="358">
        <f>ROWS($G$4:G70)</f>
        <v>67</v>
      </c>
      <c r="I70" s="358" t="str">
        <f>IF('School Level Expenditures'!$B$2=A70,'School Tables'!H70,"")</f>
        <v/>
      </c>
      <c r="J70" s="358" t="str">
        <f>IFERROR(SMALL($I$4:$I$325,ROWS($I$4:I70)),"")</f>
        <v/>
      </c>
      <c r="K70" s="332" t="b">
        <f t="shared" si="5"/>
        <v>0</v>
      </c>
      <c r="L70" s="356">
        <v>555</v>
      </c>
      <c r="M70" s="356" t="s">
        <v>1461</v>
      </c>
      <c r="N70" s="356" t="s">
        <v>1463</v>
      </c>
      <c r="O70" s="356">
        <v>20720</v>
      </c>
      <c r="P70" s="356" t="s">
        <v>1533</v>
      </c>
      <c r="Q70" s="356">
        <v>24</v>
      </c>
      <c r="R70" s="356" t="s">
        <v>1688</v>
      </c>
      <c r="S70" s="358">
        <f>ROWS($Q$4:Q70)</f>
        <v>67</v>
      </c>
      <c r="T70" s="358" t="str">
        <f>IF('School Level Expenditures'!$B$2='School Tables'!L70,'School Tables'!S70,"")</f>
        <v/>
      </c>
      <c r="U70" s="358" t="str">
        <f>IFERROR(SMALL($T$4:$T$75,ROWS($T$4:T70)),"")</f>
        <v/>
      </c>
      <c r="V70" s="332" t="b">
        <f t="shared" si="6"/>
        <v>0</v>
      </c>
      <c r="W70" s="356">
        <v>703</v>
      </c>
      <c r="X70" s="356" t="s">
        <v>1492</v>
      </c>
      <c r="Y70" s="356" t="s">
        <v>1494</v>
      </c>
      <c r="Z70" s="356">
        <v>28395</v>
      </c>
      <c r="AA70" s="356" t="s">
        <v>1534</v>
      </c>
      <c r="AB70" s="356">
        <v>402</v>
      </c>
      <c r="AC70" s="356" t="s">
        <v>1492</v>
      </c>
      <c r="AD70" s="358">
        <f>ROWS($AC$4:AC70)</f>
        <v>67</v>
      </c>
      <c r="AE70" s="358" t="str">
        <f>IF('School Level Expenditures'!$B$2='School Tables'!W70,'School Tables'!AD70,"")</f>
        <v/>
      </c>
      <c r="AF70" s="358" t="str">
        <f>IFERROR(SMALL(AE70:$AE$100,ROWS($AE$4:AE70)),"")</f>
        <v/>
      </c>
      <c r="AG70" s="332" t="b">
        <f t="shared" si="4"/>
        <v>0</v>
      </c>
      <c r="AH70" s="359">
        <v>709</v>
      </c>
      <c r="AI70" s="359">
        <v>709</v>
      </c>
      <c r="AJ70" s="359" t="s">
        <v>1502</v>
      </c>
      <c r="AK70" s="359">
        <v>404</v>
      </c>
      <c r="AL70" s="359" t="s">
        <v>1502</v>
      </c>
    </row>
    <row r="71" spans="1:38" ht="51" x14ac:dyDescent="0.2">
      <c r="A71" s="356">
        <v>112</v>
      </c>
      <c r="B71" s="356" t="s">
        <v>977</v>
      </c>
      <c r="C71" s="356" t="s">
        <v>981</v>
      </c>
      <c r="D71" s="356">
        <v>22230</v>
      </c>
      <c r="E71" s="356" t="s">
        <v>61</v>
      </c>
      <c r="F71" s="356">
        <v>1</v>
      </c>
      <c r="G71" s="356" t="s">
        <v>1668</v>
      </c>
      <c r="H71" s="358">
        <f>ROWS($G$4:G71)</f>
        <v>68</v>
      </c>
      <c r="I71" s="358" t="str">
        <f>IF('School Level Expenditures'!$B$2=A71,'School Tables'!H71,"")</f>
        <v/>
      </c>
      <c r="J71" s="358" t="str">
        <f>IFERROR(SMALL($I$4:$I$325,ROWS($I$4:I71)),"")</f>
        <v/>
      </c>
      <c r="K71" s="332" t="b">
        <f t="shared" si="5"/>
        <v>0</v>
      </c>
      <c r="L71" s="356">
        <v>131</v>
      </c>
      <c r="M71" s="356" t="s">
        <v>1000</v>
      </c>
      <c r="N71" s="356" t="s">
        <v>1001</v>
      </c>
      <c r="O71" s="356">
        <v>27065</v>
      </c>
      <c r="P71" s="356" t="s">
        <v>1533</v>
      </c>
      <c r="Q71" s="356">
        <v>10</v>
      </c>
      <c r="R71" s="356" t="s">
        <v>1699</v>
      </c>
      <c r="S71" s="358">
        <f>ROWS($Q$4:Q71)</f>
        <v>68</v>
      </c>
      <c r="T71" s="358" t="str">
        <f>IF('School Level Expenditures'!$B$2='School Tables'!L71,'School Tables'!S71,"")</f>
        <v/>
      </c>
      <c r="U71" s="358" t="str">
        <f>IFERROR(SMALL($T$4:$T$75,ROWS($T$4:T71)),"")</f>
        <v/>
      </c>
      <c r="V71" s="332" t="b">
        <f t="shared" si="6"/>
        <v>0</v>
      </c>
      <c r="W71" s="356">
        <v>359</v>
      </c>
      <c r="X71" s="356" t="s">
        <v>1267</v>
      </c>
      <c r="Y71" s="356" t="s">
        <v>1269</v>
      </c>
      <c r="Z71" s="356">
        <v>22070</v>
      </c>
      <c r="AA71" s="356" t="s">
        <v>1534</v>
      </c>
      <c r="AB71" s="356">
        <v>64</v>
      </c>
      <c r="AC71" s="356" t="s">
        <v>1747</v>
      </c>
      <c r="AD71" s="358">
        <f>ROWS($AC$4:AC71)</f>
        <v>68</v>
      </c>
      <c r="AE71" s="358" t="str">
        <f>IF('School Level Expenditures'!$B$2='School Tables'!W71,'School Tables'!AD71,"")</f>
        <v/>
      </c>
      <c r="AF71" s="358" t="str">
        <f>IFERROR(SMALL(AE71:$AE$100,ROWS($AE$4:AE71)),"")</f>
        <v/>
      </c>
      <c r="AG71" s="332" t="b">
        <f t="shared" si="4"/>
        <v>0</v>
      </c>
      <c r="AH71">
        <v>215</v>
      </c>
      <c r="AI71">
        <v>215</v>
      </c>
      <c r="AJ71" t="s">
        <v>1083</v>
      </c>
      <c r="AK71">
        <v>50</v>
      </c>
      <c r="AL71" t="s">
        <v>1718</v>
      </c>
    </row>
    <row r="72" spans="1:38" ht="51" x14ac:dyDescent="0.2">
      <c r="A72" s="356">
        <v>149</v>
      </c>
      <c r="B72" s="356" t="s">
        <v>1017</v>
      </c>
      <c r="C72" s="356" t="s">
        <v>1018</v>
      </c>
      <c r="D72" s="356">
        <v>20685</v>
      </c>
      <c r="E72" s="356" t="s">
        <v>61</v>
      </c>
      <c r="F72" s="356">
        <v>67</v>
      </c>
      <c r="G72" s="356" t="s">
        <v>1682</v>
      </c>
      <c r="H72" s="358">
        <f>ROWS($G$4:G72)</f>
        <v>69</v>
      </c>
      <c r="I72" s="358" t="str">
        <f>IF('School Level Expenditures'!$B$2=A72,'School Tables'!H72,"")</f>
        <v/>
      </c>
      <c r="J72" s="358" t="str">
        <f>IFERROR(SMALL($I$4:$I$325,ROWS($I$4:I72)),"")</f>
        <v/>
      </c>
      <c r="K72" s="332" t="b">
        <f t="shared" si="5"/>
        <v>0</v>
      </c>
      <c r="L72" s="356">
        <v>572</v>
      </c>
      <c r="M72" s="356" t="s">
        <v>1472</v>
      </c>
      <c r="N72" s="356" t="s">
        <v>1476</v>
      </c>
      <c r="O72" s="356">
        <v>26955</v>
      </c>
      <c r="P72" s="356" t="s">
        <v>1533</v>
      </c>
      <c r="Q72" s="356">
        <v>63</v>
      </c>
      <c r="R72" s="356" t="s">
        <v>1707</v>
      </c>
      <c r="S72" s="358">
        <f>ROWS($Q$4:Q72)</f>
        <v>69</v>
      </c>
      <c r="T72" s="358" t="str">
        <f>IF('School Level Expenditures'!$B$2='School Tables'!L72,'School Tables'!S72,"")</f>
        <v/>
      </c>
      <c r="U72" s="358" t="str">
        <f>IFERROR(SMALL($T$4:$T$75,ROWS($T$4:T72)),"")</f>
        <v/>
      </c>
      <c r="V72" s="332" t="b">
        <f t="shared" si="6"/>
        <v>0</v>
      </c>
      <c r="W72" s="356">
        <v>423</v>
      </c>
      <c r="X72" s="356" t="s">
        <v>1335</v>
      </c>
      <c r="Y72" s="356" t="s">
        <v>1338</v>
      </c>
      <c r="Z72" s="356">
        <v>22800</v>
      </c>
      <c r="AA72" s="356" t="s">
        <v>1534</v>
      </c>
      <c r="AB72" s="356">
        <v>5</v>
      </c>
      <c r="AC72" s="356" t="s">
        <v>1742</v>
      </c>
      <c r="AD72" s="358">
        <f>ROWS($AC$4:AC72)</f>
        <v>69</v>
      </c>
      <c r="AE72" s="358">
        <f>IF('School Level Expenditures'!$B$2='School Tables'!W72,'School Tables'!AD72,"")</f>
        <v>69</v>
      </c>
      <c r="AF72" s="358" t="str">
        <f>IFERROR(SMALL(AE72:$AE$100,ROWS($AE$4:AE72)),"")</f>
        <v/>
      </c>
      <c r="AG72" s="332" t="b">
        <f t="shared" si="4"/>
        <v>0</v>
      </c>
      <c r="AH72">
        <v>222</v>
      </c>
      <c r="AI72">
        <v>222</v>
      </c>
      <c r="AJ72" t="s">
        <v>1784</v>
      </c>
      <c r="AK72">
        <v>97</v>
      </c>
      <c r="AL72" t="s">
        <v>1785</v>
      </c>
    </row>
    <row r="73" spans="1:38" ht="38.25" x14ac:dyDescent="0.2">
      <c r="A73" s="356">
        <v>33</v>
      </c>
      <c r="B73" s="356" t="s">
        <v>926</v>
      </c>
      <c r="C73" s="356" t="s">
        <v>929</v>
      </c>
      <c r="D73" s="356">
        <v>29010</v>
      </c>
      <c r="E73" s="356" t="s">
        <v>61</v>
      </c>
      <c r="F73" s="356">
        <v>74</v>
      </c>
      <c r="G73" s="356" t="s">
        <v>1674</v>
      </c>
      <c r="H73" s="358">
        <f>ROWS($G$4:G73)</f>
        <v>70</v>
      </c>
      <c r="I73" s="358" t="str">
        <f>IF('School Level Expenditures'!$B$2=A73,'School Tables'!H73,"")</f>
        <v/>
      </c>
      <c r="J73" s="358" t="str">
        <f>IFERROR(SMALL($I$4:$I$325,ROWS($I$4:I73)),"")</f>
        <v/>
      </c>
      <c r="K73" s="332" t="b">
        <f t="shared" si="5"/>
        <v>0</v>
      </c>
      <c r="L73" s="356">
        <v>575</v>
      </c>
      <c r="M73" s="356" t="s">
        <v>1478</v>
      </c>
      <c r="N73" s="356" t="s">
        <v>1479</v>
      </c>
      <c r="O73" s="356">
        <v>21125</v>
      </c>
      <c r="P73" s="356" t="s">
        <v>1533</v>
      </c>
      <c r="Q73" s="356">
        <v>95</v>
      </c>
      <c r="R73" s="356" t="s">
        <v>1716</v>
      </c>
      <c r="S73" s="358">
        <f>ROWS($Q$4:Q73)</f>
        <v>70</v>
      </c>
      <c r="T73" s="358" t="str">
        <f>IF('School Level Expenditures'!$B$2='School Tables'!L73,'School Tables'!S73,"")</f>
        <v/>
      </c>
      <c r="U73" s="358" t="str">
        <f>IFERROR(SMALL($T$4:$T$75,ROWS($T$4:T73)),"")</f>
        <v/>
      </c>
      <c r="V73" s="332" t="b">
        <f t="shared" si="6"/>
        <v>0</v>
      </c>
      <c r="W73" s="356">
        <v>425</v>
      </c>
      <c r="X73" s="356" t="s">
        <v>1340</v>
      </c>
      <c r="Y73" s="356" t="s">
        <v>1342</v>
      </c>
      <c r="Z73" s="356">
        <v>21105</v>
      </c>
      <c r="AA73" s="356" t="s">
        <v>1534</v>
      </c>
      <c r="AB73" s="356">
        <v>28</v>
      </c>
      <c r="AC73" s="356" t="s">
        <v>1754</v>
      </c>
      <c r="AD73" s="358">
        <f>ROWS($AC$4:AC73)</f>
        <v>70</v>
      </c>
      <c r="AE73" s="358" t="str">
        <f>IF('School Level Expenditures'!$B$2='School Tables'!W73,'School Tables'!AD73,"")</f>
        <v/>
      </c>
      <c r="AF73" s="358" t="str">
        <f>IFERROR(SMALL(AE73:$AE$100,ROWS($AE$4:AE73)),"")</f>
        <v/>
      </c>
      <c r="AG73" s="332" t="b">
        <f t="shared" si="4"/>
        <v>0</v>
      </c>
      <c r="AH73">
        <v>223</v>
      </c>
      <c r="AI73">
        <v>223</v>
      </c>
      <c r="AJ73" t="s">
        <v>1085</v>
      </c>
      <c r="AK73">
        <v>55</v>
      </c>
      <c r="AL73" t="s">
        <v>1721</v>
      </c>
    </row>
    <row r="74" spans="1:38" ht="51" x14ac:dyDescent="0.2">
      <c r="A74" s="356">
        <v>131</v>
      </c>
      <c r="B74" s="356" t="s">
        <v>1000</v>
      </c>
      <c r="C74" s="356" t="s">
        <v>1003</v>
      </c>
      <c r="D74" s="356">
        <v>20370</v>
      </c>
      <c r="E74" s="356" t="s">
        <v>61</v>
      </c>
      <c r="F74" s="356">
        <v>10</v>
      </c>
      <c r="G74" s="356" t="s">
        <v>1699</v>
      </c>
      <c r="H74" s="358">
        <f>ROWS($G$4:G74)</f>
        <v>71</v>
      </c>
      <c r="I74" s="358" t="str">
        <f>IF('School Level Expenditures'!$B$2=A74,'School Tables'!H74,"")</f>
        <v/>
      </c>
      <c r="J74" s="358" t="str">
        <f>IFERROR(SMALL($I$4:$I$325,ROWS($I$4:I74)),"")</f>
        <v/>
      </c>
      <c r="K74" s="332" t="b">
        <f t="shared" si="5"/>
        <v>0</v>
      </c>
      <c r="L74" s="356">
        <v>582</v>
      </c>
      <c r="M74" s="356" t="s">
        <v>1485</v>
      </c>
      <c r="N74" s="356" t="s">
        <v>1489</v>
      </c>
      <c r="O74" s="356">
        <v>22955</v>
      </c>
      <c r="P74" s="356" t="s">
        <v>1533</v>
      </c>
      <c r="Q74" s="356">
        <v>59</v>
      </c>
      <c r="R74" s="356" t="s">
        <v>1760</v>
      </c>
      <c r="S74" s="358">
        <f>ROWS($Q$4:Q74)</f>
        <v>71</v>
      </c>
      <c r="T74" s="358" t="str">
        <f>IF('School Level Expenditures'!$B$2='School Tables'!L74,'School Tables'!S74,"")</f>
        <v/>
      </c>
      <c r="U74" s="358" t="str">
        <f>IFERROR(SMALL($T$4:$T$75,ROWS($T$4:T74)),"")</f>
        <v/>
      </c>
      <c r="V74" s="332" t="b">
        <f t="shared" si="6"/>
        <v>0</v>
      </c>
      <c r="W74" s="356">
        <v>427</v>
      </c>
      <c r="X74" s="356" t="s">
        <v>1344</v>
      </c>
      <c r="Y74" s="356" t="s">
        <v>1346</v>
      </c>
      <c r="Z74" s="356">
        <v>22620</v>
      </c>
      <c r="AA74" s="356" t="s">
        <v>1534</v>
      </c>
      <c r="AB74" s="356">
        <v>53</v>
      </c>
      <c r="AC74" s="356" t="s">
        <v>1664</v>
      </c>
      <c r="AD74" s="358">
        <f>ROWS($AC$4:AC74)</f>
        <v>71</v>
      </c>
      <c r="AE74" s="358" t="str">
        <f>IF('School Level Expenditures'!$B$2='School Tables'!W74,'School Tables'!AD74,"")</f>
        <v/>
      </c>
      <c r="AF74" s="358" t="str">
        <f>IFERROR(SMALL(AE74:$AE$100,ROWS($AE$4:AE74)),"")</f>
        <v/>
      </c>
      <c r="AG74" s="332" t="b">
        <f t="shared" si="4"/>
        <v>0</v>
      </c>
      <c r="AH74">
        <v>225</v>
      </c>
      <c r="AI74">
        <v>225</v>
      </c>
      <c r="AJ74" t="s">
        <v>1088</v>
      </c>
      <c r="AK74">
        <v>90</v>
      </c>
      <c r="AL74" t="s">
        <v>1663</v>
      </c>
    </row>
    <row r="75" spans="1:38" ht="25.5" x14ac:dyDescent="0.2">
      <c r="A75" s="356">
        <v>153</v>
      </c>
      <c r="B75" s="356" t="s">
        <v>1019</v>
      </c>
      <c r="C75" s="356" t="s">
        <v>1020</v>
      </c>
      <c r="D75" s="356">
        <v>20565</v>
      </c>
      <c r="E75" s="356" t="s">
        <v>61</v>
      </c>
      <c r="F75" s="356">
        <v>16</v>
      </c>
      <c r="G75" s="356" t="s">
        <v>1702</v>
      </c>
      <c r="H75" s="358">
        <f>ROWS($G$4:G75)</f>
        <v>72</v>
      </c>
      <c r="I75" s="358" t="str">
        <f>IF('School Level Expenditures'!$B$2=A75,'School Tables'!H75,"")</f>
        <v/>
      </c>
      <c r="J75" s="358" t="str">
        <f>IFERROR(SMALL($I$4:$I$325,ROWS($I$4:I75)),"")</f>
        <v/>
      </c>
      <c r="K75" s="332" t="b">
        <f t="shared" si="5"/>
        <v>0</v>
      </c>
      <c r="L75" s="356">
        <v>473</v>
      </c>
      <c r="M75" s="356" t="s">
        <v>1395</v>
      </c>
      <c r="N75" s="356" t="s">
        <v>1396</v>
      </c>
      <c r="O75" s="356">
        <v>22850</v>
      </c>
      <c r="P75" s="356" t="s">
        <v>1533</v>
      </c>
      <c r="Q75" s="356">
        <v>57</v>
      </c>
      <c r="R75" s="356" t="s">
        <v>1701</v>
      </c>
      <c r="S75" s="358">
        <f>ROWS($Q$4:Q75)</f>
        <v>72</v>
      </c>
      <c r="T75" s="358" t="str">
        <f>IF('School Level Expenditures'!$B$2='School Tables'!L75,'School Tables'!S75,"")</f>
        <v/>
      </c>
      <c r="U75" s="358" t="str">
        <f>IFERROR(SMALL($T$4:$T$75,ROWS($T$4:T75)),"")</f>
        <v/>
      </c>
      <c r="V75" s="332" t="b">
        <f t="shared" si="6"/>
        <v>0</v>
      </c>
      <c r="W75" s="356">
        <v>999</v>
      </c>
      <c r="X75" s="356" t="s">
        <v>1766</v>
      </c>
      <c r="Y75" s="356" t="s">
        <v>1766</v>
      </c>
      <c r="Z75" s="356">
        <v>20395</v>
      </c>
      <c r="AA75" s="356" t="s">
        <v>1534</v>
      </c>
      <c r="AB75" s="356">
        <v>202</v>
      </c>
      <c r="AC75" s="356" t="s">
        <v>1766</v>
      </c>
      <c r="AD75" s="358">
        <f>ROWS($AC$4:AC75)</f>
        <v>72</v>
      </c>
      <c r="AE75" s="358" t="str">
        <f>IF('School Level Expenditures'!$B$2='School Tables'!W75,'School Tables'!AD75,"")</f>
        <v/>
      </c>
      <c r="AF75" s="358" t="str">
        <f>IFERROR(SMALL(AE75:$AE$100,ROWS($AE$4:AE75)),"")</f>
        <v/>
      </c>
      <c r="AG75" s="332" t="b">
        <f t="shared" si="4"/>
        <v>0</v>
      </c>
      <c r="AH75">
        <v>227</v>
      </c>
      <c r="AI75">
        <v>227</v>
      </c>
      <c r="AJ75" t="s">
        <v>1091</v>
      </c>
      <c r="AK75">
        <v>21</v>
      </c>
      <c r="AL75" t="s">
        <v>1737</v>
      </c>
    </row>
    <row r="76" spans="1:38" ht="25.5" x14ac:dyDescent="0.2">
      <c r="A76" s="356">
        <v>461</v>
      </c>
      <c r="B76" s="356" t="s">
        <v>1376</v>
      </c>
      <c r="C76" s="356" t="s">
        <v>1377</v>
      </c>
      <c r="D76" s="356">
        <v>22650</v>
      </c>
      <c r="E76" s="356" t="s">
        <v>61</v>
      </c>
      <c r="F76" s="356">
        <v>54</v>
      </c>
      <c r="G76" s="356" t="s">
        <v>1689</v>
      </c>
      <c r="H76" s="358">
        <f>ROWS($G$4:G76)</f>
        <v>73</v>
      </c>
      <c r="I76" s="358" t="str">
        <f>IF('School Level Expenditures'!$B$2=A76,'School Tables'!H76,"")</f>
        <v/>
      </c>
      <c r="J76" s="358" t="str">
        <f>IFERROR(SMALL($I$4:$I$325,ROWS($I$4:I76)),"")</f>
        <v/>
      </c>
      <c r="K76" s="332" t="b">
        <f t="shared" si="5"/>
        <v>0</v>
      </c>
      <c r="L76" s="333"/>
      <c r="M76" s="333"/>
      <c r="N76" s="333"/>
      <c r="O76" s="287"/>
      <c r="P76" s="333"/>
      <c r="Q76" s="333"/>
      <c r="R76" s="333"/>
      <c r="S76" s="333"/>
      <c r="T76" s="333"/>
      <c r="U76" s="333"/>
      <c r="V76" s="333"/>
      <c r="W76" s="356">
        <v>437</v>
      </c>
      <c r="X76" s="356" t="s">
        <v>1352</v>
      </c>
      <c r="Y76" s="356" t="s">
        <v>1354</v>
      </c>
      <c r="Z76" s="356">
        <v>26500</v>
      </c>
      <c r="AA76" s="356" t="s">
        <v>1534</v>
      </c>
      <c r="AB76" s="356">
        <v>7</v>
      </c>
      <c r="AC76" s="356" t="s">
        <v>1693</v>
      </c>
      <c r="AD76" s="358">
        <f>ROWS($AC$4:AC76)</f>
        <v>73</v>
      </c>
      <c r="AE76" s="358" t="str">
        <f>IF('School Level Expenditures'!$B$2='School Tables'!W76,'School Tables'!AD76,"")</f>
        <v/>
      </c>
      <c r="AF76" s="358" t="str">
        <f>IFERROR(SMALL(AE76:$AE$100,ROWS($AE$4:AE76)),"")</f>
        <v/>
      </c>
      <c r="AG76" s="332" t="b">
        <f t="shared" si="4"/>
        <v>0</v>
      </c>
      <c r="AH76">
        <v>233</v>
      </c>
      <c r="AI76">
        <v>233</v>
      </c>
      <c r="AJ76" t="s">
        <v>1093</v>
      </c>
      <c r="AK76">
        <v>70</v>
      </c>
      <c r="AL76" t="s">
        <v>1679</v>
      </c>
    </row>
    <row r="77" spans="1:38" ht="25.5" x14ac:dyDescent="0.2">
      <c r="A77" s="356">
        <v>203</v>
      </c>
      <c r="B77" s="356" t="s">
        <v>1068</v>
      </c>
      <c r="C77" s="356" t="s">
        <v>1069</v>
      </c>
      <c r="D77" s="356">
        <v>20745</v>
      </c>
      <c r="E77" s="356" t="s">
        <v>61</v>
      </c>
      <c r="F77" s="356">
        <v>20</v>
      </c>
      <c r="G77" s="356" t="s">
        <v>1703</v>
      </c>
      <c r="H77" s="358">
        <f>ROWS($G$4:G77)</f>
        <v>74</v>
      </c>
      <c r="I77" s="358" t="str">
        <f>IF('School Level Expenditures'!$B$2=A77,'School Tables'!H77,"")</f>
        <v/>
      </c>
      <c r="J77" s="358" t="str">
        <f>IFERROR(SMALL($I$4:$I$325,ROWS($I$4:I77)),"")</f>
        <v/>
      </c>
      <c r="K77" s="332" t="b">
        <f t="shared" si="5"/>
        <v>0</v>
      </c>
      <c r="L77" s="332"/>
      <c r="M77" s="332"/>
      <c r="N77" s="332"/>
      <c r="O77" s="287"/>
      <c r="P77" s="333"/>
      <c r="Q77" s="333"/>
      <c r="R77" s="333"/>
      <c r="S77" s="333"/>
      <c r="T77" s="333"/>
      <c r="U77" s="333"/>
      <c r="V77" s="333"/>
      <c r="W77" s="356">
        <v>439</v>
      </c>
      <c r="X77" s="356" t="s">
        <v>1355</v>
      </c>
      <c r="Y77" s="356" t="s">
        <v>1358</v>
      </c>
      <c r="Z77" s="356">
        <v>22500</v>
      </c>
      <c r="AA77" s="356" t="s">
        <v>1534</v>
      </c>
      <c r="AB77" s="356">
        <v>51</v>
      </c>
      <c r="AC77" s="356" t="s">
        <v>1755</v>
      </c>
      <c r="AD77" s="358">
        <f>ROWS($AC$4:AC77)</f>
        <v>74</v>
      </c>
      <c r="AE77" s="358" t="str">
        <f>IF('School Level Expenditures'!$B$2='School Tables'!W77,'School Tables'!AD77,"")</f>
        <v/>
      </c>
      <c r="AF77" s="358" t="str">
        <f>IFERROR(SMALL(AE77:$AE$100,ROWS($AE$4:AE77)),"")</f>
        <v/>
      </c>
      <c r="AG77" s="332" t="b">
        <f t="shared" si="4"/>
        <v>0</v>
      </c>
      <c r="AH77">
        <v>235</v>
      </c>
      <c r="AI77">
        <v>235</v>
      </c>
      <c r="AJ77" t="s">
        <v>1095</v>
      </c>
      <c r="AK77">
        <v>29</v>
      </c>
      <c r="AL77" t="s">
        <v>1691</v>
      </c>
    </row>
    <row r="78" spans="1:38" ht="51" x14ac:dyDescent="0.2">
      <c r="A78" s="356">
        <v>208</v>
      </c>
      <c r="B78" s="356" t="s">
        <v>1072</v>
      </c>
      <c r="C78" s="356" t="s">
        <v>1073</v>
      </c>
      <c r="D78" s="356">
        <v>22395</v>
      </c>
      <c r="E78" s="356" t="s">
        <v>61</v>
      </c>
      <c r="F78" s="356">
        <v>49</v>
      </c>
      <c r="G78" s="356" t="s">
        <v>1687</v>
      </c>
      <c r="H78" s="358">
        <f>ROWS($G$4:G78)</f>
        <v>75</v>
      </c>
      <c r="I78" s="358" t="str">
        <f>IF('School Level Expenditures'!$B$2=A78,'School Tables'!H78,"")</f>
        <v/>
      </c>
      <c r="J78" s="358" t="str">
        <f>IFERROR(SMALL($I$4:$I$325,ROWS($I$4:I78)),"")</f>
        <v/>
      </c>
      <c r="K78" s="332" t="b">
        <f t="shared" si="5"/>
        <v>0</v>
      </c>
      <c r="L78" s="331"/>
      <c r="M78" s="331"/>
      <c r="N78" s="331"/>
      <c r="O78" s="287"/>
      <c r="P78" s="332"/>
      <c r="Q78" s="332"/>
      <c r="R78" s="332"/>
      <c r="S78" s="332"/>
      <c r="T78" s="332"/>
      <c r="U78" s="332"/>
      <c r="V78" s="332"/>
      <c r="W78" s="356">
        <v>428</v>
      </c>
      <c r="X78" s="356" t="s">
        <v>1348</v>
      </c>
      <c r="Y78" s="356" t="s">
        <v>1349</v>
      </c>
      <c r="Z78" s="356">
        <v>22350</v>
      </c>
      <c r="AA78" s="356" t="s">
        <v>1534</v>
      </c>
      <c r="AB78" s="356">
        <v>48</v>
      </c>
      <c r="AC78" s="356" t="s">
        <v>1684</v>
      </c>
      <c r="AD78" s="358">
        <f>ROWS($AC$4:AC78)</f>
        <v>75</v>
      </c>
      <c r="AE78" s="358" t="str">
        <f>IF('School Level Expenditures'!$B$2='School Tables'!W78,'School Tables'!AD78,"")</f>
        <v/>
      </c>
      <c r="AF78" s="358" t="str">
        <f>IFERROR(SMALL(AE78:$AE$100,ROWS($AE$4:AE78)),"")</f>
        <v/>
      </c>
      <c r="AG78" s="332" t="b">
        <f t="shared" si="4"/>
        <v>0</v>
      </c>
      <c r="AH78">
        <v>236</v>
      </c>
      <c r="AI78">
        <v>236</v>
      </c>
      <c r="AJ78" t="s">
        <v>1786</v>
      </c>
      <c r="AK78">
        <v>9</v>
      </c>
      <c r="AL78" t="s">
        <v>1694</v>
      </c>
    </row>
    <row r="79" spans="1:38" ht="25.5" x14ac:dyDescent="0.2">
      <c r="A79" s="356">
        <v>189</v>
      </c>
      <c r="B79" s="356" t="s">
        <v>1055</v>
      </c>
      <c r="C79" s="356" t="s">
        <v>1056</v>
      </c>
      <c r="D79" s="356">
        <v>20525</v>
      </c>
      <c r="E79" s="356" t="s">
        <v>61</v>
      </c>
      <c r="F79" s="356">
        <v>83</v>
      </c>
      <c r="G79" s="356" t="s">
        <v>1704</v>
      </c>
      <c r="H79" s="358">
        <f>ROWS($G$4:G79)</f>
        <v>76</v>
      </c>
      <c r="I79" s="358" t="str">
        <f>IF('School Level Expenditures'!$B$2=A79,'School Tables'!H79,"")</f>
        <v/>
      </c>
      <c r="J79" s="358" t="str">
        <f>IFERROR(SMALL($I$4:$I$325,ROWS($I$4:I79)),"")</f>
        <v/>
      </c>
      <c r="K79" s="332" t="b">
        <f t="shared" si="5"/>
        <v>0</v>
      </c>
      <c r="L79" s="331"/>
      <c r="M79" s="331"/>
      <c r="N79" s="331"/>
      <c r="O79" s="287"/>
      <c r="P79" s="333"/>
      <c r="Q79" s="333"/>
      <c r="R79" s="333"/>
      <c r="S79" s="333"/>
      <c r="T79" s="333"/>
      <c r="U79" s="333"/>
      <c r="V79" s="333"/>
      <c r="W79" s="356">
        <v>449</v>
      </c>
      <c r="X79" s="356" t="s">
        <v>1363</v>
      </c>
      <c r="Y79" s="356" t="s">
        <v>1368</v>
      </c>
      <c r="Z79" s="356">
        <v>22565</v>
      </c>
      <c r="AA79" s="356" t="s">
        <v>1534</v>
      </c>
      <c r="AB79" s="356">
        <v>52</v>
      </c>
      <c r="AC79" s="356" t="s">
        <v>1739</v>
      </c>
      <c r="AD79" s="358">
        <f>ROWS($AC$4:AC79)</f>
        <v>76</v>
      </c>
      <c r="AE79" s="358" t="str">
        <f>IF('School Level Expenditures'!$B$2='School Tables'!W79,'School Tables'!AD79,"")</f>
        <v/>
      </c>
      <c r="AF79" s="358" t="str">
        <f>IFERROR(SMALL(AE79:$AE$100,ROWS($AE$4:AE79)),"")</f>
        <v/>
      </c>
      <c r="AG79" s="332" t="b">
        <f t="shared" si="4"/>
        <v>0</v>
      </c>
      <c r="AH79">
        <v>238</v>
      </c>
      <c r="AI79">
        <v>238</v>
      </c>
      <c r="AJ79" t="s">
        <v>1097</v>
      </c>
      <c r="AK79">
        <v>23</v>
      </c>
      <c r="AL79" t="s">
        <v>1676</v>
      </c>
    </row>
    <row r="80" spans="1:38" ht="25.5" x14ac:dyDescent="0.2">
      <c r="A80" s="356">
        <v>285</v>
      </c>
      <c r="B80" s="356" t="s">
        <v>1166</v>
      </c>
      <c r="C80" s="356" t="s">
        <v>1171</v>
      </c>
      <c r="D80" s="356">
        <v>21290</v>
      </c>
      <c r="E80" s="356" t="s">
        <v>61</v>
      </c>
      <c r="F80" s="356">
        <v>30</v>
      </c>
      <c r="G80" s="356" t="s">
        <v>1705</v>
      </c>
      <c r="H80" s="358">
        <f>ROWS($G$4:G80)</f>
        <v>77</v>
      </c>
      <c r="I80" s="358" t="str">
        <f>IF('School Level Expenditures'!$B$2=A80,'School Tables'!H80,"")</f>
        <v/>
      </c>
      <c r="J80" s="358" t="str">
        <f>IFERROR(SMALL($I$4:$I$325,ROWS($I$4:I80)),"")</f>
        <v/>
      </c>
      <c r="K80" s="332" t="b">
        <f t="shared" si="5"/>
        <v>0</v>
      </c>
      <c r="L80" s="331"/>
      <c r="M80" s="331"/>
      <c r="N80" s="331"/>
      <c r="O80" s="287"/>
      <c r="P80" s="333"/>
      <c r="Q80" s="333"/>
      <c r="R80" s="333"/>
      <c r="S80" s="333"/>
      <c r="T80" s="333"/>
      <c r="U80" s="333"/>
      <c r="V80" s="333"/>
      <c r="W80" s="356">
        <v>450</v>
      </c>
      <c r="X80" s="356" t="s">
        <v>1369</v>
      </c>
      <c r="Y80" s="356" t="s">
        <v>1370</v>
      </c>
      <c r="Z80" s="356">
        <v>21395</v>
      </c>
      <c r="AA80" s="356" t="s">
        <v>1534</v>
      </c>
      <c r="AB80" s="356">
        <v>35</v>
      </c>
      <c r="AC80" s="356" t="s">
        <v>1680</v>
      </c>
      <c r="AD80" s="358">
        <f>ROWS($AC$4:AC80)</f>
        <v>77</v>
      </c>
      <c r="AE80" s="358" t="str">
        <f>IF('School Level Expenditures'!$B$2='School Tables'!W80,'School Tables'!AD80,"")</f>
        <v/>
      </c>
      <c r="AF80" s="358" t="str">
        <f>IFERROR(SMALL(AE80:$AE$100,ROWS($AE$4:AE80)),"")</f>
        <v/>
      </c>
      <c r="AG80" s="332" t="b">
        <f t="shared" si="4"/>
        <v>0</v>
      </c>
      <c r="AH80">
        <v>245</v>
      </c>
      <c r="AI80">
        <v>245</v>
      </c>
      <c r="AJ80" t="s">
        <v>1101</v>
      </c>
      <c r="AK80">
        <v>24</v>
      </c>
      <c r="AL80" t="s">
        <v>1688</v>
      </c>
    </row>
    <row r="81" spans="1:38" ht="38.25" x14ac:dyDescent="0.2">
      <c r="A81" s="356">
        <v>343</v>
      </c>
      <c r="B81" s="356" t="s">
        <v>1236</v>
      </c>
      <c r="C81" s="356" t="s">
        <v>1239</v>
      </c>
      <c r="D81" s="356">
        <v>21325</v>
      </c>
      <c r="E81" s="356" t="s">
        <v>61</v>
      </c>
      <c r="F81" s="356">
        <v>62</v>
      </c>
      <c r="G81" s="356" t="s">
        <v>1685</v>
      </c>
      <c r="H81" s="358">
        <f>ROWS($G$4:G81)</f>
        <v>78</v>
      </c>
      <c r="I81" s="358" t="str">
        <f>IF('School Level Expenditures'!$B$2=A81,'School Tables'!H81,"")</f>
        <v/>
      </c>
      <c r="J81" s="358" t="str">
        <f>IFERROR(SMALL($I$4:$I$325,ROWS($I$4:I81)),"")</f>
        <v/>
      </c>
      <c r="K81" s="332" t="b">
        <f t="shared" si="5"/>
        <v>0</v>
      </c>
      <c r="L81" s="331"/>
      <c r="M81" s="331"/>
      <c r="N81" s="331"/>
      <c r="O81" s="287"/>
      <c r="P81" s="332"/>
      <c r="Q81" s="332"/>
      <c r="R81" s="332"/>
      <c r="S81" s="332"/>
      <c r="T81" s="332"/>
      <c r="U81" s="332"/>
      <c r="V81" s="332"/>
      <c r="W81" s="356">
        <v>970</v>
      </c>
      <c r="X81" s="356" t="s">
        <v>1623</v>
      </c>
      <c r="Y81" s="356" t="s">
        <v>1624</v>
      </c>
      <c r="Z81" s="356">
        <v>28215</v>
      </c>
      <c r="AA81" s="356" t="s">
        <v>1534</v>
      </c>
      <c r="AB81" s="356">
        <v>301</v>
      </c>
      <c r="AC81" s="356" t="s">
        <v>1623</v>
      </c>
      <c r="AD81" s="358">
        <f>ROWS($AC$4:AC81)</f>
        <v>78</v>
      </c>
      <c r="AE81" s="358" t="str">
        <f>IF('School Level Expenditures'!$B$2='School Tables'!W81,'School Tables'!AD81,"")</f>
        <v/>
      </c>
      <c r="AF81" s="358" t="str">
        <f>IFERROR(SMALL(AE81:$AE$100,ROWS($AE$4:AE81)),"")</f>
        <v/>
      </c>
      <c r="AG81" s="332" t="b">
        <f t="shared" si="4"/>
        <v>0</v>
      </c>
      <c r="AH81">
        <v>247</v>
      </c>
      <c r="AI81">
        <v>247</v>
      </c>
      <c r="AJ81" t="s">
        <v>1103</v>
      </c>
      <c r="AK81">
        <v>103</v>
      </c>
      <c r="AL81" t="s">
        <v>1733</v>
      </c>
    </row>
    <row r="82" spans="1:38" ht="25.5" x14ac:dyDescent="0.2">
      <c r="A82" s="356">
        <v>165</v>
      </c>
      <c r="B82" s="356" t="s">
        <v>1021</v>
      </c>
      <c r="C82" s="356" t="s">
        <v>1022</v>
      </c>
      <c r="D82" s="356">
        <v>26510</v>
      </c>
      <c r="E82" s="356" t="s">
        <v>61</v>
      </c>
      <c r="F82" s="356">
        <v>14</v>
      </c>
      <c r="G82" s="356" t="s">
        <v>1706</v>
      </c>
      <c r="H82" s="358">
        <f>ROWS($G$4:G82)</f>
        <v>79</v>
      </c>
      <c r="I82" s="358" t="str">
        <f>IF('School Level Expenditures'!$B$2=A82,'School Tables'!H82,"")</f>
        <v/>
      </c>
      <c r="J82" s="358" t="str">
        <f>IFERROR(SMALL($I$4:$I$325,ROWS($I$4:I82)),"")</f>
        <v/>
      </c>
      <c r="K82" s="332" t="b">
        <f t="shared" si="5"/>
        <v>0</v>
      </c>
      <c r="P82" s="333"/>
      <c r="Q82" s="333"/>
      <c r="R82" s="333"/>
      <c r="S82" s="333"/>
      <c r="T82" s="333"/>
      <c r="U82" s="333"/>
      <c r="V82" s="333"/>
      <c r="W82" s="356">
        <v>453</v>
      </c>
      <c r="X82" s="356" t="s">
        <v>1372</v>
      </c>
      <c r="Y82" s="356" t="s">
        <v>1374</v>
      </c>
      <c r="Z82" s="356">
        <v>21390</v>
      </c>
      <c r="AA82" s="356" t="s">
        <v>1534</v>
      </c>
      <c r="AB82" s="356">
        <v>33</v>
      </c>
      <c r="AC82" s="356" t="s">
        <v>1734</v>
      </c>
      <c r="AD82" s="358">
        <f>ROWS($AC$4:AC82)</f>
        <v>79</v>
      </c>
      <c r="AE82" s="358" t="str">
        <f>IF('School Level Expenditures'!$B$2='School Tables'!W82,'School Tables'!AD82,"")</f>
        <v/>
      </c>
      <c r="AF82" s="358" t="str">
        <f>IFERROR(SMALL(AE82:$AE$100,ROWS($AE$4:AE82)),"")</f>
        <v/>
      </c>
      <c r="AG82" s="332" t="b">
        <f t="shared" si="4"/>
        <v>0</v>
      </c>
      <c r="AH82">
        <v>251</v>
      </c>
      <c r="AI82">
        <v>0</v>
      </c>
      <c r="AJ82" t="s">
        <v>1105</v>
      </c>
      <c r="AK82">
        <v>34</v>
      </c>
      <c r="AL82" t="s">
        <v>1727</v>
      </c>
    </row>
    <row r="83" spans="1:38" ht="38.25" x14ac:dyDescent="0.2">
      <c r="A83" s="356">
        <v>167</v>
      </c>
      <c r="B83" s="356" t="s">
        <v>1023</v>
      </c>
      <c r="C83" s="356" t="s">
        <v>1024</v>
      </c>
      <c r="D83" s="356">
        <v>22600</v>
      </c>
      <c r="E83" s="356" t="s">
        <v>61</v>
      </c>
      <c r="F83" s="356">
        <v>53</v>
      </c>
      <c r="G83" s="356" t="s">
        <v>1664</v>
      </c>
      <c r="H83" s="358">
        <f>ROWS($G$4:G83)</f>
        <v>80</v>
      </c>
      <c r="I83" s="358" t="str">
        <f>IF('School Level Expenditures'!$B$2=A83,'School Tables'!H83,"")</f>
        <v/>
      </c>
      <c r="J83" s="358" t="str">
        <f>IFERROR(SMALL($I$4:$I$325,ROWS($I$4:I83)),"")</f>
        <v/>
      </c>
      <c r="K83" s="332" t="b">
        <f t="shared" si="5"/>
        <v>0</v>
      </c>
      <c r="P83" s="332"/>
      <c r="Q83" s="332"/>
      <c r="R83" s="332"/>
      <c r="S83" s="332"/>
      <c r="T83" s="332"/>
      <c r="U83" s="332"/>
      <c r="V83" s="332"/>
      <c r="W83" s="356">
        <v>457</v>
      </c>
      <c r="X83" s="356" t="s">
        <v>1618</v>
      </c>
      <c r="Y83" s="356" t="s">
        <v>1622</v>
      </c>
      <c r="Z83" s="356">
        <v>29197</v>
      </c>
      <c r="AA83" s="356" t="s">
        <v>1534</v>
      </c>
      <c r="AB83" s="356">
        <v>78</v>
      </c>
      <c r="AC83" s="356" t="s">
        <v>1758</v>
      </c>
      <c r="AD83" s="358">
        <f>ROWS($AC$4:AC83)</f>
        <v>80</v>
      </c>
      <c r="AE83" s="358" t="str">
        <f>IF('School Level Expenditures'!$B$2='School Tables'!W83,'School Tables'!AD83,"")</f>
        <v/>
      </c>
      <c r="AF83" s="358" t="str">
        <f>IFERROR(SMALL(AE83:$AE$100,ROWS($AE$4:AE83)),"")</f>
        <v/>
      </c>
      <c r="AG83" s="332" t="b">
        <f t="shared" si="4"/>
        <v>0</v>
      </c>
      <c r="AH83">
        <v>255</v>
      </c>
      <c r="AI83">
        <v>255</v>
      </c>
      <c r="AJ83" t="s">
        <v>1109</v>
      </c>
      <c r="AK83">
        <v>92</v>
      </c>
      <c r="AL83" t="s">
        <v>1728</v>
      </c>
    </row>
    <row r="84" spans="1:38" ht="38.25" x14ac:dyDescent="0.2">
      <c r="A84" s="356">
        <v>131</v>
      </c>
      <c r="B84" s="356" t="s">
        <v>1000</v>
      </c>
      <c r="C84" s="356" t="s">
        <v>1002</v>
      </c>
      <c r="D84" s="356">
        <v>28465</v>
      </c>
      <c r="E84" s="356" t="s">
        <v>61</v>
      </c>
      <c r="F84" s="356">
        <v>10</v>
      </c>
      <c r="G84" s="356" t="s">
        <v>1699</v>
      </c>
      <c r="H84" s="358">
        <f>ROWS($G$4:G84)</f>
        <v>81</v>
      </c>
      <c r="I84" s="358" t="str">
        <f>IF('School Level Expenditures'!$B$2=A84,'School Tables'!H84,"")</f>
        <v/>
      </c>
      <c r="J84" s="358" t="str">
        <f>IFERROR(SMALL($I$4:$I$325,ROWS($I$4:I84)),"")</f>
        <v/>
      </c>
      <c r="K84" s="332" t="b">
        <f t="shared" si="5"/>
        <v>0</v>
      </c>
      <c r="P84" s="333"/>
      <c r="Q84" s="333"/>
      <c r="R84" s="333"/>
      <c r="S84" s="333"/>
      <c r="T84" s="333"/>
      <c r="U84" s="333"/>
      <c r="V84" s="333"/>
      <c r="W84" s="356">
        <v>473</v>
      </c>
      <c r="X84" s="356" t="s">
        <v>1395</v>
      </c>
      <c r="Y84" s="356" t="s">
        <v>1400</v>
      </c>
      <c r="Z84" s="356">
        <v>22880</v>
      </c>
      <c r="AA84" s="356" t="s">
        <v>1534</v>
      </c>
      <c r="AB84" s="356">
        <v>57</v>
      </c>
      <c r="AC84" s="356" t="s">
        <v>1701</v>
      </c>
      <c r="AD84" s="358">
        <f>ROWS($AC$4:AC84)</f>
        <v>81</v>
      </c>
      <c r="AE84" s="358" t="str">
        <f>IF('School Level Expenditures'!$B$2='School Tables'!W84,'School Tables'!AD84,"")</f>
        <v/>
      </c>
      <c r="AF84" s="358" t="str">
        <f>IFERROR(SMALL(AE84:$AE$100,ROWS($AE$4:AE84)),"")</f>
        <v/>
      </c>
      <c r="AG84" s="332" t="b">
        <f t="shared" si="4"/>
        <v>0</v>
      </c>
      <c r="AH84">
        <v>257</v>
      </c>
      <c r="AI84">
        <v>257</v>
      </c>
      <c r="AJ84" t="s">
        <v>1113</v>
      </c>
      <c r="AK84">
        <v>48</v>
      </c>
      <c r="AL84" t="s">
        <v>1684</v>
      </c>
    </row>
    <row r="85" spans="1:38" ht="38.25" x14ac:dyDescent="0.2">
      <c r="A85" s="356">
        <v>171</v>
      </c>
      <c r="B85" s="356" t="s">
        <v>1025</v>
      </c>
      <c r="C85" s="356" t="s">
        <v>1026</v>
      </c>
      <c r="D85" s="356">
        <v>20735</v>
      </c>
      <c r="E85" s="356" t="s">
        <v>61</v>
      </c>
      <c r="F85" s="356">
        <v>20</v>
      </c>
      <c r="G85" s="356" t="s">
        <v>1703</v>
      </c>
      <c r="H85" s="358">
        <f>ROWS($G$4:G85)</f>
        <v>82</v>
      </c>
      <c r="I85" s="358" t="str">
        <f>IF('School Level Expenditures'!$B$2=A85,'School Tables'!H85,"")</f>
        <v/>
      </c>
      <c r="J85" s="358" t="str">
        <f>IFERROR(SMALL($I$4:$I$325,ROWS($I$4:I85)),"")</f>
        <v/>
      </c>
      <c r="K85" s="332" t="b">
        <f t="shared" si="5"/>
        <v>0</v>
      </c>
      <c r="P85" s="333"/>
      <c r="Q85" s="333"/>
      <c r="R85" s="333"/>
      <c r="S85" s="333"/>
      <c r="T85" s="333"/>
      <c r="U85" s="333"/>
      <c r="V85" s="333"/>
      <c r="W85" s="356">
        <v>476</v>
      </c>
      <c r="X85" s="356" t="s">
        <v>1403</v>
      </c>
      <c r="Y85" s="356" t="s">
        <v>1404</v>
      </c>
      <c r="Z85" s="356">
        <v>20620</v>
      </c>
      <c r="AA85" s="356" t="s">
        <v>1534</v>
      </c>
      <c r="AB85" s="356">
        <v>17</v>
      </c>
      <c r="AC85" s="356" t="s">
        <v>1698</v>
      </c>
      <c r="AD85" s="358">
        <f>ROWS($AC$4:AC85)</f>
        <v>82</v>
      </c>
      <c r="AE85" s="358" t="str">
        <f>IF('School Level Expenditures'!$B$2='School Tables'!W85,'School Tables'!AD85,"")</f>
        <v/>
      </c>
      <c r="AF85" s="358" t="str">
        <f>IFERROR(SMALL(AE85:$AE$100,ROWS($AE$4:AE85)),"")</f>
        <v/>
      </c>
      <c r="AG85" s="332" t="b">
        <f t="shared" si="4"/>
        <v>0</v>
      </c>
      <c r="AH85">
        <v>259</v>
      </c>
      <c r="AI85">
        <v>259</v>
      </c>
      <c r="AJ85" t="s">
        <v>1115</v>
      </c>
      <c r="AK85">
        <v>41</v>
      </c>
      <c r="AL85" t="s">
        <v>1686</v>
      </c>
    </row>
    <row r="86" spans="1:38" ht="25.5" x14ac:dyDescent="0.2">
      <c r="A86" s="356">
        <v>371</v>
      </c>
      <c r="B86" s="356" t="s">
        <v>1283</v>
      </c>
      <c r="C86" s="356" t="s">
        <v>1286</v>
      </c>
      <c r="D86" s="356">
        <v>21840</v>
      </c>
      <c r="E86" s="356" t="s">
        <v>61</v>
      </c>
      <c r="F86" s="356">
        <v>42</v>
      </c>
      <c r="G86" s="356" t="s">
        <v>1666</v>
      </c>
      <c r="H86" s="358">
        <f>ROWS($G$4:G86)</f>
        <v>83</v>
      </c>
      <c r="I86" s="358" t="str">
        <f>IF('School Level Expenditures'!$B$2=A86,'School Tables'!H86,"")</f>
        <v/>
      </c>
      <c r="J86" s="358" t="str">
        <f>IFERROR(SMALL($I$4:$I$325,ROWS($I$4:I86)),"")</f>
        <v/>
      </c>
      <c r="K86" s="332" t="b">
        <f t="shared" si="5"/>
        <v>0</v>
      </c>
      <c r="P86" s="332"/>
      <c r="Q86" s="332"/>
      <c r="R86" s="332"/>
      <c r="S86" s="332"/>
      <c r="T86" s="332"/>
      <c r="U86" s="332"/>
      <c r="V86" s="332"/>
      <c r="W86" s="356">
        <v>491</v>
      </c>
      <c r="X86" s="356" t="s">
        <v>1415</v>
      </c>
      <c r="Y86" s="356" t="s">
        <v>1417</v>
      </c>
      <c r="Z86" s="356">
        <v>22845</v>
      </c>
      <c r="AA86" s="356" t="s">
        <v>1534</v>
      </c>
      <c r="AB86" s="356">
        <v>56</v>
      </c>
      <c r="AC86" s="356" t="s">
        <v>1729</v>
      </c>
      <c r="AD86" s="358">
        <f>ROWS($AC$4:AC86)</f>
        <v>83</v>
      </c>
      <c r="AE86" s="358" t="str">
        <f>IF('School Level Expenditures'!$B$2='School Tables'!W86,'School Tables'!AD86,"")</f>
        <v/>
      </c>
      <c r="AF86" s="358" t="str">
        <f>IFERROR(SMALL(AE86:$AE$100,ROWS($AE$4:AE86)),"")</f>
        <v/>
      </c>
      <c r="AG86" s="332" t="b">
        <f t="shared" si="4"/>
        <v>0</v>
      </c>
      <c r="AH86">
        <v>260</v>
      </c>
      <c r="AI86">
        <v>0</v>
      </c>
      <c r="AJ86" t="s">
        <v>1118</v>
      </c>
      <c r="AK86">
        <v>41</v>
      </c>
      <c r="AL86" t="s">
        <v>1686</v>
      </c>
    </row>
    <row r="87" spans="1:38" ht="38.25" x14ac:dyDescent="0.2">
      <c r="A87" s="356">
        <v>174</v>
      </c>
      <c r="B87" s="356" t="s">
        <v>1033</v>
      </c>
      <c r="C87" s="356" t="s">
        <v>1556</v>
      </c>
      <c r="D87" s="356">
        <v>27395</v>
      </c>
      <c r="E87" s="356" t="s">
        <v>1554</v>
      </c>
      <c r="F87" s="356">
        <v>60</v>
      </c>
      <c r="G87" s="356" t="s">
        <v>1662</v>
      </c>
      <c r="H87" s="358">
        <f>ROWS($G$4:G87)</f>
        <v>84</v>
      </c>
      <c r="I87" s="358" t="str">
        <f>IF('School Level Expenditures'!$B$2=A87,'School Tables'!H87,"")</f>
        <v/>
      </c>
      <c r="J87" s="358" t="str">
        <f>IFERROR(SMALL($I$4:$I$325,ROWS($I$4:I87)),"")</f>
        <v/>
      </c>
      <c r="K87" s="332" t="b">
        <f t="shared" si="5"/>
        <v>0</v>
      </c>
      <c r="P87" s="332"/>
      <c r="Q87" s="332"/>
      <c r="R87" s="332"/>
      <c r="S87" s="332"/>
      <c r="T87" s="332"/>
      <c r="U87" s="332"/>
      <c r="V87" s="332"/>
      <c r="W87" s="356">
        <v>493</v>
      </c>
      <c r="X87" s="356" t="s">
        <v>1420</v>
      </c>
      <c r="Y87" s="356" t="s">
        <v>1421</v>
      </c>
      <c r="Z87" s="356">
        <v>26860</v>
      </c>
      <c r="AA87" s="356" t="s">
        <v>1534</v>
      </c>
      <c r="AB87" s="356">
        <v>39</v>
      </c>
      <c r="AC87" s="356" t="s">
        <v>1692</v>
      </c>
      <c r="AD87" s="358">
        <f>ROWS($AC$4:AC87)</f>
        <v>84</v>
      </c>
      <c r="AE87" s="358" t="str">
        <f>IF('School Level Expenditures'!$B$2='School Tables'!W87,'School Tables'!AD87,"")</f>
        <v/>
      </c>
      <c r="AF87" s="358" t="str">
        <f>IFERROR(SMALL(AE87:$AE$100,ROWS($AE$4:AE87)),"")</f>
        <v/>
      </c>
      <c r="AG87" s="332" t="b">
        <f t="shared" si="4"/>
        <v>0</v>
      </c>
      <c r="AH87">
        <v>261</v>
      </c>
      <c r="AI87">
        <v>261</v>
      </c>
      <c r="AJ87" t="s">
        <v>1121</v>
      </c>
      <c r="AK87">
        <v>15</v>
      </c>
      <c r="AL87" t="s">
        <v>1671</v>
      </c>
    </row>
    <row r="88" spans="1:38" ht="51" x14ac:dyDescent="0.2">
      <c r="A88" s="356">
        <v>572</v>
      </c>
      <c r="B88" s="356" t="s">
        <v>1472</v>
      </c>
      <c r="C88" s="356" t="s">
        <v>1474</v>
      </c>
      <c r="D88" s="356">
        <v>23060</v>
      </c>
      <c r="E88" s="356" t="s">
        <v>61</v>
      </c>
      <c r="F88" s="356">
        <v>63</v>
      </c>
      <c r="G88" s="356" t="s">
        <v>1707</v>
      </c>
      <c r="H88" s="358">
        <f>ROWS($G$4:G88)</f>
        <v>85</v>
      </c>
      <c r="I88" s="358" t="str">
        <f>IF('School Level Expenditures'!$B$2=A88,'School Tables'!H88,"")</f>
        <v/>
      </c>
      <c r="J88" s="358" t="str">
        <f>IFERROR(SMALL($I$4:$I$325,ROWS($I$4:I88)),"")</f>
        <v/>
      </c>
      <c r="K88" s="332" t="b">
        <f t="shared" si="5"/>
        <v>0</v>
      </c>
      <c r="P88" s="333"/>
      <c r="Q88" s="333"/>
      <c r="R88" s="333"/>
      <c r="S88" s="333"/>
      <c r="T88" s="333"/>
      <c r="U88" s="333"/>
      <c r="V88" s="333"/>
      <c r="W88" s="356">
        <v>714</v>
      </c>
      <c r="X88" s="356" t="s">
        <v>1610</v>
      </c>
      <c r="Y88" s="356" t="s">
        <v>1611</v>
      </c>
      <c r="Z88" s="356">
        <v>29221</v>
      </c>
      <c r="AA88" s="356" t="s">
        <v>1534</v>
      </c>
      <c r="AB88" s="356">
        <v>437</v>
      </c>
      <c r="AC88" s="356" t="s">
        <v>1610</v>
      </c>
      <c r="AD88" s="358">
        <f>ROWS($AC$4:AC88)</f>
        <v>85</v>
      </c>
      <c r="AE88" s="358" t="str">
        <f>IF('School Level Expenditures'!$B$2='School Tables'!W88,'School Tables'!AD88,"")</f>
        <v/>
      </c>
      <c r="AF88" s="358" t="str">
        <f>IFERROR(SMALL(AE88:$AE$100,ROWS($AE$4:AE88)),"")</f>
        <v/>
      </c>
      <c r="AG88" s="332" t="b">
        <f t="shared" si="4"/>
        <v>0</v>
      </c>
      <c r="AH88">
        <v>263</v>
      </c>
      <c r="AI88">
        <v>263</v>
      </c>
      <c r="AJ88" t="s">
        <v>1125</v>
      </c>
      <c r="AK88">
        <v>66</v>
      </c>
      <c r="AL88" t="s">
        <v>1723</v>
      </c>
    </row>
    <row r="89" spans="1:38" ht="25.5" x14ac:dyDescent="0.2">
      <c r="A89" s="356">
        <v>142</v>
      </c>
      <c r="B89" s="356" t="s">
        <v>1014</v>
      </c>
      <c r="C89" s="356" t="s">
        <v>1016</v>
      </c>
      <c r="D89" s="356">
        <v>20825</v>
      </c>
      <c r="E89" s="356" t="s">
        <v>61</v>
      </c>
      <c r="F89" s="356">
        <v>70</v>
      </c>
      <c r="G89" s="356" t="s">
        <v>1679</v>
      </c>
      <c r="H89" s="358">
        <f>ROWS($G$4:G89)</f>
        <v>86</v>
      </c>
      <c r="I89" s="358" t="str">
        <f>IF('School Level Expenditures'!$B$2=A89,'School Tables'!H89,"")</f>
        <v/>
      </c>
      <c r="J89" s="358" t="str">
        <f>IFERROR(SMALL($I$4:$I$325,ROWS($I$4:I89)),"")</f>
        <v/>
      </c>
      <c r="K89" s="332" t="b">
        <f t="shared" si="5"/>
        <v>0</v>
      </c>
      <c r="P89" s="332"/>
      <c r="Q89" s="332"/>
      <c r="R89" s="332"/>
      <c r="S89" s="332"/>
      <c r="T89" s="332"/>
      <c r="U89" s="332"/>
      <c r="V89" s="332"/>
      <c r="W89" s="356">
        <v>461</v>
      </c>
      <c r="X89" s="356" t="s">
        <v>1376</v>
      </c>
      <c r="Y89" s="356" t="s">
        <v>1383</v>
      </c>
      <c r="Z89" s="356">
        <v>22700</v>
      </c>
      <c r="AA89" s="356" t="s">
        <v>1534</v>
      </c>
      <c r="AB89" s="356">
        <v>54</v>
      </c>
      <c r="AC89" s="356" t="s">
        <v>1689</v>
      </c>
      <c r="AD89" s="358">
        <f>ROWS($AC$4:AC89)</f>
        <v>86</v>
      </c>
      <c r="AE89" s="358" t="str">
        <f>IF('School Level Expenditures'!$B$2='School Tables'!W89,'School Tables'!AD89,"")</f>
        <v/>
      </c>
      <c r="AF89" s="358" t="str">
        <f>IFERROR(SMALL(AE89:$AE$100,ROWS($AE$4:AE89)),"")</f>
        <v/>
      </c>
      <c r="AG89" s="332" t="b">
        <f t="shared" si="4"/>
        <v>0</v>
      </c>
      <c r="AH89">
        <v>267</v>
      </c>
      <c r="AI89">
        <v>267</v>
      </c>
      <c r="AJ89" t="s">
        <v>1130</v>
      </c>
      <c r="AK89">
        <v>81</v>
      </c>
      <c r="AL89" t="s">
        <v>1700</v>
      </c>
    </row>
    <row r="90" spans="1:38" ht="38.25" x14ac:dyDescent="0.2">
      <c r="A90" s="356">
        <v>112</v>
      </c>
      <c r="B90" s="356" t="s">
        <v>977</v>
      </c>
      <c r="C90" s="356" t="s">
        <v>982</v>
      </c>
      <c r="D90" s="356">
        <v>22245</v>
      </c>
      <c r="E90" s="356" t="s">
        <v>61</v>
      </c>
      <c r="F90" s="356">
        <v>1</v>
      </c>
      <c r="G90" s="356" t="s">
        <v>1668</v>
      </c>
      <c r="H90" s="358">
        <f>ROWS($G$4:G90)</f>
        <v>87</v>
      </c>
      <c r="I90" s="358" t="str">
        <f>IF('School Level Expenditures'!$B$2=A90,'School Tables'!H90,"")</f>
        <v/>
      </c>
      <c r="J90" s="358" t="str">
        <f>IFERROR(SMALL($I$4:$I$325,ROWS($I$4:I90)),"")</f>
        <v/>
      </c>
      <c r="K90" s="332" t="b">
        <f t="shared" si="5"/>
        <v>0</v>
      </c>
      <c r="P90" s="333"/>
      <c r="Q90" s="333"/>
      <c r="R90" s="333"/>
      <c r="S90" s="333"/>
      <c r="T90" s="333"/>
      <c r="U90" s="333"/>
      <c r="V90" s="333"/>
      <c r="W90" s="356">
        <v>101</v>
      </c>
      <c r="X90" s="356" t="s">
        <v>963</v>
      </c>
      <c r="Y90" s="356" t="s">
        <v>965</v>
      </c>
      <c r="Z90" s="356">
        <v>20140</v>
      </c>
      <c r="AA90" s="356" t="s">
        <v>1534</v>
      </c>
      <c r="AB90" s="356">
        <v>6</v>
      </c>
      <c r="AC90" s="356" t="s">
        <v>1681</v>
      </c>
      <c r="AD90" s="358">
        <f>ROWS($AC$4:AC90)</f>
        <v>87</v>
      </c>
      <c r="AE90" s="358" t="str">
        <f>IF('School Level Expenditures'!$B$2='School Tables'!W90,'School Tables'!AD90,"")</f>
        <v/>
      </c>
      <c r="AF90" s="358" t="str">
        <f>IFERROR(SMALL(AE90:$AE$100,ROWS($AE$4:AE90)),"")</f>
        <v/>
      </c>
      <c r="AG90" s="332" t="b">
        <f t="shared" si="4"/>
        <v>0</v>
      </c>
      <c r="AH90">
        <v>269</v>
      </c>
      <c r="AI90">
        <v>0</v>
      </c>
      <c r="AJ90" t="s">
        <v>1136</v>
      </c>
      <c r="AK90">
        <v>2</v>
      </c>
      <c r="AL90" t="s">
        <v>1669</v>
      </c>
    </row>
    <row r="91" spans="1:38" ht="25.5" x14ac:dyDescent="0.2">
      <c r="A91" s="356">
        <v>279</v>
      </c>
      <c r="B91" s="356" t="s">
        <v>1157</v>
      </c>
      <c r="C91" s="356" t="s">
        <v>1161</v>
      </c>
      <c r="D91" s="356">
        <v>21190</v>
      </c>
      <c r="E91" s="356" t="s">
        <v>61</v>
      </c>
      <c r="F91" s="356">
        <v>29</v>
      </c>
      <c r="G91" s="356" t="s">
        <v>1691</v>
      </c>
      <c r="H91" s="358">
        <f>ROWS($G$4:G91)</f>
        <v>88</v>
      </c>
      <c r="I91" s="358" t="str">
        <f>IF('School Level Expenditures'!$B$2=A91,'School Tables'!H91,"")</f>
        <v/>
      </c>
      <c r="J91" s="358" t="str">
        <f>IFERROR(SMALL($I$4:$I$325,ROWS($I$4:I91)),"")</f>
        <v/>
      </c>
      <c r="K91" s="332" t="b">
        <f t="shared" si="5"/>
        <v>0</v>
      </c>
      <c r="P91" s="332"/>
      <c r="Q91" s="332"/>
      <c r="R91" s="332"/>
      <c r="S91" s="332"/>
      <c r="T91" s="332"/>
      <c r="U91" s="332"/>
      <c r="V91" s="332"/>
      <c r="W91" s="356">
        <v>515</v>
      </c>
      <c r="X91" s="356" t="s">
        <v>1436</v>
      </c>
      <c r="Y91" s="356" t="s">
        <v>1437</v>
      </c>
      <c r="Z91" s="356">
        <v>22000</v>
      </c>
      <c r="AA91" s="356" t="s">
        <v>1534</v>
      </c>
      <c r="AB91" s="356">
        <v>85</v>
      </c>
      <c r="AC91" s="356" t="s">
        <v>1762</v>
      </c>
      <c r="AD91" s="358">
        <f>ROWS($AC$4:AC91)</f>
        <v>88</v>
      </c>
      <c r="AE91" s="358" t="str">
        <f>IF('School Level Expenditures'!$B$2='School Tables'!W91,'School Tables'!AD91,"")</f>
        <v/>
      </c>
      <c r="AF91" s="358" t="str">
        <f>IFERROR(SMALL(AE91:$AE$100,ROWS($AE$4:AE91)),"")</f>
        <v/>
      </c>
      <c r="AG91" s="332" t="b">
        <f t="shared" si="4"/>
        <v>0</v>
      </c>
      <c r="AH91">
        <v>271</v>
      </c>
      <c r="AI91">
        <v>271</v>
      </c>
      <c r="AJ91" t="s">
        <v>1141</v>
      </c>
      <c r="AK91">
        <v>9</v>
      </c>
      <c r="AL91" t="s">
        <v>1694</v>
      </c>
    </row>
    <row r="92" spans="1:38" ht="51" x14ac:dyDescent="0.2">
      <c r="A92" s="356">
        <v>185</v>
      </c>
      <c r="B92" s="356" t="s">
        <v>1049</v>
      </c>
      <c r="C92" s="356" t="s">
        <v>1052</v>
      </c>
      <c r="D92" s="356">
        <v>26755</v>
      </c>
      <c r="E92" s="356" t="s">
        <v>61</v>
      </c>
      <c r="F92" s="356">
        <v>18</v>
      </c>
      <c r="G92" s="356" t="s">
        <v>1708</v>
      </c>
      <c r="H92" s="358">
        <f>ROWS($G$4:G92)</f>
        <v>89</v>
      </c>
      <c r="I92" s="358" t="str">
        <f>IF('School Level Expenditures'!$B$2=A92,'School Tables'!H92,"")</f>
        <v/>
      </c>
      <c r="J92" s="358" t="str">
        <f>IFERROR(SMALL($I$4:$I$325,ROWS($I$4:I92)),"")</f>
        <v/>
      </c>
      <c r="K92" s="332" t="b">
        <f t="shared" si="5"/>
        <v>0</v>
      </c>
      <c r="P92" s="332"/>
      <c r="Q92" s="332"/>
      <c r="R92" s="332"/>
      <c r="S92" s="332"/>
      <c r="T92" s="332"/>
      <c r="U92" s="332"/>
      <c r="V92" s="332"/>
      <c r="W92" s="356">
        <v>741</v>
      </c>
      <c r="X92" s="356" t="s">
        <v>1524</v>
      </c>
      <c r="Y92" s="356" t="s">
        <v>1525</v>
      </c>
      <c r="Z92" s="356">
        <v>29149</v>
      </c>
      <c r="AA92" s="356" t="s">
        <v>1534</v>
      </c>
      <c r="AB92" s="356">
        <v>423</v>
      </c>
      <c r="AC92" s="356" t="s">
        <v>1524</v>
      </c>
      <c r="AD92" s="358">
        <f>ROWS($AC$4:AC92)</f>
        <v>89</v>
      </c>
      <c r="AE92" s="358" t="str">
        <f>IF('School Level Expenditures'!$B$2='School Tables'!W92,'School Tables'!AD92,"")</f>
        <v/>
      </c>
      <c r="AF92" s="358" t="str">
        <f>IFERROR(SMALL(AE92:$AE$100,ROWS($AE$4:AE92)),"")</f>
        <v/>
      </c>
      <c r="AG92" s="332" t="b">
        <f t="shared" si="4"/>
        <v>0</v>
      </c>
      <c r="AH92">
        <v>274</v>
      </c>
      <c r="AI92">
        <v>0</v>
      </c>
      <c r="AJ92" t="s">
        <v>1143</v>
      </c>
      <c r="AK92">
        <v>47</v>
      </c>
      <c r="AL92" t="s">
        <v>1730</v>
      </c>
    </row>
    <row r="93" spans="1:38" ht="38.25" x14ac:dyDescent="0.2">
      <c r="A93" s="356">
        <v>261</v>
      </c>
      <c r="B93" s="356" t="s">
        <v>1121</v>
      </c>
      <c r="C93" s="356" t="s">
        <v>1123</v>
      </c>
      <c r="D93" s="356">
        <v>20550</v>
      </c>
      <c r="E93" s="356" t="s">
        <v>61</v>
      </c>
      <c r="F93" s="356">
        <v>15</v>
      </c>
      <c r="G93" s="356" t="s">
        <v>1671</v>
      </c>
      <c r="H93" s="358">
        <f>ROWS($G$4:G93)</f>
        <v>90</v>
      </c>
      <c r="I93" s="358" t="str">
        <f>IF('School Level Expenditures'!$B$2=A93,'School Tables'!H93,"")</f>
        <v/>
      </c>
      <c r="J93" s="358" t="str">
        <f>IFERROR(SMALL($I$4:$I$325,ROWS($I$4:I93)),"")</f>
        <v/>
      </c>
      <c r="K93" s="332" t="b">
        <f t="shared" si="5"/>
        <v>0</v>
      </c>
      <c r="P93" s="332"/>
      <c r="Q93" s="332"/>
      <c r="R93" s="332"/>
      <c r="S93" s="332"/>
      <c r="T93" s="332"/>
      <c r="U93" s="332"/>
      <c r="V93" s="332"/>
      <c r="W93" s="356">
        <v>534</v>
      </c>
      <c r="X93" s="356" t="s">
        <v>1443</v>
      </c>
      <c r="Y93" s="356" t="s">
        <v>1449</v>
      </c>
      <c r="Z93" s="356">
        <v>22770</v>
      </c>
      <c r="AA93" s="356" t="s">
        <v>1534</v>
      </c>
      <c r="AB93" s="356">
        <v>106</v>
      </c>
      <c r="AC93" s="356" t="s">
        <v>1670</v>
      </c>
      <c r="AD93" s="358">
        <f>ROWS($AC$4:AC93)</f>
        <v>90</v>
      </c>
      <c r="AE93" s="358" t="str">
        <f>IF('School Level Expenditures'!$B$2='School Tables'!W93,'School Tables'!AD93,"")</f>
        <v/>
      </c>
      <c r="AF93" s="358" t="str">
        <f>IFERROR(SMALL(AE93:$AE$100,ROWS($AE$4:AE93)),"")</f>
        <v/>
      </c>
      <c r="AG93" s="332" t="b">
        <f t="shared" si="4"/>
        <v>0</v>
      </c>
      <c r="AH93">
        <v>275</v>
      </c>
      <c r="AI93">
        <v>0</v>
      </c>
      <c r="AJ93" t="s">
        <v>1148</v>
      </c>
      <c r="AK93">
        <v>24</v>
      </c>
      <c r="AL93" t="s">
        <v>1688</v>
      </c>
    </row>
    <row r="94" spans="1:38" ht="63.75" x14ac:dyDescent="0.2">
      <c r="A94" s="356">
        <v>187</v>
      </c>
      <c r="B94" s="356" t="s">
        <v>1053</v>
      </c>
      <c r="C94" s="356" t="s">
        <v>1054</v>
      </c>
      <c r="D94" s="356">
        <v>20350</v>
      </c>
      <c r="E94" s="356" t="s">
        <v>61</v>
      </c>
      <c r="F94" s="356">
        <v>13</v>
      </c>
      <c r="G94" s="356" t="s">
        <v>1709</v>
      </c>
      <c r="H94" s="358">
        <f>ROWS($G$4:G94)</f>
        <v>91</v>
      </c>
      <c r="I94" s="358" t="str">
        <f>IF('School Level Expenditures'!$B$2=A94,'School Tables'!H94,"")</f>
        <v/>
      </c>
      <c r="J94" s="358" t="str">
        <f>IFERROR(SMALL($I$4:$I$325,ROWS($I$4:I94)),"")</f>
        <v/>
      </c>
      <c r="K94" s="332" t="b">
        <f t="shared" si="5"/>
        <v>0</v>
      </c>
      <c r="P94" s="333"/>
      <c r="Q94" s="333"/>
      <c r="R94" s="333"/>
      <c r="S94" s="333"/>
      <c r="T94" s="333"/>
      <c r="U94" s="333"/>
      <c r="V94" s="333"/>
      <c r="W94" s="356">
        <v>727</v>
      </c>
      <c r="X94" s="356" t="s">
        <v>1513</v>
      </c>
      <c r="Y94" s="356" t="s">
        <v>1515</v>
      </c>
      <c r="Z94" s="356">
        <v>28605</v>
      </c>
      <c r="AA94" s="356" t="s">
        <v>1534</v>
      </c>
      <c r="AB94" s="356">
        <v>412</v>
      </c>
      <c r="AC94" s="356" t="s">
        <v>1513</v>
      </c>
      <c r="AD94" s="358">
        <f>ROWS($AC$4:AC94)</f>
        <v>91</v>
      </c>
      <c r="AE94" s="358" t="str">
        <f>IF('School Level Expenditures'!$B$2='School Tables'!W94,'School Tables'!AD94,"")</f>
        <v/>
      </c>
      <c r="AF94" s="358" t="str">
        <f>IFERROR(SMALL(AE94:$AE$100,ROWS($AE$4:AE94)),"")</f>
        <v/>
      </c>
      <c r="AG94" s="332" t="b">
        <f t="shared" si="4"/>
        <v>0</v>
      </c>
      <c r="AH94">
        <v>276</v>
      </c>
      <c r="AI94">
        <v>0</v>
      </c>
      <c r="AJ94" t="s">
        <v>1150</v>
      </c>
      <c r="AK94">
        <v>65</v>
      </c>
      <c r="AL94" t="s">
        <v>1731</v>
      </c>
    </row>
    <row r="95" spans="1:38" ht="51" x14ac:dyDescent="0.2">
      <c r="A95" s="356">
        <v>279</v>
      </c>
      <c r="B95" s="356" t="s">
        <v>1157</v>
      </c>
      <c r="C95" s="356" t="s">
        <v>1158</v>
      </c>
      <c r="D95" s="356">
        <v>21165</v>
      </c>
      <c r="E95" s="356" t="s">
        <v>61</v>
      </c>
      <c r="F95" s="356">
        <v>29</v>
      </c>
      <c r="G95" s="356" t="s">
        <v>1691</v>
      </c>
      <c r="H95" s="358">
        <f>ROWS($G$4:G95)</f>
        <v>92</v>
      </c>
      <c r="I95" s="358" t="str">
        <f>IF('School Level Expenditures'!$B$2=A95,'School Tables'!H95,"")</f>
        <v/>
      </c>
      <c r="J95" s="358" t="str">
        <f>IFERROR(SMALL($I$4:$I$325,ROWS($I$4:I95)),"")</f>
        <v/>
      </c>
      <c r="K95" s="332" t="b">
        <f t="shared" si="5"/>
        <v>0</v>
      </c>
      <c r="P95" s="332"/>
      <c r="Q95" s="332"/>
      <c r="R95" s="332"/>
      <c r="S95" s="332"/>
      <c r="T95" s="332"/>
      <c r="U95" s="332"/>
      <c r="V95" s="332"/>
      <c r="W95" s="356">
        <v>568</v>
      </c>
      <c r="X95" s="356" t="s">
        <v>1468</v>
      </c>
      <c r="Y95" s="356" t="s">
        <v>1471</v>
      </c>
      <c r="Z95" s="356">
        <v>21480</v>
      </c>
      <c r="AA95" s="356" t="s">
        <v>1534</v>
      </c>
      <c r="AB95" s="356">
        <v>36</v>
      </c>
      <c r="AC95" s="356" t="s">
        <v>1735</v>
      </c>
      <c r="AD95" s="358">
        <f>ROWS($AC$4:AC95)</f>
        <v>92</v>
      </c>
      <c r="AE95" s="358" t="str">
        <f>IF('School Level Expenditures'!$B$2='School Tables'!W95,'School Tables'!AD95,"")</f>
        <v/>
      </c>
      <c r="AF95" s="358" t="str">
        <f>IFERROR(SMALL(AE95:$AE$100,ROWS($AE$4:AE95)),"")</f>
        <v/>
      </c>
      <c r="AG95" s="332" t="b">
        <f t="shared" si="4"/>
        <v>0</v>
      </c>
      <c r="AH95">
        <v>279</v>
      </c>
      <c r="AI95">
        <v>279</v>
      </c>
      <c r="AJ95" t="s">
        <v>1157</v>
      </c>
      <c r="AK95">
        <v>29</v>
      </c>
      <c r="AL95" t="s">
        <v>1691</v>
      </c>
    </row>
    <row r="96" spans="1:38" ht="51" x14ac:dyDescent="0.2">
      <c r="A96" s="356">
        <v>141</v>
      </c>
      <c r="B96" s="356" t="s">
        <v>1008</v>
      </c>
      <c r="C96" s="356" t="s">
        <v>1009</v>
      </c>
      <c r="D96" s="356">
        <v>20430</v>
      </c>
      <c r="E96" s="356" t="s">
        <v>61</v>
      </c>
      <c r="F96" s="356">
        <v>11</v>
      </c>
      <c r="G96" s="356" t="s">
        <v>1710</v>
      </c>
      <c r="H96" s="358">
        <f>ROWS($G$4:G96)</f>
        <v>93</v>
      </c>
      <c r="I96" s="358" t="str">
        <f>IF('School Level Expenditures'!$B$2=A96,'School Tables'!H96,"")</f>
        <v/>
      </c>
      <c r="J96" s="358" t="str">
        <f>IFERROR(SMALL($I$4:$I$325,ROWS($I$4:I96)),"")</f>
        <v/>
      </c>
      <c r="K96" s="332" t="b">
        <f t="shared" si="5"/>
        <v>0</v>
      </c>
      <c r="P96" s="333"/>
      <c r="Q96" s="333"/>
      <c r="R96" s="333"/>
      <c r="S96" s="333"/>
      <c r="T96" s="333"/>
      <c r="U96" s="333"/>
      <c r="V96" s="333"/>
      <c r="W96" s="356">
        <v>572</v>
      </c>
      <c r="X96" s="356" t="s">
        <v>1472</v>
      </c>
      <c r="Y96" s="356" t="s">
        <v>1475</v>
      </c>
      <c r="Z96" s="356">
        <v>23070</v>
      </c>
      <c r="AA96" s="356" t="s">
        <v>1534</v>
      </c>
      <c r="AB96" s="356">
        <v>63</v>
      </c>
      <c r="AC96" s="356" t="s">
        <v>1707</v>
      </c>
      <c r="AD96" s="358">
        <f>ROWS($AC$4:AC96)</f>
        <v>93</v>
      </c>
      <c r="AE96" s="358" t="str">
        <f>IF('School Level Expenditures'!$B$2='School Tables'!W96,'School Tables'!AD96,"")</f>
        <v/>
      </c>
      <c r="AF96" s="358" t="str">
        <f>IFERROR(SMALL(AE96:$AE$100,ROWS($AE$4:AE96)),"")</f>
        <v/>
      </c>
      <c r="AG96" s="332" t="b">
        <f t="shared" si="4"/>
        <v>0</v>
      </c>
      <c r="AH96">
        <v>281</v>
      </c>
      <c r="AI96">
        <v>281</v>
      </c>
      <c r="AJ96" t="s">
        <v>1164</v>
      </c>
      <c r="AK96">
        <v>16</v>
      </c>
      <c r="AL96" t="s">
        <v>1702</v>
      </c>
    </row>
    <row r="97" spans="1:38" ht="76.5" x14ac:dyDescent="0.2">
      <c r="A97" s="356">
        <v>742</v>
      </c>
      <c r="B97" s="356" t="s">
        <v>1527</v>
      </c>
      <c r="C97" s="356" t="s">
        <v>1528</v>
      </c>
      <c r="D97" s="356">
        <v>29151</v>
      </c>
      <c r="E97" s="356" t="s">
        <v>61</v>
      </c>
      <c r="F97" s="356">
        <v>425</v>
      </c>
      <c r="G97" s="356" t="s">
        <v>1527</v>
      </c>
      <c r="H97" s="358">
        <f>ROWS($G$4:G97)</f>
        <v>94</v>
      </c>
      <c r="I97" s="358" t="str">
        <f>IF('School Level Expenditures'!$B$2=A97,'School Tables'!H97,"")</f>
        <v/>
      </c>
      <c r="J97" s="358" t="str">
        <f>IFERROR(SMALL($I$4:$I$325,ROWS($I$4:I97)),"")</f>
        <v/>
      </c>
      <c r="K97" s="332" t="b">
        <f t="shared" si="5"/>
        <v>0</v>
      </c>
      <c r="P97" s="332"/>
      <c r="Q97" s="332"/>
      <c r="R97" s="332"/>
      <c r="S97" s="332"/>
      <c r="T97" s="332"/>
      <c r="U97" s="332"/>
      <c r="V97" s="332"/>
      <c r="W97" s="356">
        <v>575</v>
      </c>
      <c r="X97" s="356" t="s">
        <v>1478</v>
      </c>
      <c r="Y97" s="356" t="s">
        <v>1482</v>
      </c>
      <c r="Z97" s="356">
        <v>28640</v>
      </c>
      <c r="AA97" s="356" t="s">
        <v>1534</v>
      </c>
      <c r="AB97" s="356">
        <v>95</v>
      </c>
      <c r="AC97" s="356" t="s">
        <v>1716</v>
      </c>
      <c r="AD97" s="358">
        <f>ROWS($AC$4:AC97)</f>
        <v>94</v>
      </c>
      <c r="AE97" s="358" t="str">
        <f>IF('School Level Expenditures'!$B$2='School Tables'!W97,'School Tables'!AD97,"")</f>
        <v/>
      </c>
      <c r="AF97" s="358" t="str">
        <f>IFERROR(SMALL(AE97:$AE$100,ROWS($AE$4:AE97)),"")</f>
        <v/>
      </c>
      <c r="AG97" s="332" t="b">
        <f t="shared" si="4"/>
        <v>0</v>
      </c>
      <c r="AH97" s="359">
        <v>708</v>
      </c>
      <c r="AI97" s="359">
        <v>708</v>
      </c>
      <c r="AJ97" s="359" t="s">
        <v>1499</v>
      </c>
      <c r="AK97" s="359">
        <v>432</v>
      </c>
      <c r="AL97" s="359" t="s">
        <v>1499</v>
      </c>
    </row>
    <row r="98" spans="1:38" ht="51" x14ac:dyDescent="0.2">
      <c r="A98" s="356">
        <v>750</v>
      </c>
      <c r="B98" s="356" t="s">
        <v>1711</v>
      </c>
      <c r="C98" s="356" t="s">
        <v>1712</v>
      </c>
      <c r="D98" s="356">
        <v>29238</v>
      </c>
      <c r="E98" s="356" t="s">
        <v>61</v>
      </c>
      <c r="F98" s="356">
        <v>450</v>
      </c>
      <c r="G98" s="356" t="s">
        <v>1713</v>
      </c>
      <c r="H98" s="358">
        <f>ROWS($G$4:G98)</f>
        <v>95</v>
      </c>
      <c r="I98" s="358" t="str">
        <f>IF('School Level Expenditures'!$B$2=A98,'School Tables'!H98,"")</f>
        <v/>
      </c>
      <c r="J98" s="358" t="str">
        <f>IFERROR(SMALL($I$4:$I$325,ROWS($I$4:I98)),"")</f>
        <v/>
      </c>
      <c r="K98" s="332" t="b">
        <f t="shared" si="5"/>
        <v>0</v>
      </c>
      <c r="P98" s="333"/>
      <c r="Q98" s="333"/>
      <c r="R98" s="333"/>
      <c r="S98" s="333"/>
      <c r="T98" s="333"/>
      <c r="U98" s="333"/>
      <c r="V98" s="333"/>
      <c r="W98" s="356">
        <v>581</v>
      </c>
      <c r="X98" s="356" t="s">
        <v>1483</v>
      </c>
      <c r="Y98" s="356" t="s">
        <v>1484</v>
      </c>
      <c r="Z98" s="356">
        <v>20780</v>
      </c>
      <c r="AA98" s="356" t="s">
        <v>1534</v>
      </c>
      <c r="AB98" s="356">
        <v>21</v>
      </c>
      <c r="AC98" s="356" t="s">
        <v>1737</v>
      </c>
      <c r="AD98" s="358">
        <f>ROWS($AC$4:AC98)</f>
        <v>95</v>
      </c>
      <c r="AE98" s="358" t="str">
        <f>IF('School Level Expenditures'!$B$2='School Tables'!W98,'School Tables'!AD98,"")</f>
        <v/>
      </c>
      <c r="AF98" s="358" t="str">
        <f>IFERROR(SMALL(AE98:$AE$100,ROWS($AE$4:AE98)),"")</f>
        <v/>
      </c>
      <c r="AG98" s="332" t="b">
        <f t="shared" si="4"/>
        <v>0</v>
      </c>
      <c r="AH98">
        <v>285</v>
      </c>
      <c r="AI98">
        <v>285</v>
      </c>
      <c r="AJ98" t="s">
        <v>1166</v>
      </c>
      <c r="AK98">
        <v>30</v>
      </c>
      <c r="AL98" t="s">
        <v>1705</v>
      </c>
    </row>
    <row r="99" spans="1:38" ht="38.25" x14ac:dyDescent="0.2">
      <c r="A99" s="356">
        <v>191</v>
      </c>
      <c r="B99" s="356" t="s">
        <v>1057</v>
      </c>
      <c r="C99" s="356" t="s">
        <v>1059</v>
      </c>
      <c r="D99" s="356">
        <v>21245</v>
      </c>
      <c r="E99" s="356" t="s">
        <v>61</v>
      </c>
      <c r="F99" s="356">
        <v>73</v>
      </c>
      <c r="G99" s="356" t="s">
        <v>1714</v>
      </c>
      <c r="H99" s="358">
        <f>ROWS($G$4:G99)</f>
        <v>96</v>
      </c>
      <c r="I99" s="358" t="str">
        <f>IF('School Level Expenditures'!$B$2=A99,'School Tables'!H99,"")</f>
        <v/>
      </c>
      <c r="J99" s="358" t="str">
        <f>IFERROR(SMALL($I$4:$I$325,ROWS($I$4:I99)),"")</f>
        <v/>
      </c>
      <c r="K99" s="332" t="b">
        <f t="shared" si="5"/>
        <v>0</v>
      </c>
      <c r="P99" s="332"/>
      <c r="Q99" s="332"/>
      <c r="R99" s="332"/>
      <c r="S99" s="332"/>
      <c r="T99" s="332"/>
      <c r="U99" s="332"/>
      <c r="V99" s="332"/>
      <c r="W99" s="356">
        <v>582</v>
      </c>
      <c r="X99" s="356" t="s">
        <v>1485</v>
      </c>
      <c r="Y99" s="356" t="s">
        <v>1488</v>
      </c>
      <c r="Z99" s="356">
        <v>22950</v>
      </c>
      <c r="AA99" s="356" t="s">
        <v>1534</v>
      </c>
      <c r="AB99" s="356">
        <v>59</v>
      </c>
      <c r="AC99" s="356" t="s">
        <v>1760</v>
      </c>
      <c r="AD99" s="358">
        <f>ROWS($AC$4:AC99)</f>
        <v>96</v>
      </c>
      <c r="AE99" s="358" t="str">
        <f>IF('School Level Expenditures'!$B$2='School Tables'!W99,'School Tables'!AD99,"")</f>
        <v/>
      </c>
      <c r="AF99" s="358" t="str">
        <f>IFERROR(SMALL(AE99:$AE$100,ROWS($AE$4:AE99)),"")</f>
        <v/>
      </c>
      <c r="AG99" s="332" t="b">
        <f t="shared" si="4"/>
        <v>0</v>
      </c>
      <c r="AH99">
        <v>288</v>
      </c>
      <c r="AI99">
        <v>0</v>
      </c>
      <c r="AJ99" t="s">
        <v>1172</v>
      </c>
      <c r="AK99">
        <v>35</v>
      </c>
      <c r="AL99" t="s">
        <v>1680</v>
      </c>
    </row>
    <row r="100" spans="1:38" ht="38.25" x14ac:dyDescent="0.2">
      <c r="A100" s="356">
        <v>195</v>
      </c>
      <c r="B100" s="356" t="s">
        <v>1061</v>
      </c>
      <c r="C100" s="356" t="s">
        <v>1062</v>
      </c>
      <c r="D100" s="356">
        <v>21250</v>
      </c>
      <c r="E100" s="356" t="s">
        <v>61</v>
      </c>
      <c r="F100" s="356">
        <v>79</v>
      </c>
      <c r="G100" s="356" t="s">
        <v>1715</v>
      </c>
      <c r="H100" s="358">
        <f>ROWS($G$4:G100)</f>
        <v>97</v>
      </c>
      <c r="I100" s="358" t="str">
        <f>IF('School Level Expenditures'!$B$2=A100,'School Tables'!H100,"")</f>
        <v/>
      </c>
      <c r="J100" s="358" t="str">
        <f>IFERROR(SMALL($I$4:$I$325,ROWS($I$4:I100)),"")</f>
        <v/>
      </c>
      <c r="K100" s="332" t="b">
        <f t="shared" si="5"/>
        <v>0</v>
      </c>
      <c r="P100" s="331"/>
      <c r="Q100" s="331"/>
      <c r="R100" s="331"/>
      <c r="S100" s="331"/>
      <c r="T100" s="331"/>
      <c r="U100" s="331"/>
      <c r="V100" s="331"/>
      <c r="W100" s="356">
        <v>238</v>
      </c>
      <c r="X100" s="356" t="s">
        <v>1097</v>
      </c>
      <c r="Y100" s="356" t="s">
        <v>1099</v>
      </c>
      <c r="Z100" s="356">
        <v>20910</v>
      </c>
      <c r="AA100" s="356" t="s">
        <v>1534</v>
      </c>
      <c r="AB100" s="356">
        <v>23</v>
      </c>
      <c r="AC100" s="356" t="s">
        <v>1676</v>
      </c>
      <c r="AD100" s="358">
        <f>ROWS($AC$4:AC100)</f>
        <v>97</v>
      </c>
      <c r="AE100" s="358" t="str">
        <f>IF('School Level Expenditures'!$B$2='School Tables'!W100,'School Tables'!AD100,"")</f>
        <v/>
      </c>
      <c r="AF100" s="358" t="str">
        <f>IFERROR(SMALL(AE100:$AE$100,ROWS($AE$4:AE100)),"")</f>
        <v/>
      </c>
      <c r="AH100">
        <v>291</v>
      </c>
      <c r="AI100">
        <v>291</v>
      </c>
      <c r="AJ100" t="s">
        <v>1174</v>
      </c>
      <c r="AK100">
        <v>35</v>
      </c>
      <c r="AL100" t="s">
        <v>1680</v>
      </c>
    </row>
    <row r="101" spans="1:38" ht="38.25" x14ac:dyDescent="0.2">
      <c r="A101" s="356">
        <v>363</v>
      </c>
      <c r="B101" s="356" t="s">
        <v>1271</v>
      </c>
      <c r="C101" s="356" t="s">
        <v>1601</v>
      </c>
      <c r="D101" s="356">
        <v>21670</v>
      </c>
      <c r="E101" s="356" t="s">
        <v>61</v>
      </c>
      <c r="F101" s="356">
        <v>93</v>
      </c>
      <c r="G101" s="356" t="s">
        <v>1697</v>
      </c>
      <c r="H101" s="358">
        <f>ROWS($G$4:G101)</f>
        <v>98</v>
      </c>
      <c r="I101" s="358" t="str">
        <f>IF('School Level Expenditures'!$B$2=A101,'School Tables'!H101,"")</f>
        <v/>
      </c>
      <c r="J101" s="358" t="str">
        <f>IFERROR(SMALL($I$4:$I$325,ROWS($I$4:I101)),"")</f>
        <v/>
      </c>
      <c r="K101" s="332" t="b">
        <f t="shared" si="5"/>
        <v>0</v>
      </c>
      <c r="P101" s="331"/>
      <c r="Q101" s="331"/>
      <c r="R101" s="331"/>
      <c r="S101" s="331"/>
      <c r="T101" s="331"/>
      <c r="U101" s="331"/>
      <c r="V101" s="331"/>
      <c r="W101" s="287"/>
      <c r="AH101" s="359">
        <v>706</v>
      </c>
      <c r="AI101" s="359">
        <v>706</v>
      </c>
      <c r="AJ101" s="359" t="s">
        <v>1497</v>
      </c>
      <c r="AK101" s="359">
        <v>431</v>
      </c>
      <c r="AL101" s="359" t="s">
        <v>1497</v>
      </c>
    </row>
    <row r="102" spans="1:38" ht="25.5" x14ac:dyDescent="0.2">
      <c r="A102" s="356">
        <v>199</v>
      </c>
      <c r="B102" s="356" t="s">
        <v>1063</v>
      </c>
      <c r="C102" s="356" t="s">
        <v>1065</v>
      </c>
      <c r="D102" s="356">
        <v>28525</v>
      </c>
      <c r="E102" s="356" t="s">
        <v>61</v>
      </c>
      <c r="F102" s="356">
        <v>19</v>
      </c>
      <c r="G102" s="356" t="s">
        <v>1675</v>
      </c>
      <c r="H102" s="358">
        <f>ROWS($G$4:G102)</f>
        <v>99</v>
      </c>
      <c r="I102" s="358" t="str">
        <f>IF('School Level Expenditures'!$B$2=A102,'School Tables'!H102,"")</f>
        <v/>
      </c>
      <c r="J102" s="358" t="str">
        <f>IFERROR(SMALL($I$4:$I$325,ROWS($I$4:I102)),"")</f>
        <v/>
      </c>
      <c r="K102" s="332" t="b">
        <f t="shared" si="5"/>
        <v>0</v>
      </c>
      <c r="P102" s="331"/>
      <c r="Q102" s="331"/>
      <c r="R102" s="331"/>
      <c r="S102" s="331"/>
      <c r="T102" s="331"/>
      <c r="U102" s="331"/>
      <c r="V102" s="331"/>
      <c r="W102" s="287"/>
      <c r="AH102">
        <v>295</v>
      </c>
      <c r="AI102">
        <v>295</v>
      </c>
      <c r="AJ102" t="s">
        <v>1176</v>
      </c>
      <c r="AK102">
        <v>88</v>
      </c>
      <c r="AL102" t="s">
        <v>1722</v>
      </c>
    </row>
    <row r="103" spans="1:38" ht="38.25" x14ac:dyDescent="0.2">
      <c r="A103" s="356">
        <v>575</v>
      </c>
      <c r="B103" s="356" t="s">
        <v>1478</v>
      </c>
      <c r="C103" s="356" t="s">
        <v>1480</v>
      </c>
      <c r="D103" s="356">
        <v>21130</v>
      </c>
      <c r="E103" s="356" t="s">
        <v>61</v>
      </c>
      <c r="F103" s="356">
        <v>95</v>
      </c>
      <c r="G103" s="356" t="s">
        <v>1716</v>
      </c>
      <c r="H103" s="358">
        <f>ROWS($G$4:G103)</f>
        <v>100</v>
      </c>
      <c r="I103" s="358" t="str">
        <f>IF('School Level Expenditures'!$B$2=A103,'School Tables'!H103,"")</f>
        <v/>
      </c>
      <c r="J103" s="358" t="str">
        <f>IFERROR(SMALL($I$4:$I$325,ROWS($I$4:I103)),"")</f>
        <v/>
      </c>
      <c r="K103" s="332" t="b">
        <f t="shared" si="5"/>
        <v>0</v>
      </c>
      <c r="P103" s="331"/>
      <c r="Q103" s="331"/>
      <c r="R103" s="331"/>
      <c r="S103" s="331"/>
      <c r="T103" s="331"/>
      <c r="U103" s="331"/>
      <c r="V103" s="331"/>
      <c r="W103" s="287"/>
      <c r="AH103" s="359">
        <v>719</v>
      </c>
      <c r="AI103" s="359">
        <v>719</v>
      </c>
      <c r="AJ103" s="359" t="s">
        <v>1507</v>
      </c>
      <c r="AK103" s="359">
        <v>408</v>
      </c>
      <c r="AL103" s="359" t="s">
        <v>1507</v>
      </c>
    </row>
    <row r="104" spans="1:38" ht="25.5" x14ac:dyDescent="0.2">
      <c r="A104" s="356">
        <v>461</v>
      </c>
      <c r="B104" s="356" t="s">
        <v>1376</v>
      </c>
      <c r="C104" s="356" t="s">
        <v>1386</v>
      </c>
      <c r="D104" s="356">
        <v>22725</v>
      </c>
      <c r="E104" s="356" t="s">
        <v>61</v>
      </c>
      <c r="F104" s="356">
        <v>54</v>
      </c>
      <c r="G104" s="356" t="s">
        <v>1689</v>
      </c>
      <c r="H104" s="358">
        <f>ROWS($G$4:G104)</f>
        <v>101</v>
      </c>
      <c r="I104" s="358" t="str">
        <f>IF('School Level Expenditures'!$B$2=A104,'School Tables'!H104,"")</f>
        <v/>
      </c>
      <c r="J104" s="358" t="str">
        <f>IFERROR(SMALL($I$4:$I$325,ROWS($I$4:I104)),"")</f>
        <v/>
      </c>
      <c r="K104" s="332" t="b">
        <f t="shared" si="5"/>
        <v>0</v>
      </c>
      <c r="P104" s="331"/>
      <c r="Q104" s="331"/>
      <c r="R104" s="331"/>
      <c r="S104" s="331"/>
      <c r="T104" s="331"/>
      <c r="U104" s="331"/>
      <c r="V104" s="331"/>
      <c r="W104" s="287"/>
      <c r="AH104">
        <v>299</v>
      </c>
      <c r="AI104">
        <v>299</v>
      </c>
      <c r="AJ104" t="s">
        <v>1181</v>
      </c>
      <c r="AK104">
        <v>71</v>
      </c>
      <c r="AL104" t="s">
        <v>1736</v>
      </c>
    </row>
    <row r="105" spans="1:38" ht="25.5" x14ac:dyDescent="0.2">
      <c r="A105" s="356">
        <v>335</v>
      </c>
      <c r="B105" s="356" t="s">
        <v>906</v>
      </c>
      <c r="C105" s="356" t="s">
        <v>1214</v>
      </c>
      <c r="D105" s="356">
        <v>21530</v>
      </c>
      <c r="E105" s="356" t="s">
        <v>61</v>
      </c>
      <c r="F105" s="356">
        <v>37</v>
      </c>
      <c r="G105" s="356" t="s">
        <v>1672</v>
      </c>
      <c r="H105" s="358">
        <f>ROWS($G$4:G105)</f>
        <v>102</v>
      </c>
      <c r="I105" s="358" t="str">
        <f>IF('School Level Expenditures'!$B$2=A105,'School Tables'!H105,"")</f>
        <v/>
      </c>
      <c r="J105" s="358" t="str">
        <f>IFERROR(SMALL($I$4:$I$325,ROWS($I$4:I105)),"")</f>
        <v/>
      </c>
      <c r="K105" s="332" t="b">
        <f t="shared" si="5"/>
        <v>0</v>
      </c>
      <c r="P105" s="331"/>
      <c r="Q105" s="331"/>
      <c r="R105" s="331"/>
      <c r="S105" s="331"/>
      <c r="T105" s="331"/>
      <c r="U105" s="331"/>
      <c r="V105" s="331"/>
      <c r="W105" s="287"/>
      <c r="AH105">
        <v>305</v>
      </c>
      <c r="AI105">
        <v>0</v>
      </c>
      <c r="AJ105" t="s">
        <v>1183</v>
      </c>
      <c r="AK105">
        <v>68</v>
      </c>
      <c r="AL105" t="s">
        <v>1738</v>
      </c>
    </row>
    <row r="106" spans="1:38" ht="25.5" x14ac:dyDescent="0.2">
      <c r="A106" s="356">
        <v>211</v>
      </c>
      <c r="B106" s="356" t="s">
        <v>1081</v>
      </c>
      <c r="C106" s="356" t="s">
        <v>1082</v>
      </c>
      <c r="D106" s="356">
        <v>21330</v>
      </c>
      <c r="E106" s="356" t="s">
        <v>61</v>
      </c>
      <c r="F106" s="356">
        <v>75</v>
      </c>
      <c r="G106" s="356" t="s">
        <v>1717</v>
      </c>
      <c r="H106" s="358">
        <f>ROWS($G$4:G106)</f>
        <v>103</v>
      </c>
      <c r="I106" s="358" t="str">
        <f>IF('School Level Expenditures'!$B$2=A106,'School Tables'!H106,"")</f>
        <v/>
      </c>
      <c r="J106" s="358" t="str">
        <f>IFERROR(SMALL($I$4:$I$325,ROWS($I$4:I106)),"")</f>
        <v/>
      </c>
      <c r="K106" s="332" t="b">
        <f t="shared" si="5"/>
        <v>0</v>
      </c>
      <c r="P106" s="331"/>
      <c r="Q106" s="331"/>
      <c r="R106" s="331"/>
      <c r="S106" s="331"/>
      <c r="T106" s="331"/>
      <c r="U106" s="331"/>
      <c r="V106" s="331"/>
      <c r="W106" s="287"/>
      <c r="AH106">
        <v>306</v>
      </c>
      <c r="AI106">
        <v>0</v>
      </c>
      <c r="AJ106" t="s">
        <v>1187</v>
      </c>
      <c r="AK106">
        <v>35</v>
      </c>
      <c r="AL106" t="s">
        <v>1680</v>
      </c>
    </row>
    <row r="107" spans="1:38" ht="25.5" x14ac:dyDescent="0.2">
      <c r="A107" s="356">
        <v>335</v>
      </c>
      <c r="B107" s="356" t="s">
        <v>906</v>
      </c>
      <c r="C107" s="356" t="s">
        <v>1224</v>
      </c>
      <c r="D107" s="356">
        <v>21610</v>
      </c>
      <c r="E107" s="356" t="s">
        <v>61</v>
      </c>
      <c r="F107" s="356">
        <v>37</v>
      </c>
      <c r="G107" s="356" t="s">
        <v>1672</v>
      </c>
      <c r="H107" s="358">
        <f>ROWS($G$4:G107)</f>
        <v>104</v>
      </c>
      <c r="I107" s="358" t="str">
        <f>IF('School Level Expenditures'!$B$2=A107,'School Tables'!H107,"")</f>
        <v/>
      </c>
      <c r="J107" s="358" t="str">
        <f>IFERROR(SMALL($I$4:$I$325,ROWS($I$4:I107)),"")</f>
        <v/>
      </c>
      <c r="K107" s="332" t="b">
        <f t="shared" si="5"/>
        <v>0</v>
      </c>
      <c r="P107" s="331"/>
      <c r="Q107" s="331"/>
      <c r="R107" s="331"/>
      <c r="S107" s="331"/>
      <c r="T107" s="331"/>
      <c r="U107" s="331"/>
      <c r="V107" s="331"/>
      <c r="W107" s="287"/>
      <c r="AH107">
        <v>315</v>
      </c>
      <c r="AI107">
        <v>315</v>
      </c>
      <c r="AJ107" t="s">
        <v>1191</v>
      </c>
      <c r="AK107">
        <v>27</v>
      </c>
      <c r="AL107" t="s">
        <v>1719</v>
      </c>
    </row>
    <row r="108" spans="1:38" ht="38.25" x14ac:dyDescent="0.2">
      <c r="A108" s="356">
        <v>112</v>
      </c>
      <c r="B108" s="356" t="s">
        <v>977</v>
      </c>
      <c r="C108" s="356" t="s">
        <v>983</v>
      </c>
      <c r="D108" s="356">
        <v>22250</v>
      </c>
      <c r="E108" s="356" t="s">
        <v>61</v>
      </c>
      <c r="F108" s="356">
        <v>1</v>
      </c>
      <c r="G108" s="356" t="s">
        <v>1668</v>
      </c>
      <c r="H108" s="358">
        <f>ROWS($G$4:G108)</f>
        <v>105</v>
      </c>
      <c r="I108" s="358" t="str">
        <f>IF('School Level Expenditures'!$B$2=A108,'School Tables'!H108,"")</f>
        <v/>
      </c>
      <c r="J108" s="358" t="str">
        <f>IFERROR(SMALL($I$4:$I$325,ROWS($I$4:I108)),"")</f>
        <v/>
      </c>
      <c r="K108" s="332" t="b">
        <f t="shared" si="5"/>
        <v>0</v>
      </c>
      <c r="P108" s="331"/>
      <c r="Q108" s="331"/>
      <c r="R108" s="331"/>
      <c r="S108" s="331"/>
      <c r="T108" s="331"/>
      <c r="U108" s="331"/>
      <c r="V108" s="331"/>
      <c r="W108" s="287"/>
      <c r="AH108">
        <v>317</v>
      </c>
      <c r="AI108">
        <v>317</v>
      </c>
      <c r="AJ108" t="s">
        <v>1195</v>
      </c>
      <c r="AK108">
        <v>84</v>
      </c>
      <c r="AL108" t="s">
        <v>1746</v>
      </c>
    </row>
    <row r="109" spans="1:38" ht="25.5" x14ac:dyDescent="0.2">
      <c r="A109" s="356">
        <v>215</v>
      </c>
      <c r="B109" s="356" t="s">
        <v>1083</v>
      </c>
      <c r="C109" s="356" t="s">
        <v>1084</v>
      </c>
      <c r="D109" s="356">
        <v>22450</v>
      </c>
      <c r="E109" s="356" t="s">
        <v>61</v>
      </c>
      <c r="F109" s="356">
        <v>50</v>
      </c>
      <c r="G109" s="356" t="s">
        <v>1718</v>
      </c>
      <c r="H109" s="358">
        <f>ROWS($G$4:G109)</f>
        <v>106</v>
      </c>
      <c r="I109" s="358" t="str">
        <f>IF('School Level Expenditures'!$B$2=A109,'School Tables'!H109,"")</f>
        <v/>
      </c>
      <c r="J109" s="358" t="str">
        <f>IFERROR(SMALL($I$4:$I$325,ROWS($I$4:I109)),"")</f>
        <v/>
      </c>
      <c r="K109" s="332" t="b">
        <f t="shared" si="5"/>
        <v>0</v>
      </c>
      <c r="P109" s="331"/>
      <c r="Q109" s="331"/>
      <c r="R109" s="331"/>
      <c r="S109" s="331"/>
      <c r="T109" s="331"/>
      <c r="U109" s="331"/>
      <c r="V109" s="331"/>
      <c r="W109" s="287"/>
      <c r="AH109">
        <v>319</v>
      </c>
      <c r="AI109">
        <v>319</v>
      </c>
      <c r="AJ109" t="s">
        <v>1199</v>
      </c>
      <c r="AK109">
        <v>12</v>
      </c>
      <c r="AL109" t="s">
        <v>1743</v>
      </c>
    </row>
    <row r="110" spans="1:38" ht="25.5" x14ac:dyDescent="0.2">
      <c r="A110" s="356">
        <v>315</v>
      </c>
      <c r="B110" s="356" t="s">
        <v>1191</v>
      </c>
      <c r="C110" s="356" t="s">
        <v>1192</v>
      </c>
      <c r="D110" s="356">
        <v>21095</v>
      </c>
      <c r="E110" s="356" t="s">
        <v>61</v>
      </c>
      <c r="F110" s="356">
        <v>27</v>
      </c>
      <c r="G110" s="356" t="s">
        <v>1719</v>
      </c>
      <c r="H110" s="358">
        <f>ROWS($G$4:G110)</f>
        <v>107</v>
      </c>
      <c r="I110" s="358" t="str">
        <f>IF('School Level Expenditures'!$B$2=A110,'School Tables'!H110,"")</f>
        <v/>
      </c>
      <c r="J110" s="358" t="str">
        <f>IFERROR(SMALL($I$4:$I$325,ROWS($I$4:I110)),"")</f>
        <v/>
      </c>
      <c r="K110" s="332" t="b">
        <f t="shared" si="5"/>
        <v>0</v>
      </c>
      <c r="P110" s="331"/>
      <c r="Q110" s="331"/>
      <c r="R110" s="331"/>
      <c r="S110" s="331"/>
      <c r="T110" s="331"/>
      <c r="U110" s="331"/>
      <c r="V110" s="331"/>
      <c r="W110" s="287"/>
      <c r="AH110">
        <v>327</v>
      </c>
      <c r="AI110">
        <v>327</v>
      </c>
      <c r="AJ110" t="s">
        <v>1206</v>
      </c>
      <c r="AK110">
        <v>76</v>
      </c>
      <c r="AL110" t="s">
        <v>1740</v>
      </c>
    </row>
    <row r="111" spans="1:38" ht="38.25" x14ac:dyDescent="0.2">
      <c r="A111" s="356">
        <v>131</v>
      </c>
      <c r="B111" s="356" t="s">
        <v>1000</v>
      </c>
      <c r="C111" s="356" t="s">
        <v>1005</v>
      </c>
      <c r="D111" s="356">
        <v>20390</v>
      </c>
      <c r="E111" s="356" t="s">
        <v>61</v>
      </c>
      <c r="F111" s="356">
        <v>10</v>
      </c>
      <c r="G111" s="356" t="s">
        <v>1699</v>
      </c>
      <c r="H111" s="358">
        <f>ROWS($G$4:G111)</f>
        <v>108</v>
      </c>
      <c r="I111" s="358" t="str">
        <f>IF('School Level Expenditures'!$B$2=A111,'School Tables'!H111,"")</f>
        <v/>
      </c>
      <c r="J111" s="358" t="str">
        <f>IFERROR(SMALL($I$4:$I$325,ROWS($I$4:I111)),"")</f>
        <v/>
      </c>
      <c r="K111" s="332" t="b">
        <f t="shared" si="5"/>
        <v>0</v>
      </c>
      <c r="P111" s="331"/>
      <c r="Q111" s="331"/>
      <c r="R111" s="331"/>
      <c r="S111" s="331"/>
      <c r="T111" s="331"/>
      <c r="U111" s="331"/>
      <c r="V111" s="331"/>
      <c r="W111" s="287"/>
      <c r="AH111">
        <v>333</v>
      </c>
      <c r="AI111">
        <v>333</v>
      </c>
      <c r="AJ111" t="s">
        <v>1208</v>
      </c>
      <c r="AK111">
        <v>13</v>
      </c>
      <c r="AL111" t="s">
        <v>1709</v>
      </c>
    </row>
    <row r="112" spans="1:38" ht="63.75" x14ac:dyDescent="0.2">
      <c r="A112" s="356">
        <v>407</v>
      </c>
      <c r="B112" s="356" t="s">
        <v>1327</v>
      </c>
      <c r="C112" s="356" t="s">
        <v>1329</v>
      </c>
      <c r="D112" s="356">
        <v>22905</v>
      </c>
      <c r="E112" s="356" t="s">
        <v>61</v>
      </c>
      <c r="F112" s="356">
        <v>58</v>
      </c>
      <c r="G112" s="356" t="s">
        <v>1720</v>
      </c>
      <c r="H112" s="358">
        <f>ROWS($G$4:G112)</f>
        <v>109</v>
      </c>
      <c r="I112" s="358" t="str">
        <f>IF('School Level Expenditures'!$B$2=A112,'School Tables'!H112,"")</f>
        <v/>
      </c>
      <c r="J112" s="358" t="str">
        <f>IFERROR(SMALL($I$4:$I$325,ROWS($I$4:I112)),"")</f>
        <v/>
      </c>
      <c r="K112" s="332" t="b">
        <f t="shared" si="5"/>
        <v>0</v>
      </c>
      <c r="P112" s="331"/>
      <c r="Q112" s="331"/>
      <c r="R112" s="331"/>
      <c r="S112" s="331"/>
      <c r="T112" s="331"/>
      <c r="U112" s="331"/>
      <c r="V112" s="331"/>
      <c r="W112" s="287"/>
      <c r="AH112" s="359">
        <v>733</v>
      </c>
      <c r="AI112" s="359">
        <v>733</v>
      </c>
      <c r="AJ112" s="359" t="s">
        <v>1519</v>
      </c>
      <c r="AK112" s="359">
        <v>418</v>
      </c>
      <c r="AL112" s="359" t="s">
        <v>1519</v>
      </c>
    </row>
    <row r="113" spans="1:38" ht="25.5" x14ac:dyDescent="0.2">
      <c r="A113" s="356">
        <v>407</v>
      </c>
      <c r="B113" s="356" t="s">
        <v>1327</v>
      </c>
      <c r="C113" s="356" t="s">
        <v>1330</v>
      </c>
      <c r="D113" s="356">
        <v>26600</v>
      </c>
      <c r="E113" s="356" t="s">
        <v>61</v>
      </c>
      <c r="F113" s="356">
        <v>58</v>
      </c>
      <c r="G113" s="356" t="s">
        <v>1720</v>
      </c>
      <c r="H113" s="358">
        <f>ROWS($G$4:G113)</f>
        <v>110</v>
      </c>
      <c r="I113" s="358" t="str">
        <f>IF('School Level Expenditures'!$B$2=A113,'School Tables'!H113,"")</f>
        <v/>
      </c>
      <c r="J113" s="358" t="str">
        <f>IFERROR(SMALL($I$4:$I$325,ROWS($I$4:I113)),"")</f>
        <v/>
      </c>
      <c r="K113" s="332" t="b">
        <f t="shared" si="5"/>
        <v>0</v>
      </c>
      <c r="P113" s="331"/>
      <c r="Q113" s="331"/>
      <c r="R113" s="331"/>
      <c r="S113" s="331"/>
      <c r="T113" s="331"/>
      <c r="U113" s="331"/>
      <c r="V113" s="331"/>
      <c r="W113" s="287"/>
      <c r="AH113">
        <v>335</v>
      </c>
      <c r="AI113">
        <v>335</v>
      </c>
      <c r="AJ113" t="s">
        <v>906</v>
      </c>
      <c r="AK113">
        <v>37</v>
      </c>
      <c r="AL113" t="s">
        <v>1672</v>
      </c>
    </row>
    <row r="114" spans="1:38" ht="25.5" x14ac:dyDescent="0.2">
      <c r="A114" s="356">
        <v>223</v>
      </c>
      <c r="B114" s="356" t="s">
        <v>1085</v>
      </c>
      <c r="C114" s="356" t="s">
        <v>1087</v>
      </c>
      <c r="D114" s="356">
        <v>22755</v>
      </c>
      <c r="E114" s="356" t="s">
        <v>61</v>
      </c>
      <c r="F114" s="356">
        <v>55</v>
      </c>
      <c r="G114" s="356" t="s">
        <v>1721</v>
      </c>
      <c r="H114" s="358">
        <f>ROWS($G$4:G114)</f>
        <v>111</v>
      </c>
      <c r="I114" s="358" t="str">
        <f>IF('School Level Expenditures'!$B$2=A114,'School Tables'!H114,"")</f>
        <v/>
      </c>
      <c r="J114" s="358" t="str">
        <f>IFERROR(SMALL($I$4:$I$325,ROWS($I$4:I114)),"")</f>
        <v/>
      </c>
      <c r="K114" s="332" t="b">
        <f t="shared" si="5"/>
        <v>0</v>
      </c>
      <c r="P114" s="331"/>
      <c r="Q114" s="331"/>
      <c r="R114" s="331"/>
      <c r="S114" s="331"/>
      <c r="T114" s="331"/>
      <c r="U114" s="331"/>
      <c r="V114" s="331"/>
      <c r="W114" s="287"/>
      <c r="AH114">
        <v>339</v>
      </c>
      <c r="AI114">
        <v>339</v>
      </c>
      <c r="AJ114" t="s">
        <v>1228</v>
      </c>
      <c r="AK114">
        <v>29</v>
      </c>
      <c r="AL114" t="s">
        <v>1691</v>
      </c>
    </row>
    <row r="115" spans="1:38" ht="25.5" x14ac:dyDescent="0.2">
      <c r="A115" s="356">
        <v>225</v>
      </c>
      <c r="B115" s="356" t="s">
        <v>1088</v>
      </c>
      <c r="C115" s="356" t="s">
        <v>1536</v>
      </c>
      <c r="D115" s="356">
        <v>20790</v>
      </c>
      <c r="E115" s="356" t="s">
        <v>61</v>
      </c>
      <c r="F115" s="356">
        <v>90</v>
      </c>
      <c r="G115" s="356" t="s">
        <v>1663</v>
      </c>
      <c r="H115" s="358">
        <f>ROWS($G$4:G115)</f>
        <v>112</v>
      </c>
      <c r="I115" s="358" t="str">
        <f>IF('School Level Expenditures'!$B$2=A115,'School Tables'!H115,"")</f>
        <v/>
      </c>
      <c r="J115" s="358" t="str">
        <f>IFERROR(SMALL($I$4:$I$325,ROWS($I$4:I115)),"")</f>
        <v/>
      </c>
      <c r="K115" s="332" t="b">
        <f t="shared" si="5"/>
        <v>0</v>
      </c>
      <c r="P115" s="331"/>
      <c r="Q115" s="331"/>
      <c r="R115" s="331"/>
      <c r="S115" s="331"/>
      <c r="T115" s="331"/>
      <c r="U115" s="331"/>
      <c r="V115" s="331"/>
      <c r="W115" s="287"/>
      <c r="AH115">
        <v>341</v>
      </c>
      <c r="AI115">
        <v>341</v>
      </c>
      <c r="AJ115" t="s">
        <v>1230</v>
      </c>
      <c r="AK115">
        <v>29</v>
      </c>
      <c r="AL115" t="s">
        <v>1691</v>
      </c>
    </row>
    <row r="116" spans="1:38" ht="25.5" x14ac:dyDescent="0.2">
      <c r="A116" s="356">
        <v>225</v>
      </c>
      <c r="B116" s="356" t="s">
        <v>1088</v>
      </c>
      <c r="C116" s="356" t="s">
        <v>1089</v>
      </c>
      <c r="D116" s="356">
        <v>20770</v>
      </c>
      <c r="E116" s="356" t="s">
        <v>61</v>
      </c>
      <c r="F116" s="356">
        <v>90</v>
      </c>
      <c r="G116" s="356" t="s">
        <v>1663</v>
      </c>
      <c r="H116" s="358">
        <f>ROWS($G$4:G116)</f>
        <v>113</v>
      </c>
      <c r="I116" s="358" t="str">
        <f>IF('School Level Expenditures'!$B$2=A116,'School Tables'!H116,"")</f>
        <v/>
      </c>
      <c r="J116" s="358" t="str">
        <f>IFERROR(SMALL($I$4:$I$325,ROWS($I$4:I116)),"")</f>
        <v/>
      </c>
      <c r="K116" s="332" t="b">
        <f t="shared" si="5"/>
        <v>0</v>
      </c>
      <c r="P116" s="331"/>
      <c r="Q116" s="331"/>
      <c r="R116" s="331"/>
      <c r="S116" s="331"/>
      <c r="T116" s="331"/>
      <c r="U116" s="331"/>
      <c r="V116" s="331"/>
      <c r="W116" s="287"/>
      <c r="AH116">
        <v>342</v>
      </c>
      <c r="AI116">
        <v>0</v>
      </c>
      <c r="AJ116" t="s">
        <v>1232</v>
      </c>
      <c r="AK116">
        <v>87</v>
      </c>
      <c r="AL116" t="s">
        <v>1726</v>
      </c>
    </row>
    <row r="117" spans="1:38" ht="38.25" x14ac:dyDescent="0.2">
      <c r="A117" s="356">
        <v>112</v>
      </c>
      <c r="B117" s="356" t="s">
        <v>977</v>
      </c>
      <c r="C117" s="356" t="s">
        <v>984</v>
      </c>
      <c r="D117" s="356">
        <v>22260</v>
      </c>
      <c r="E117" s="356" t="s">
        <v>61</v>
      </c>
      <c r="F117" s="356">
        <v>1</v>
      </c>
      <c r="G117" s="356" t="s">
        <v>1668</v>
      </c>
      <c r="H117" s="358">
        <f>ROWS($G$4:G117)</f>
        <v>114</v>
      </c>
      <c r="I117" s="358" t="str">
        <f>IF('School Level Expenditures'!$B$2=A117,'School Tables'!H117,"")</f>
        <v/>
      </c>
      <c r="J117" s="358" t="str">
        <f>IFERROR(SMALL($I$4:$I$325,ROWS($I$4:I117)),"")</f>
        <v/>
      </c>
      <c r="K117" s="332" t="b">
        <f t="shared" si="5"/>
        <v>0</v>
      </c>
      <c r="P117" s="331"/>
      <c r="Q117" s="331"/>
      <c r="R117" s="331"/>
      <c r="S117" s="331"/>
      <c r="T117" s="331"/>
      <c r="U117" s="331"/>
      <c r="V117" s="331"/>
      <c r="W117" s="287"/>
      <c r="AH117">
        <v>343</v>
      </c>
      <c r="AI117">
        <v>0</v>
      </c>
      <c r="AJ117" t="s">
        <v>1236</v>
      </c>
      <c r="AK117">
        <v>62</v>
      </c>
      <c r="AL117" t="s">
        <v>1685</v>
      </c>
    </row>
    <row r="118" spans="1:38" ht="25.5" x14ac:dyDescent="0.2">
      <c r="A118" s="356">
        <v>295</v>
      </c>
      <c r="B118" s="356" t="s">
        <v>1176</v>
      </c>
      <c r="C118" s="356" t="s">
        <v>1177</v>
      </c>
      <c r="D118" s="356">
        <v>21335</v>
      </c>
      <c r="E118" s="356" t="s">
        <v>61</v>
      </c>
      <c r="F118" s="356">
        <v>88</v>
      </c>
      <c r="G118" s="356" t="s">
        <v>1722</v>
      </c>
      <c r="H118" s="358">
        <f>ROWS($G$4:G118)</f>
        <v>115</v>
      </c>
      <c r="I118" s="358" t="str">
        <f>IF('School Level Expenditures'!$B$2=A118,'School Tables'!H118,"")</f>
        <v/>
      </c>
      <c r="J118" s="358" t="str">
        <f>IFERROR(SMALL($I$4:$I$325,ROWS($I$4:I118)),"")</f>
        <v/>
      </c>
      <c r="K118" s="332" t="b">
        <f t="shared" si="5"/>
        <v>0</v>
      </c>
      <c r="P118" s="331"/>
      <c r="Q118" s="331"/>
      <c r="R118" s="331"/>
      <c r="S118" s="331"/>
      <c r="T118" s="331"/>
      <c r="U118" s="331"/>
      <c r="V118" s="331"/>
      <c r="W118" s="287"/>
      <c r="AH118">
        <v>345</v>
      </c>
      <c r="AI118">
        <v>345</v>
      </c>
      <c r="AJ118" t="s">
        <v>1241</v>
      </c>
      <c r="AK118">
        <v>89</v>
      </c>
      <c r="AL118" t="s">
        <v>1741</v>
      </c>
    </row>
    <row r="119" spans="1:38" ht="25.5" x14ac:dyDescent="0.2">
      <c r="A119" s="356">
        <v>263</v>
      </c>
      <c r="B119" s="356" t="s">
        <v>1125</v>
      </c>
      <c r="C119" s="356" t="s">
        <v>1129</v>
      </c>
      <c r="D119" s="356">
        <v>20975</v>
      </c>
      <c r="E119" s="356" t="s">
        <v>61</v>
      </c>
      <c r="F119" s="356">
        <v>66</v>
      </c>
      <c r="G119" s="356" t="s">
        <v>1723</v>
      </c>
      <c r="H119" s="358">
        <f>ROWS($G$4:G119)</f>
        <v>116</v>
      </c>
      <c r="I119" s="358" t="str">
        <f>IF('School Level Expenditures'!$B$2=A119,'School Tables'!H119,"")</f>
        <v/>
      </c>
      <c r="J119" s="358" t="str">
        <f>IFERROR(SMALL($I$4:$I$325,ROWS($I$4:I119)),"")</f>
        <v/>
      </c>
      <c r="K119" s="332" t="b">
        <f t="shared" si="5"/>
        <v>0</v>
      </c>
      <c r="P119" s="331"/>
      <c r="Q119" s="331"/>
      <c r="R119" s="331"/>
      <c r="S119" s="331"/>
      <c r="T119" s="331"/>
      <c r="U119" s="331"/>
      <c r="V119" s="331"/>
      <c r="W119" s="287"/>
      <c r="AH119">
        <v>351</v>
      </c>
      <c r="AI119">
        <v>351</v>
      </c>
      <c r="AJ119" t="s">
        <v>1243</v>
      </c>
      <c r="AK119">
        <v>26</v>
      </c>
      <c r="AL119" t="s">
        <v>1732</v>
      </c>
    </row>
    <row r="120" spans="1:38" ht="25.5" x14ac:dyDescent="0.2">
      <c r="A120" s="356">
        <v>245</v>
      </c>
      <c r="B120" s="356" t="s">
        <v>1101</v>
      </c>
      <c r="C120" s="356" t="s">
        <v>1102</v>
      </c>
      <c r="D120" s="356">
        <v>20935</v>
      </c>
      <c r="E120" s="356" t="s">
        <v>61</v>
      </c>
      <c r="F120" s="356">
        <v>24</v>
      </c>
      <c r="G120" s="356" t="s">
        <v>1688</v>
      </c>
      <c r="H120" s="358">
        <f>ROWS($G$4:G120)</f>
        <v>117</v>
      </c>
      <c r="I120" s="358" t="str">
        <f>IF('School Level Expenditures'!$B$2=A120,'School Tables'!H120,"")</f>
        <v/>
      </c>
      <c r="J120" s="358" t="str">
        <f>IFERROR(SMALL($I$4:$I$325,ROWS($I$4:I120)),"")</f>
        <v/>
      </c>
      <c r="K120" s="332" t="b">
        <f t="shared" si="5"/>
        <v>0</v>
      </c>
      <c r="P120" s="331"/>
      <c r="Q120" s="331"/>
      <c r="R120" s="331"/>
      <c r="S120" s="331"/>
      <c r="T120" s="331"/>
      <c r="U120" s="331"/>
      <c r="V120" s="331"/>
      <c r="W120" s="287"/>
      <c r="AH120">
        <v>352</v>
      </c>
      <c r="AI120">
        <v>0</v>
      </c>
      <c r="AJ120" t="s">
        <v>1250</v>
      </c>
      <c r="AK120">
        <v>46</v>
      </c>
      <c r="AL120" t="s">
        <v>1667</v>
      </c>
    </row>
    <row r="121" spans="1:38" ht="63.75" x14ac:dyDescent="0.2">
      <c r="A121" s="356">
        <v>79</v>
      </c>
      <c r="B121" s="356" t="s">
        <v>955</v>
      </c>
      <c r="C121" s="356" t="s">
        <v>956</v>
      </c>
      <c r="D121" s="356">
        <v>20535</v>
      </c>
      <c r="E121" s="356" t="s">
        <v>61</v>
      </c>
      <c r="F121" s="356">
        <v>15</v>
      </c>
      <c r="G121" s="356" t="s">
        <v>1671</v>
      </c>
      <c r="H121" s="358">
        <f>ROWS($G$4:G121)</f>
        <v>118</v>
      </c>
      <c r="I121" s="358" t="str">
        <f>IF('School Level Expenditures'!$B$2=A121,'School Tables'!H121,"")</f>
        <v/>
      </c>
      <c r="J121" s="358" t="str">
        <f>IFERROR(SMALL($I$4:$I$325,ROWS($I$4:I121)),"")</f>
        <v/>
      </c>
      <c r="K121" s="332" t="b">
        <f t="shared" si="5"/>
        <v>0</v>
      </c>
      <c r="P121" s="331"/>
      <c r="Q121" s="331"/>
      <c r="R121" s="331"/>
      <c r="S121" s="331"/>
      <c r="T121" s="331"/>
      <c r="U121" s="331"/>
      <c r="V121" s="331"/>
      <c r="W121" s="287"/>
      <c r="AH121" s="359">
        <v>744</v>
      </c>
      <c r="AI121" s="359">
        <v>744</v>
      </c>
      <c r="AJ121" s="359" t="s">
        <v>1603</v>
      </c>
      <c r="AK121" s="359">
        <v>430</v>
      </c>
      <c r="AL121" s="359" t="s">
        <v>1603</v>
      </c>
    </row>
    <row r="122" spans="1:38" ht="25.5" x14ac:dyDescent="0.2">
      <c r="A122" s="356">
        <v>335</v>
      </c>
      <c r="B122" s="356" t="s">
        <v>906</v>
      </c>
      <c r="C122" s="356" t="s">
        <v>1602</v>
      </c>
      <c r="D122" s="356">
        <v>21640</v>
      </c>
      <c r="E122" s="356" t="s">
        <v>61</v>
      </c>
      <c r="F122" s="356">
        <v>37</v>
      </c>
      <c r="G122" s="356" t="s">
        <v>1672</v>
      </c>
      <c r="H122" s="358">
        <f>ROWS($G$4:G122)</f>
        <v>119</v>
      </c>
      <c r="I122" s="358" t="str">
        <f>IF('School Level Expenditures'!$B$2=A122,'School Tables'!H122,"")</f>
        <v/>
      </c>
      <c r="J122" s="358" t="str">
        <f>IFERROR(SMALL($I$4:$I$325,ROWS($I$4:I122)),"")</f>
        <v/>
      </c>
      <c r="K122" s="332" t="b">
        <f t="shared" si="5"/>
        <v>0</v>
      </c>
      <c r="P122" s="331"/>
      <c r="Q122" s="331"/>
      <c r="R122" s="331"/>
      <c r="S122" s="331"/>
      <c r="T122" s="331"/>
      <c r="U122" s="331"/>
      <c r="V122" s="331"/>
      <c r="W122" s="287"/>
      <c r="AH122">
        <v>353</v>
      </c>
      <c r="AI122">
        <v>353</v>
      </c>
      <c r="AJ122" t="s">
        <v>1258</v>
      </c>
      <c r="AK122">
        <v>69</v>
      </c>
      <c r="AL122" t="s">
        <v>1745</v>
      </c>
    </row>
    <row r="123" spans="1:38" ht="25.5" x14ac:dyDescent="0.2">
      <c r="A123" s="356">
        <v>175</v>
      </c>
      <c r="B123" s="356" t="s">
        <v>1045</v>
      </c>
      <c r="C123" s="356" t="s">
        <v>1048</v>
      </c>
      <c r="D123" s="356">
        <v>22055</v>
      </c>
      <c r="E123" s="356" t="s">
        <v>61</v>
      </c>
      <c r="F123" s="356">
        <v>61</v>
      </c>
      <c r="G123" s="356" t="s">
        <v>1724</v>
      </c>
      <c r="H123" s="358">
        <f>ROWS($G$4:G123)</f>
        <v>120</v>
      </c>
      <c r="I123" s="358" t="str">
        <f>IF('School Level Expenditures'!$B$2=A123,'School Tables'!H123,"")</f>
        <v/>
      </c>
      <c r="J123" s="358" t="str">
        <f>IFERROR(SMALL($I$4:$I$325,ROWS($I$4:I123)),"")</f>
        <v/>
      </c>
      <c r="K123" s="332" t="b">
        <f t="shared" si="5"/>
        <v>0</v>
      </c>
      <c r="P123" s="331"/>
      <c r="Q123" s="331"/>
      <c r="R123" s="331"/>
      <c r="S123" s="331"/>
      <c r="T123" s="331"/>
      <c r="U123" s="331"/>
      <c r="V123" s="331"/>
      <c r="W123" s="287"/>
      <c r="AH123">
        <v>355</v>
      </c>
      <c r="AI123">
        <v>355</v>
      </c>
      <c r="AJ123" t="s">
        <v>1260</v>
      </c>
      <c r="AK123">
        <v>20</v>
      </c>
      <c r="AL123" t="s">
        <v>1703</v>
      </c>
    </row>
    <row r="124" spans="1:38" ht="25.5" x14ac:dyDescent="0.2">
      <c r="A124" s="356">
        <v>357</v>
      </c>
      <c r="B124" s="356" t="s">
        <v>1262</v>
      </c>
      <c r="C124" s="356" t="s">
        <v>1265</v>
      </c>
      <c r="D124" s="356">
        <v>27895</v>
      </c>
      <c r="E124" s="356" t="s">
        <v>61</v>
      </c>
      <c r="F124" s="356">
        <v>40</v>
      </c>
      <c r="G124" s="356" t="s">
        <v>1725</v>
      </c>
      <c r="H124" s="358">
        <f>ROWS($G$4:G124)</f>
        <v>121</v>
      </c>
      <c r="I124" s="358" t="str">
        <f>IF('School Level Expenditures'!$B$2=A124,'School Tables'!H124,"")</f>
        <v/>
      </c>
      <c r="J124" s="358" t="str">
        <f>IFERROR(SMALL($I$4:$I$325,ROWS($I$4:I124)),"")</f>
        <v/>
      </c>
      <c r="K124" s="332" t="b">
        <f t="shared" si="5"/>
        <v>0</v>
      </c>
      <c r="P124" s="331"/>
      <c r="Q124" s="331"/>
      <c r="R124" s="331"/>
      <c r="S124" s="331"/>
      <c r="T124" s="331"/>
      <c r="U124" s="331"/>
      <c r="V124" s="331"/>
      <c r="W124" s="287"/>
      <c r="AH124">
        <v>357</v>
      </c>
      <c r="AI124">
        <v>357</v>
      </c>
      <c r="AJ124" t="s">
        <v>1262</v>
      </c>
      <c r="AK124">
        <v>40</v>
      </c>
      <c r="AL124" t="s">
        <v>1725</v>
      </c>
    </row>
    <row r="125" spans="1:38" ht="38.25" x14ac:dyDescent="0.2">
      <c r="A125" s="356">
        <v>342</v>
      </c>
      <c r="B125" s="356" t="s">
        <v>1232</v>
      </c>
      <c r="C125" s="356" t="s">
        <v>1235</v>
      </c>
      <c r="D125" s="356">
        <v>28990</v>
      </c>
      <c r="E125" s="356" t="s">
        <v>61</v>
      </c>
      <c r="F125" s="356">
        <v>87</v>
      </c>
      <c r="G125" s="356" t="s">
        <v>1726</v>
      </c>
      <c r="H125" s="358">
        <f>ROWS($G$4:G125)</f>
        <v>122</v>
      </c>
      <c r="I125" s="358" t="str">
        <f>IF('School Level Expenditures'!$B$2=A125,'School Tables'!H125,"")</f>
        <v/>
      </c>
      <c r="J125" s="358" t="str">
        <f>IFERROR(SMALL($I$4:$I$325,ROWS($I$4:I125)),"")</f>
        <v/>
      </c>
      <c r="K125" s="332" t="b">
        <f t="shared" si="5"/>
        <v>0</v>
      </c>
      <c r="P125" s="331"/>
      <c r="Q125" s="331"/>
      <c r="R125" s="331"/>
      <c r="S125" s="331"/>
      <c r="T125" s="331"/>
      <c r="U125" s="331"/>
      <c r="V125" s="331"/>
      <c r="W125" s="287"/>
      <c r="AH125" s="359">
        <v>729</v>
      </c>
      <c r="AI125" s="359">
        <v>729</v>
      </c>
      <c r="AJ125" s="359" t="s">
        <v>1516</v>
      </c>
      <c r="AK125" s="359">
        <v>416</v>
      </c>
      <c r="AL125" s="359" t="s">
        <v>1516</v>
      </c>
    </row>
    <row r="126" spans="1:38" ht="25.5" x14ac:dyDescent="0.2">
      <c r="A126" s="356">
        <v>335</v>
      </c>
      <c r="B126" s="356" t="s">
        <v>906</v>
      </c>
      <c r="C126" s="356" t="s">
        <v>1218</v>
      </c>
      <c r="D126" s="356">
        <v>21560</v>
      </c>
      <c r="E126" s="356" t="s">
        <v>61</v>
      </c>
      <c r="F126" s="356">
        <v>37</v>
      </c>
      <c r="G126" s="356" t="s">
        <v>1672</v>
      </c>
      <c r="H126" s="358">
        <f>ROWS($G$4:G126)</f>
        <v>123</v>
      </c>
      <c r="I126" s="358" t="str">
        <f>IF('School Level Expenditures'!$B$2=A126,'School Tables'!H126,"")</f>
        <v/>
      </c>
      <c r="J126" s="358" t="str">
        <f>IFERROR(SMALL($I$4:$I$325,ROWS($I$4:I126)),"")</f>
        <v/>
      </c>
      <c r="K126" s="332" t="b">
        <f t="shared" si="5"/>
        <v>0</v>
      </c>
      <c r="AH126">
        <v>359</v>
      </c>
      <c r="AI126">
        <v>359</v>
      </c>
      <c r="AJ126" t="s">
        <v>1267</v>
      </c>
      <c r="AK126">
        <v>64</v>
      </c>
      <c r="AL126" t="s">
        <v>1747</v>
      </c>
    </row>
    <row r="127" spans="1:38" ht="25.5" x14ac:dyDescent="0.2">
      <c r="A127" s="356">
        <v>267</v>
      </c>
      <c r="B127" s="356" t="s">
        <v>1130</v>
      </c>
      <c r="C127" s="356" t="s">
        <v>1134</v>
      </c>
      <c r="D127" s="356">
        <v>27900</v>
      </c>
      <c r="E127" s="356" t="s">
        <v>61</v>
      </c>
      <c r="F127" s="356">
        <v>81</v>
      </c>
      <c r="G127" s="356" t="s">
        <v>1700</v>
      </c>
      <c r="H127" s="358">
        <f>ROWS($G$4:G127)</f>
        <v>124</v>
      </c>
      <c r="I127" s="358" t="str">
        <f>IF('School Level Expenditures'!$B$2=A127,'School Tables'!H127,"")</f>
        <v/>
      </c>
      <c r="J127" s="358" t="str">
        <f>IFERROR(SMALL($I$4:$I$325,ROWS($I$4:I127)),"")</f>
        <v/>
      </c>
      <c r="K127" s="332" t="b">
        <f t="shared" si="5"/>
        <v>0</v>
      </c>
      <c r="AH127">
        <v>363</v>
      </c>
      <c r="AI127">
        <v>0</v>
      </c>
      <c r="AJ127" t="s">
        <v>1271</v>
      </c>
      <c r="AK127">
        <v>93</v>
      </c>
      <c r="AL127" t="s">
        <v>1697</v>
      </c>
    </row>
    <row r="128" spans="1:38" ht="38.25" x14ac:dyDescent="0.2">
      <c r="A128" s="356">
        <v>251</v>
      </c>
      <c r="B128" s="356" t="s">
        <v>1105</v>
      </c>
      <c r="C128" s="356" t="s">
        <v>1107</v>
      </c>
      <c r="D128" s="356">
        <v>20955</v>
      </c>
      <c r="E128" s="356" t="s">
        <v>61</v>
      </c>
      <c r="F128" s="356">
        <v>34</v>
      </c>
      <c r="G128" s="356" t="s">
        <v>1727</v>
      </c>
      <c r="H128" s="358">
        <f>ROWS($G$4:G128)</f>
        <v>125</v>
      </c>
      <c r="I128" s="358" t="str">
        <f>IF('School Level Expenditures'!$B$2=A128,'School Tables'!H128,"")</f>
        <v/>
      </c>
      <c r="J128" s="358" t="str">
        <f>IFERROR(SMALL($I$4:$I$325,ROWS($I$4:I128)),"")</f>
        <v/>
      </c>
      <c r="K128" s="332" t="b">
        <f t="shared" si="5"/>
        <v>0</v>
      </c>
      <c r="AH128">
        <v>365</v>
      </c>
      <c r="AI128">
        <v>365</v>
      </c>
      <c r="AJ128" t="s">
        <v>1276</v>
      </c>
      <c r="AK128">
        <v>77</v>
      </c>
      <c r="AL128" t="s">
        <v>1748</v>
      </c>
    </row>
    <row r="129" spans="1:38" ht="25.5" x14ac:dyDescent="0.2">
      <c r="A129" s="356">
        <v>255</v>
      </c>
      <c r="B129" s="356" t="s">
        <v>1109</v>
      </c>
      <c r="C129" s="356" t="s">
        <v>1111</v>
      </c>
      <c r="D129" s="356">
        <v>21680</v>
      </c>
      <c r="E129" s="356" t="s">
        <v>61</v>
      </c>
      <c r="F129" s="356">
        <v>92</v>
      </c>
      <c r="G129" s="356" t="s">
        <v>1728</v>
      </c>
      <c r="H129" s="358">
        <f>ROWS($G$4:G129)</f>
        <v>126</v>
      </c>
      <c r="I129" s="358" t="str">
        <f>IF('School Level Expenditures'!$B$2=A129,'School Tables'!H129,"")</f>
        <v/>
      </c>
      <c r="J129" s="358" t="str">
        <f>IFERROR(SMALL($I$4:$I$325,ROWS($I$4:I129)),"")</f>
        <v/>
      </c>
      <c r="K129" s="332" t="b">
        <f t="shared" si="5"/>
        <v>0</v>
      </c>
      <c r="AH129">
        <v>367</v>
      </c>
      <c r="AI129">
        <v>367</v>
      </c>
      <c r="AJ129" t="s">
        <v>1278</v>
      </c>
      <c r="AK129">
        <v>39</v>
      </c>
      <c r="AL129" t="s">
        <v>1692</v>
      </c>
    </row>
    <row r="130" spans="1:38" ht="25.5" x14ac:dyDescent="0.2">
      <c r="A130" s="356">
        <v>257</v>
      </c>
      <c r="B130" s="356" t="s">
        <v>1113</v>
      </c>
      <c r="C130" s="356" t="s">
        <v>1114</v>
      </c>
      <c r="D130" s="356">
        <v>22345</v>
      </c>
      <c r="E130" s="356" t="s">
        <v>61</v>
      </c>
      <c r="F130" s="356">
        <v>48</v>
      </c>
      <c r="G130" s="356" t="s">
        <v>1684</v>
      </c>
      <c r="H130" s="358">
        <f>ROWS($G$4:G130)</f>
        <v>127</v>
      </c>
      <c r="I130" s="358" t="str">
        <f>IF('School Level Expenditures'!$B$2=A130,'School Tables'!H130,"")</f>
        <v/>
      </c>
      <c r="J130" s="358" t="str">
        <f>IFERROR(SMALL($I$4:$I$325,ROWS($I$4:I130)),"")</f>
        <v/>
      </c>
      <c r="K130" s="332" t="b">
        <f t="shared" si="5"/>
        <v>0</v>
      </c>
      <c r="AH130">
        <v>369</v>
      </c>
      <c r="AI130">
        <v>369</v>
      </c>
      <c r="AJ130" t="s">
        <v>1280</v>
      </c>
      <c r="AK130">
        <v>45</v>
      </c>
      <c r="AL130" t="s">
        <v>1749</v>
      </c>
    </row>
    <row r="131" spans="1:38" ht="51" x14ac:dyDescent="0.2">
      <c r="A131" s="356">
        <v>259</v>
      </c>
      <c r="B131" s="356" t="s">
        <v>1115</v>
      </c>
      <c r="C131" s="356" t="s">
        <v>1117</v>
      </c>
      <c r="D131" s="356">
        <v>21815</v>
      </c>
      <c r="E131" s="356" t="s">
        <v>61</v>
      </c>
      <c r="F131" s="356">
        <v>41</v>
      </c>
      <c r="G131" s="356" t="s">
        <v>1686</v>
      </c>
      <c r="H131" s="358">
        <f>ROWS($G$4:G131)</f>
        <v>128</v>
      </c>
      <c r="I131" s="358" t="str">
        <f>IF('School Level Expenditures'!$B$2=A131,'School Tables'!H131,"")</f>
        <v/>
      </c>
      <c r="J131" s="358" t="str">
        <f>IFERROR(SMALL($I$4:$I$325,ROWS($I$4:I131)),"")</f>
        <v/>
      </c>
      <c r="K131" s="332" t="b">
        <f t="shared" si="5"/>
        <v>0</v>
      </c>
      <c r="AH131" s="359">
        <v>704</v>
      </c>
      <c r="AI131" s="359">
        <v>704</v>
      </c>
      <c r="AJ131" s="359" t="s">
        <v>1495</v>
      </c>
      <c r="AK131" s="359">
        <v>427</v>
      </c>
      <c r="AL131" s="359" t="s">
        <v>1495</v>
      </c>
    </row>
    <row r="132" spans="1:38" ht="38.25" x14ac:dyDescent="0.2">
      <c r="A132" s="356">
        <v>259</v>
      </c>
      <c r="B132" s="356" t="s">
        <v>1115</v>
      </c>
      <c r="C132" s="356" t="s">
        <v>1116</v>
      </c>
      <c r="D132" s="356">
        <v>27530</v>
      </c>
      <c r="E132" s="356" t="s">
        <v>61</v>
      </c>
      <c r="F132" s="356">
        <v>41</v>
      </c>
      <c r="G132" s="356" t="s">
        <v>1686</v>
      </c>
      <c r="H132" s="358">
        <f>ROWS($G$4:G132)</f>
        <v>129</v>
      </c>
      <c r="I132" s="358" t="str">
        <f>IF('School Level Expenditures'!$B$2=A132,'School Tables'!H132,"")</f>
        <v/>
      </c>
      <c r="J132" s="358" t="str">
        <f>IFERROR(SMALL($I$4:$I$325,ROWS($I$4:I132)),"")</f>
        <v/>
      </c>
      <c r="K132" s="332" t="b">
        <f t="shared" si="5"/>
        <v>0</v>
      </c>
      <c r="AH132">
        <v>371</v>
      </c>
      <c r="AI132">
        <v>371</v>
      </c>
      <c r="AJ132" t="s">
        <v>1283</v>
      </c>
      <c r="AK132">
        <v>42</v>
      </c>
      <c r="AL132" t="s">
        <v>1666</v>
      </c>
    </row>
    <row r="133" spans="1:38" ht="25.5" x14ac:dyDescent="0.2">
      <c r="A133" s="356">
        <v>261</v>
      </c>
      <c r="B133" s="356" t="s">
        <v>1121</v>
      </c>
      <c r="C133" s="356" t="s">
        <v>1122</v>
      </c>
      <c r="D133" s="356">
        <v>20540</v>
      </c>
      <c r="E133" s="356" t="s">
        <v>61</v>
      </c>
      <c r="F133" s="356">
        <v>15</v>
      </c>
      <c r="G133" s="356" t="s">
        <v>1671</v>
      </c>
      <c r="H133" s="358">
        <f>ROWS($G$4:G133)</f>
        <v>130</v>
      </c>
      <c r="I133" s="358" t="str">
        <f>IF('School Level Expenditures'!$B$2=A133,'School Tables'!H133,"")</f>
        <v/>
      </c>
      <c r="J133" s="358" t="str">
        <f>IFERROR(SMALL($I$4:$I$325,ROWS($I$4:I133)),"")</f>
        <v/>
      </c>
      <c r="K133" s="332" t="b">
        <f t="shared" ref="K133:K196" si="7">C133=C134</f>
        <v>0</v>
      </c>
      <c r="AH133">
        <v>375</v>
      </c>
      <c r="AI133">
        <v>375</v>
      </c>
      <c r="AJ133" t="s">
        <v>1301</v>
      </c>
      <c r="AK133">
        <v>29</v>
      </c>
      <c r="AL133" t="s">
        <v>1691</v>
      </c>
    </row>
    <row r="134" spans="1:38" ht="25.5" x14ac:dyDescent="0.2">
      <c r="A134" s="356">
        <v>141</v>
      </c>
      <c r="B134" s="356" t="s">
        <v>1008</v>
      </c>
      <c r="C134" s="356" t="s">
        <v>1011</v>
      </c>
      <c r="D134" s="356">
        <v>20445</v>
      </c>
      <c r="E134" s="356" t="s">
        <v>61</v>
      </c>
      <c r="F134" s="356">
        <v>11</v>
      </c>
      <c r="G134" s="356" t="s">
        <v>1710</v>
      </c>
      <c r="H134" s="358">
        <f>ROWS($G$4:G134)</f>
        <v>131</v>
      </c>
      <c r="I134" s="358" t="str">
        <f>IF('School Level Expenditures'!$B$2=A134,'School Tables'!H134,"")</f>
        <v/>
      </c>
      <c r="J134" s="358" t="str">
        <f>IFERROR(SMALL($I$4:$I$325,ROWS($I$4:I134)),"")</f>
        <v/>
      </c>
      <c r="K134" s="332" t="b">
        <f t="shared" si="7"/>
        <v>0</v>
      </c>
      <c r="AH134">
        <v>377</v>
      </c>
      <c r="AI134">
        <v>377</v>
      </c>
      <c r="AJ134" t="s">
        <v>1303</v>
      </c>
      <c r="AK134">
        <v>19</v>
      </c>
      <c r="AL134" t="s">
        <v>1675</v>
      </c>
    </row>
    <row r="135" spans="1:38" ht="25.5" x14ac:dyDescent="0.2">
      <c r="A135" s="356">
        <v>491</v>
      </c>
      <c r="B135" s="356" t="s">
        <v>1415</v>
      </c>
      <c r="C135" s="356" t="s">
        <v>1418</v>
      </c>
      <c r="D135" s="356">
        <v>29202</v>
      </c>
      <c r="E135" s="356" t="s">
        <v>61</v>
      </c>
      <c r="F135" s="356">
        <v>56</v>
      </c>
      <c r="G135" s="356" t="s">
        <v>1729</v>
      </c>
      <c r="H135" s="358">
        <f>ROWS($G$4:G135)</f>
        <v>132</v>
      </c>
      <c r="I135" s="358" t="str">
        <f>IF('School Level Expenditures'!$B$2=A135,'School Tables'!H135,"")</f>
        <v/>
      </c>
      <c r="J135" s="358" t="str">
        <f>IFERROR(SMALL($I$4:$I$325,ROWS($I$4:I135)),"")</f>
        <v/>
      </c>
      <c r="K135" s="332" t="b">
        <f t="shared" si="7"/>
        <v>0</v>
      </c>
      <c r="AH135">
        <v>381</v>
      </c>
      <c r="AI135">
        <v>381</v>
      </c>
      <c r="AJ135" t="s">
        <v>1305</v>
      </c>
      <c r="AK135">
        <v>50</v>
      </c>
      <c r="AL135" t="s">
        <v>1718</v>
      </c>
    </row>
    <row r="136" spans="1:38" ht="38.25" x14ac:dyDescent="0.2">
      <c r="A136" s="356">
        <v>343</v>
      </c>
      <c r="B136" s="356" t="s">
        <v>1236</v>
      </c>
      <c r="C136" s="356" t="s">
        <v>1240</v>
      </c>
      <c r="D136" s="356">
        <v>26405</v>
      </c>
      <c r="E136" s="356" t="s">
        <v>61</v>
      </c>
      <c r="F136" s="356">
        <v>62</v>
      </c>
      <c r="G136" s="356" t="s">
        <v>1685</v>
      </c>
      <c r="H136" s="358">
        <f>ROWS($G$4:G136)</f>
        <v>133</v>
      </c>
      <c r="I136" s="358" t="str">
        <f>IF('School Level Expenditures'!$B$2=A136,'School Tables'!H136,"")</f>
        <v/>
      </c>
      <c r="J136" s="358" t="str">
        <f>IFERROR(SMALL($I$4:$I$325,ROWS($I$4:I136)),"")</f>
        <v/>
      </c>
      <c r="K136" s="332" t="b">
        <f t="shared" si="7"/>
        <v>0</v>
      </c>
      <c r="AH136">
        <v>387</v>
      </c>
      <c r="AI136">
        <v>387</v>
      </c>
      <c r="AJ136" t="s">
        <v>1307</v>
      </c>
      <c r="AK136">
        <v>16</v>
      </c>
      <c r="AL136" t="s">
        <v>1702</v>
      </c>
    </row>
    <row r="137" spans="1:38" ht="38.25" x14ac:dyDescent="0.2">
      <c r="A137" s="356">
        <v>269</v>
      </c>
      <c r="B137" s="356" t="s">
        <v>1136</v>
      </c>
      <c r="C137" s="356" t="s">
        <v>1137</v>
      </c>
      <c r="D137" s="356">
        <v>29200</v>
      </c>
      <c r="E137" s="356" t="s">
        <v>61</v>
      </c>
      <c r="F137" s="356">
        <v>2</v>
      </c>
      <c r="G137" s="356" t="s">
        <v>1669</v>
      </c>
      <c r="H137" s="358">
        <f>ROWS($G$4:G137)</f>
        <v>134</v>
      </c>
      <c r="I137" s="358" t="str">
        <f>IF('School Level Expenditures'!$B$2=A137,'School Tables'!H137,"")</f>
        <v/>
      </c>
      <c r="J137" s="358" t="str">
        <f>IFERROR(SMALL($I$4:$I$325,ROWS($I$4:I137)),"")</f>
        <v/>
      </c>
      <c r="K137" s="332" t="b">
        <f t="shared" si="7"/>
        <v>0</v>
      </c>
      <c r="AH137">
        <v>388</v>
      </c>
      <c r="AI137">
        <v>0</v>
      </c>
      <c r="AJ137" t="s">
        <v>1787</v>
      </c>
      <c r="AK137">
        <v>4</v>
      </c>
      <c r="AL137" t="s">
        <v>1683</v>
      </c>
    </row>
    <row r="138" spans="1:38" ht="38.25" x14ac:dyDescent="0.2">
      <c r="A138" s="356">
        <v>269</v>
      </c>
      <c r="B138" s="356" t="s">
        <v>1136</v>
      </c>
      <c r="C138" s="356" t="s">
        <v>1138</v>
      </c>
      <c r="D138" s="356">
        <v>29201</v>
      </c>
      <c r="E138" s="356" t="s">
        <v>61</v>
      </c>
      <c r="F138" s="356">
        <v>2</v>
      </c>
      <c r="G138" s="356" t="s">
        <v>1669</v>
      </c>
      <c r="H138" s="358">
        <f>ROWS($G$4:G138)</f>
        <v>135</v>
      </c>
      <c r="I138" s="358" t="str">
        <f>IF('School Level Expenditures'!$B$2=A138,'School Tables'!H138,"")</f>
        <v/>
      </c>
      <c r="J138" s="358" t="str">
        <f>IFERROR(SMALL($I$4:$I$325,ROWS($I$4:I138)),"")</f>
        <v/>
      </c>
      <c r="K138" s="332" t="b">
        <f t="shared" si="7"/>
        <v>0</v>
      </c>
      <c r="AH138">
        <v>391</v>
      </c>
      <c r="AI138">
        <v>391</v>
      </c>
      <c r="AJ138" t="s">
        <v>1315</v>
      </c>
      <c r="AK138">
        <v>50</v>
      </c>
      <c r="AL138" t="s">
        <v>1718</v>
      </c>
    </row>
    <row r="139" spans="1:38" ht="25.5" x14ac:dyDescent="0.2">
      <c r="A139" s="356">
        <v>271</v>
      </c>
      <c r="B139" s="356" t="s">
        <v>1141</v>
      </c>
      <c r="C139" s="356" t="s">
        <v>1142</v>
      </c>
      <c r="D139" s="356">
        <v>20355</v>
      </c>
      <c r="E139" s="356" t="s">
        <v>61</v>
      </c>
      <c r="F139" s="356">
        <v>9</v>
      </c>
      <c r="G139" s="356" t="s">
        <v>1694</v>
      </c>
      <c r="H139" s="358">
        <f>ROWS($G$4:G139)</f>
        <v>136</v>
      </c>
      <c r="I139" s="358" t="str">
        <f>IF('School Level Expenditures'!$B$2=A139,'School Tables'!H139,"")</f>
        <v/>
      </c>
      <c r="J139" s="358" t="str">
        <f>IFERROR(SMALL($I$4:$I$325,ROWS($I$4:I139)),"")</f>
        <v/>
      </c>
      <c r="K139" s="332" t="b">
        <f t="shared" si="7"/>
        <v>0</v>
      </c>
      <c r="AH139">
        <v>399</v>
      </c>
      <c r="AI139">
        <v>399</v>
      </c>
      <c r="AJ139" t="s">
        <v>1317</v>
      </c>
      <c r="AK139">
        <v>31</v>
      </c>
      <c r="AL139" t="s">
        <v>1750</v>
      </c>
    </row>
    <row r="140" spans="1:38" ht="25.5" x14ac:dyDescent="0.2">
      <c r="A140" s="356">
        <v>357</v>
      </c>
      <c r="B140" s="356" t="s">
        <v>1262</v>
      </c>
      <c r="C140" s="356" t="s">
        <v>1266</v>
      </c>
      <c r="D140" s="356">
        <v>26580</v>
      </c>
      <c r="E140" s="356" t="s">
        <v>61</v>
      </c>
      <c r="F140" s="356">
        <v>40</v>
      </c>
      <c r="G140" s="356" t="s">
        <v>1725</v>
      </c>
      <c r="H140" s="358">
        <f>ROWS($G$4:G140)</f>
        <v>137</v>
      </c>
      <c r="I140" s="358" t="str">
        <f>IF('School Level Expenditures'!$B$2=A140,'School Tables'!H140,"")</f>
        <v/>
      </c>
      <c r="J140" s="358" t="str">
        <f>IFERROR(SMALL($I$4:$I$325,ROWS($I$4:I140)),"")</f>
        <v/>
      </c>
      <c r="K140" s="332" t="b">
        <f t="shared" si="7"/>
        <v>0</v>
      </c>
      <c r="AH140">
        <v>401</v>
      </c>
      <c r="AI140">
        <v>401</v>
      </c>
      <c r="AJ140" t="s">
        <v>1321</v>
      </c>
      <c r="AK140">
        <v>43</v>
      </c>
      <c r="AL140" t="s">
        <v>1757</v>
      </c>
    </row>
    <row r="141" spans="1:38" ht="25.5" x14ac:dyDescent="0.2">
      <c r="A141" s="356">
        <v>274</v>
      </c>
      <c r="B141" s="356" t="s">
        <v>1143</v>
      </c>
      <c r="C141" s="356" t="s">
        <v>1146</v>
      </c>
      <c r="D141" s="356">
        <v>22275</v>
      </c>
      <c r="E141" s="356" t="s">
        <v>61</v>
      </c>
      <c r="F141" s="356">
        <v>47</v>
      </c>
      <c r="G141" s="356" t="s">
        <v>1730</v>
      </c>
      <c r="H141" s="358">
        <f>ROWS($G$4:G141)</f>
        <v>138</v>
      </c>
      <c r="I141" s="358" t="str">
        <f>IF('School Level Expenditures'!$B$2=A141,'School Tables'!H141,"")</f>
        <v/>
      </c>
      <c r="J141" s="358" t="str">
        <f>IFERROR(SMALL($I$4:$I$325,ROWS($I$4:I141)),"")</f>
        <v/>
      </c>
      <c r="K141" s="332" t="b">
        <f t="shared" si="7"/>
        <v>0</v>
      </c>
      <c r="AH141" s="359">
        <v>740</v>
      </c>
      <c r="AI141" s="359">
        <v>740</v>
      </c>
      <c r="AJ141" s="359" t="s">
        <v>1523</v>
      </c>
      <c r="AK141" s="359">
        <v>422</v>
      </c>
      <c r="AL141" s="359" t="s">
        <v>1523</v>
      </c>
    </row>
    <row r="142" spans="1:38" ht="51" x14ac:dyDescent="0.2">
      <c r="A142" s="356">
        <v>503</v>
      </c>
      <c r="B142" s="356" t="s">
        <v>1428</v>
      </c>
      <c r="C142" s="356" t="s">
        <v>1429</v>
      </c>
      <c r="D142" s="356">
        <v>20980</v>
      </c>
      <c r="E142" s="356" t="s">
        <v>61</v>
      </c>
      <c r="F142" s="356">
        <v>24</v>
      </c>
      <c r="G142" s="356" t="s">
        <v>1688</v>
      </c>
      <c r="H142" s="358">
        <f>ROWS($G$4:G142)</f>
        <v>139</v>
      </c>
      <c r="I142" s="358" t="str">
        <f>IF('School Level Expenditures'!$B$2=A142,'School Tables'!H142,"")</f>
        <v/>
      </c>
      <c r="J142" s="358" t="str">
        <f>IFERROR(SMALL($I$4:$I$325,ROWS($I$4:I142)),"")</f>
        <v/>
      </c>
      <c r="K142" s="332" t="b">
        <f t="shared" si="7"/>
        <v>0</v>
      </c>
      <c r="AH142" s="359">
        <v>703</v>
      </c>
      <c r="AI142" s="359">
        <v>703</v>
      </c>
      <c r="AJ142" s="359" t="s">
        <v>1492</v>
      </c>
      <c r="AK142" s="359">
        <v>402</v>
      </c>
      <c r="AL142" s="359" t="s">
        <v>1492</v>
      </c>
    </row>
    <row r="143" spans="1:38" ht="38.25" x14ac:dyDescent="0.2">
      <c r="A143" s="356">
        <v>276</v>
      </c>
      <c r="B143" s="356" t="s">
        <v>1150</v>
      </c>
      <c r="C143" s="356" t="s">
        <v>1557</v>
      </c>
      <c r="D143" s="356">
        <v>26565</v>
      </c>
      <c r="E143" s="356" t="s">
        <v>1554</v>
      </c>
      <c r="F143" s="356">
        <v>65</v>
      </c>
      <c r="G143" s="356" t="s">
        <v>1731</v>
      </c>
      <c r="H143" s="358">
        <f>ROWS($G$4:G143)</f>
        <v>140</v>
      </c>
      <c r="I143" s="358" t="str">
        <f>IF('School Level Expenditures'!$B$2=A143,'School Tables'!H143,"")</f>
        <v/>
      </c>
      <c r="J143" s="358" t="str">
        <f>IFERROR(SMALL($I$4:$I$325,ROWS($I$4:I143)),"")</f>
        <v/>
      </c>
      <c r="K143" s="332" t="b">
        <f t="shared" si="7"/>
        <v>0</v>
      </c>
      <c r="AH143">
        <v>405</v>
      </c>
      <c r="AI143">
        <v>405</v>
      </c>
      <c r="AJ143" t="s">
        <v>1325</v>
      </c>
      <c r="AK143">
        <v>21</v>
      </c>
      <c r="AL143" t="s">
        <v>1737</v>
      </c>
    </row>
    <row r="144" spans="1:38" ht="51" x14ac:dyDescent="0.2">
      <c r="A144" s="356">
        <v>351</v>
      </c>
      <c r="B144" s="356" t="s">
        <v>1243</v>
      </c>
      <c r="C144" s="356" t="s">
        <v>1246</v>
      </c>
      <c r="D144" s="356">
        <v>21020</v>
      </c>
      <c r="E144" s="356" t="s">
        <v>61</v>
      </c>
      <c r="F144" s="356">
        <v>26</v>
      </c>
      <c r="G144" s="356" t="s">
        <v>1732</v>
      </c>
      <c r="H144" s="358">
        <f>ROWS($G$4:G144)</f>
        <v>141</v>
      </c>
      <c r="I144" s="358" t="str">
        <f>IF('School Level Expenditures'!$B$2=A144,'School Tables'!H144,"")</f>
        <v/>
      </c>
      <c r="J144" s="358" t="str">
        <f>IFERROR(SMALL($I$4:$I$325,ROWS($I$4:I144)),"")</f>
        <v/>
      </c>
      <c r="K144" s="332" t="b">
        <f t="shared" si="7"/>
        <v>0</v>
      </c>
      <c r="AH144" s="359">
        <v>716</v>
      </c>
      <c r="AI144" s="359">
        <v>716</v>
      </c>
      <c r="AJ144" s="359" t="s">
        <v>1620</v>
      </c>
      <c r="AK144" s="359">
        <v>441</v>
      </c>
      <c r="AL144" s="359" t="s">
        <v>1620</v>
      </c>
    </row>
    <row r="145" spans="1:38" ht="25.5" x14ac:dyDescent="0.2">
      <c r="A145" s="356">
        <v>351</v>
      </c>
      <c r="B145" s="356" t="s">
        <v>1243</v>
      </c>
      <c r="C145" s="356" t="s">
        <v>1247</v>
      </c>
      <c r="D145" s="356">
        <v>21025</v>
      </c>
      <c r="E145" s="356" t="s">
        <v>61</v>
      </c>
      <c r="F145" s="356">
        <v>26</v>
      </c>
      <c r="G145" s="356" t="s">
        <v>1732</v>
      </c>
      <c r="H145" s="358">
        <f>ROWS($G$4:G145)</f>
        <v>142</v>
      </c>
      <c r="I145" s="358" t="str">
        <f>IF('School Level Expenditures'!$B$2=A145,'School Tables'!H145,"")</f>
        <v/>
      </c>
      <c r="J145" s="358" t="str">
        <f>IFERROR(SMALL($I$4:$I$325,ROWS($I$4:I145)),"")</f>
        <v/>
      </c>
      <c r="K145" s="332" t="b">
        <f t="shared" si="7"/>
        <v>0</v>
      </c>
      <c r="AH145">
        <v>407</v>
      </c>
      <c r="AI145">
        <v>407</v>
      </c>
      <c r="AJ145" t="s">
        <v>1327</v>
      </c>
      <c r="AK145">
        <v>58</v>
      </c>
      <c r="AL145" t="s">
        <v>1720</v>
      </c>
    </row>
    <row r="146" spans="1:38" ht="12.75" x14ac:dyDescent="0.2">
      <c r="A146" s="356">
        <v>247</v>
      </c>
      <c r="B146" s="356" t="s">
        <v>1103</v>
      </c>
      <c r="C146" s="356" t="s">
        <v>1104</v>
      </c>
      <c r="D146" s="356">
        <v>20670</v>
      </c>
      <c r="E146" s="356" t="s">
        <v>61</v>
      </c>
      <c r="F146" s="356">
        <v>103</v>
      </c>
      <c r="G146" s="356" t="s">
        <v>1733</v>
      </c>
      <c r="H146" s="358">
        <f>ROWS($G$4:G146)</f>
        <v>143</v>
      </c>
      <c r="I146" s="358" t="str">
        <f>IF('School Level Expenditures'!$B$2=A146,'School Tables'!H146,"")</f>
        <v/>
      </c>
      <c r="J146" s="358" t="str">
        <f>IFERROR(SMALL($I$4:$I$325,ROWS($I$4:I146)),"")</f>
        <v/>
      </c>
      <c r="K146" s="332" t="b">
        <f t="shared" si="7"/>
        <v>0</v>
      </c>
      <c r="AH146">
        <v>411</v>
      </c>
      <c r="AI146">
        <v>411</v>
      </c>
      <c r="AJ146" t="s">
        <v>1331</v>
      </c>
      <c r="AK146">
        <v>44</v>
      </c>
      <c r="AL146" t="s">
        <v>1751</v>
      </c>
    </row>
    <row r="147" spans="1:38" ht="25.5" x14ac:dyDescent="0.2">
      <c r="A147" s="356">
        <v>335</v>
      </c>
      <c r="B147" s="356" t="s">
        <v>906</v>
      </c>
      <c r="C147" s="356" t="s">
        <v>1221</v>
      </c>
      <c r="D147" s="356">
        <v>21590</v>
      </c>
      <c r="E147" s="356" t="s">
        <v>61</v>
      </c>
      <c r="F147" s="356">
        <v>37</v>
      </c>
      <c r="G147" s="356" t="s">
        <v>1672</v>
      </c>
      <c r="H147" s="358">
        <f>ROWS($G$4:G147)</f>
        <v>144</v>
      </c>
      <c r="I147" s="358" t="str">
        <f>IF('School Level Expenditures'!$B$2=A147,'School Tables'!H147,"")</f>
        <v/>
      </c>
      <c r="J147" s="358" t="str">
        <f>IFERROR(SMALL($I$4:$I$325,ROWS($I$4:I147)),"")</f>
        <v/>
      </c>
      <c r="K147" s="332" t="b">
        <f t="shared" si="7"/>
        <v>0</v>
      </c>
      <c r="AH147">
        <v>413</v>
      </c>
      <c r="AI147">
        <v>413</v>
      </c>
      <c r="AJ147" t="s">
        <v>1333</v>
      </c>
      <c r="AK147">
        <v>44</v>
      </c>
      <c r="AL147" t="s">
        <v>1751</v>
      </c>
    </row>
    <row r="148" spans="1:38" ht="25.5" x14ac:dyDescent="0.2">
      <c r="A148" s="356">
        <v>341</v>
      </c>
      <c r="B148" s="356" t="s">
        <v>1230</v>
      </c>
      <c r="C148" s="356" t="s">
        <v>1231</v>
      </c>
      <c r="D148" s="356">
        <v>23000</v>
      </c>
      <c r="E148" s="356" t="s">
        <v>61</v>
      </c>
      <c r="F148" s="356">
        <v>29</v>
      </c>
      <c r="G148" s="356" t="s">
        <v>1691</v>
      </c>
      <c r="H148" s="358">
        <f>ROWS($G$4:G148)</f>
        <v>145</v>
      </c>
      <c r="I148" s="358" t="str">
        <f>IF('School Level Expenditures'!$B$2=A148,'School Tables'!H148,"")</f>
        <v/>
      </c>
      <c r="J148" s="358" t="str">
        <f>IFERROR(SMALL($I$4:$I$325,ROWS($I$4:I148)),"")</f>
        <v/>
      </c>
      <c r="K148" s="332" t="b">
        <f t="shared" si="7"/>
        <v>0</v>
      </c>
      <c r="AH148">
        <v>423</v>
      </c>
      <c r="AI148">
        <v>0</v>
      </c>
      <c r="AJ148" t="s">
        <v>1335</v>
      </c>
      <c r="AK148">
        <v>5</v>
      </c>
      <c r="AL148" t="s">
        <v>1742</v>
      </c>
    </row>
    <row r="149" spans="1:38" ht="25.5" x14ac:dyDescent="0.2">
      <c r="A149" s="356">
        <v>113</v>
      </c>
      <c r="B149" s="356" t="s">
        <v>989</v>
      </c>
      <c r="C149" s="356" t="s">
        <v>991</v>
      </c>
      <c r="D149" s="356">
        <v>20335</v>
      </c>
      <c r="E149" s="356" t="s">
        <v>61</v>
      </c>
      <c r="F149" s="356">
        <v>9</v>
      </c>
      <c r="G149" s="356" t="s">
        <v>1694</v>
      </c>
      <c r="H149" s="358">
        <f>ROWS($G$4:G149)</f>
        <v>146</v>
      </c>
      <c r="I149" s="358" t="str">
        <f>IF('School Level Expenditures'!$B$2=A149,'School Tables'!H149,"")</f>
        <v/>
      </c>
      <c r="J149" s="358" t="str">
        <f>IFERROR(SMALL($I$4:$I$325,ROWS($I$4:I149)),"")</f>
        <v/>
      </c>
      <c r="K149" s="332" t="b">
        <f t="shared" si="7"/>
        <v>0</v>
      </c>
      <c r="AH149">
        <v>425</v>
      </c>
      <c r="AI149">
        <v>425</v>
      </c>
      <c r="AJ149" t="s">
        <v>1340</v>
      </c>
      <c r="AK149">
        <v>28</v>
      </c>
      <c r="AL149" t="s">
        <v>1754</v>
      </c>
    </row>
    <row r="150" spans="1:38" ht="25.5" x14ac:dyDescent="0.2">
      <c r="A150" s="356">
        <v>279</v>
      </c>
      <c r="B150" s="356" t="s">
        <v>1157</v>
      </c>
      <c r="C150" s="356" t="s">
        <v>1558</v>
      </c>
      <c r="D150" s="356">
        <v>29180</v>
      </c>
      <c r="E150" s="356" t="s">
        <v>1554</v>
      </c>
      <c r="F150" s="356">
        <v>29</v>
      </c>
      <c r="G150" s="356" t="s">
        <v>1691</v>
      </c>
      <c r="H150" s="358">
        <f>ROWS($G$4:G150)</f>
        <v>147</v>
      </c>
      <c r="I150" s="358" t="str">
        <f>IF('School Level Expenditures'!$B$2=A150,'School Tables'!H150,"")</f>
        <v/>
      </c>
      <c r="J150" s="358" t="str">
        <f>IFERROR(SMALL($I$4:$I$325,ROWS($I$4:I150)),"")</f>
        <v/>
      </c>
      <c r="K150" s="332" t="b">
        <f t="shared" si="7"/>
        <v>0</v>
      </c>
      <c r="AH150">
        <v>427</v>
      </c>
      <c r="AI150">
        <v>427</v>
      </c>
      <c r="AJ150" t="s">
        <v>1344</v>
      </c>
      <c r="AK150">
        <v>53</v>
      </c>
      <c r="AL150" t="s">
        <v>1664</v>
      </c>
    </row>
    <row r="151" spans="1:38" ht="25.5" x14ac:dyDescent="0.2">
      <c r="A151" s="356">
        <v>35</v>
      </c>
      <c r="B151" s="356" t="s">
        <v>930</v>
      </c>
      <c r="C151" s="356" t="s">
        <v>931</v>
      </c>
      <c r="D151" s="356">
        <v>20325</v>
      </c>
      <c r="E151" s="356" t="s">
        <v>61</v>
      </c>
      <c r="F151" s="356">
        <v>9</v>
      </c>
      <c r="G151" s="356" t="s">
        <v>1694</v>
      </c>
      <c r="H151" s="358">
        <f>ROWS($G$4:G151)</f>
        <v>148</v>
      </c>
      <c r="I151" s="358" t="str">
        <f>IF('School Level Expenditures'!$B$2=A151,'School Tables'!H151,"")</f>
        <v/>
      </c>
      <c r="J151" s="358" t="str">
        <f>IFERROR(SMALL($I$4:$I$325,ROWS($I$4:I151)),"")</f>
        <v/>
      </c>
      <c r="K151" s="332" t="b">
        <f t="shared" si="7"/>
        <v>0</v>
      </c>
      <c r="AH151">
        <v>428</v>
      </c>
      <c r="AI151">
        <v>0</v>
      </c>
      <c r="AJ151" t="s">
        <v>1348</v>
      </c>
      <c r="AK151">
        <v>48</v>
      </c>
      <c r="AL151" t="s">
        <v>1684</v>
      </c>
    </row>
    <row r="152" spans="1:38" ht="38.25" x14ac:dyDescent="0.2">
      <c r="A152" s="356">
        <v>276</v>
      </c>
      <c r="B152" s="356" t="s">
        <v>1150</v>
      </c>
      <c r="C152" s="356" t="s">
        <v>1154</v>
      </c>
      <c r="D152" s="356">
        <v>21980</v>
      </c>
      <c r="E152" s="356" t="s">
        <v>61</v>
      </c>
      <c r="F152" s="356">
        <v>65</v>
      </c>
      <c r="G152" s="356" t="s">
        <v>1731</v>
      </c>
      <c r="H152" s="358">
        <f>ROWS($G$4:G152)</f>
        <v>149</v>
      </c>
      <c r="I152" s="358" t="str">
        <f>IF('School Level Expenditures'!$B$2=A152,'School Tables'!H152,"")</f>
        <v/>
      </c>
      <c r="J152" s="358" t="str">
        <f>IFERROR(SMALL($I$4:$I$325,ROWS($I$4:I152)),"")</f>
        <v/>
      </c>
      <c r="K152" s="332" t="b">
        <f t="shared" si="7"/>
        <v>0</v>
      </c>
      <c r="AH152">
        <v>435</v>
      </c>
      <c r="AI152">
        <v>435</v>
      </c>
      <c r="AJ152" t="s">
        <v>1350</v>
      </c>
      <c r="AK152">
        <v>23</v>
      </c>
      <c r="AL152" t="s">
        <v>1676</v>
      </c>
    </row>
    <row r="153" spans="1:38" ht="38.25" x14ac:dyDescent="0.2">
      <c r="A153" s="356">
        <v>276</v>
      </c>
      <c r="B153" s="356" t="s">
        <v>1150</v>
      </c>
      <c r="C153" s="356" t="s">
        <v>1155</v>
      </c>
      <c r="D153" s="356">
        <v>26530</v>
      </c>
      <c r="E153" s="356" t="s">
        <v>61</v>
      </c>
      <c r="F153" s="356">
        <v>65</v>
      </c>
      <c r="G153" s="356" t="s">
        <v>1731</v>
      </c>
      <c r="H153" s="358">
        <f>ROWS($G$4:G153)</f>
        <v>150</v>
      </c>
      <c r="I153" s="358" t="str">
        <f>IF('School Level Expenditures'!$B$2=A153,'School Tables'!H153,"")</f>
        <v/>
      </c>
      <c r="J153" s="358" t="str">
        <f>IFERROR(SMALL($I$4:$I$325,ROWS($I$4:I153)),"")</f>
        <v/>
      </c>
      <c r="K153" s="332" t="b">
        <f t="shared" si="7"/>
        <v>0</v>
      </c>
      <c r="AH153">
        <v>437</v>
      </c>
      <c r="AI153">
        <v>437</v>
      </c>
      <c r="AJ153" t="s">
        <v>1352</v>
      </c>
      <c r="AK153">
        <v>7</v>
      </c>
      <c r="AL153" t="s">
        <v>1693</v>
      </c>
    </row>
    <row r="154" spans="1:38" ht="25.5" x14ac:dyDescent="0.2">
      <c r="A154" s="356">
        <v>525</v>
      </c>
      <c r="B154" s="356" t="s">
        <v>1439</v>
      </c>
      <c r="C154" s="356" t="s">
        <v>1440</v>
      </c>
      <c r="D154" s="356">
        <v>20365</v>
      </c>
      <c r="E154" s="356" t="s">
        <v>61</v>
      </c>
      <c r="F154" s="356">
        <v>13</v>
      </c>
      <c r="G154" s="356" t="s">
        <v>1709</v>
      </c>
      <c r="H154" s="358">
        <f>ROWS($G$4:G154)</f>
        <v>151</v>
      </c>
      <c r="I154" s="358" t="str">
        <f>IF('School Level Expenditures'!$B$2=A154,'School Tables'!H154,"")</f>
        <v/>
      </c>
      <c r="J154" s="358" t="str">
        <f>IFERROR(SMALL($I$4:$I$325,ROWS($I$4:I154)),"")</f>
        <v/>
      </c>
      <c r="K154" s="332" t="b">
        <f t="shared" si="7"/>
        <v>0</v>
      </c>
      <c r="AH154">
        <v>439</v>
      </c>
      <c r="AI154">
        <v>439</v>
      </c>
      <c r="AJ154" t="s">
        <v>1355</v>
      </c>
      <c r="AK154">
        <v>51</v>
      </c>
      <c r="AL154" t="s">
        <v>1755</v>
      </c>
    </row>
    <row r="155" spans="1:38" ht="25.5" x14ac:dyDescent="0.2">
      <c r="A155" s="356">
        <v>281</v>
      </c>
      <c r="B155" s="356" t="s">
        <v>1164</v>
      </c>
      <c r="C155" s="356" t="s">
        <v>1165</v>
      </c>
      <c r="D155" s="356">
        <v>20605</v>
      </c>
      <c r="E155" s="356" t="s">
        <v>61</v>
      </c>
      <c r="F155" s="356">
        <v>16</v>
      </c>
      <c r="G155" s="356" t="s">
        <v>1702</v>
      </c>
      <c r="H155" s="358">
        <f>ROWS($G$4:G155)</f>
        <v>152</v>
      </c>
      <c r="I155" s="358" t="str">
        <f>IF('School Level Expenditures'!$B$2=A155,'School Tables'!H155,"")</f>
        <v/>
      </c>
      <c r="J155" s="358" t="str">
        <f>IFERROR(SMALL($I$4:$I$325,ROWS($I$4:I155)),"")</f>
        <v/>
      </c>
      <c r="K155" s="332" t="b">
        <f t="shared" si="7"/>
        <v>0</v>
      </c>
      <c r="AH155">
        <v>441</v>
      </c>
      <c r="AI155">
        <v>441</v>
      </c>
      <c r="AJ155" t="s">
        <v>1359</v>
      </c>
      <c r="AK155">
        <v>32</v>
      </c>
      <c r="AL155" t="s">
        <v>1756</v>
      </c>
    </row>
    <row r="156" spans="1:38" ht="25.5" x14ac:dyDescent="0.2">
      <c r="A156" s="356">
        <v>288</v>
      </c>
      <c r="B156" s="356" t="s">
        <v>1172</v>
      </c>
      <c r="C156" s="356" t="s">
        <v>1173</v>
      </c>
      <c r="D156" s="356">
        <v>21405</v>
      </c>
      <c r="E156" s="356" t="s">
        <v>61</v>
      </c>
      <c r="F156" s="356">
        <v>35</v>
      </c>
      <c r="G156" s="356" t="s">
        <v>1680</v>
      </c>
      <c r="H156" s="358">
        <f>ROWS($G$4:G156)</f>
        <v>153</v>
      </c>
      <c r="I156" s="358" t="str">
        <f>IF('School Level Expenditures'!$B$2=A156,'School Tables'!H156,"")</f>
        <v/>
      </c>
      <c r="J156" s="358" t="str">
        <f>IFERROR(SMALL($I$4:$I$325,ROWS($I$4:I156)),"")</f>
        <v/>
      </c>
      <c r="K156" s="332" t="b">
        <f t="shared" si="7"/>
        <v>0</v>
      </c>
      <c r="AH156">
        <v>447</v>
      </c>
      <c r="AI156">
        <v>447</v>
      </c>
      <c r="AJ156" t="s">
        <v>1361</v>
      </c>
      <c r="AK156">
        <v>48</v>
      </c>
      <c r="AL156" t="s">
        <v>1684</v>
      </c>
    </row>
    <row r="157" spans="1:38" ht="38.25" x14ac:dyDescent="0.2">
      <c r="A157" s="356">
        <v>453</v>
      </c>
      <c r="B157" s="356" t="s">
        <v>1372</v>
      </c>
      <c r="C157" s="356" t="s">
        <v>1373</v>
      </c>
      <c r="D157" s="356">
        <v>21385</v>
      </c>
      <c r="E157" s="356" t="s">
        <v>61</v>
      </c>
      <c r="F157" s="356">
        <v>33</v>
      </c>
      <c r="G157" s="356" t="s">
        <v>1734</v>
      </c>
      <c r="H157" s="358">
        <f>ROWS($G$4:G157)</f>
        <v>154</v>
      </c>
      <c r="I157" s="358" t="str">
        <f>IF('School Level Expenditures'!$B$2=A157,'School Tables'!H157,"")</f>
        <v/>
      </c>
      <c r="J157" s="358" t="str">
        <f>IFERROR(SMALL($I$4:$I$325,ROWS($I$4:I157)),"")</f>
        <v/>
      </c>
      <c r="K157" s="332" t="b">
        <f t="shared" si="7"/>
        <v>0</v>
      </c>
      <c r="AH157" s="359">
        <v>735</v>
      </c>
      <c r="AI157" s="359">
        <v>735</v>
      </c>
      <c r="AJ157" s="359" t="s">
        <v>1521</v>
      </c>
      <c r="AK157" s="359">
        <v>419</v>
      </c>
      <c r="AL157" s="359" t="s">
        <v>1521</v>
      </c>
    </row>
    <row r="158" spans="1:38" ht="51" x14ac:dyDescent="0.2">
      <c r="A158" s="356">
        <v>568</v>
      </c>
      <c r="B158" s="356" t="s">
        <v>1468</v>
      </c>
      <c r="C158" s="356" t="s">
        <v>1470</v>
      </c>
      <c r="D158" s="356">
        <v>21475</v>
      </c>
      <c r="E158" s="356" t="s">
        <v>61</v>
      </c>
      <c r="F158" s="356">
        <v>36</v>
      </c>
      <c r="G158" s="356" t="s">
        <v>1735</v>
      </c>
      <c r="H158" s="358">
        <f>ROWS($G$4:G158)</f>
        <v>155</v>
      </c>
      <c r="I158" s="358" t="str">
        <f>IF('School Level Expenditures'!$B$2=A158,'School Tables'!H158,"")</f>
        <v/>
      </c>
      <c r="J158" s="358" t="str">
        <f>IFERROR(SMALL($I$4:$I$325,ROWS($I$4:I158)),"")</f>
        <v/>
      </c>
      <c r="K158" s="332" t="b">
        <f t="shared" si="7"/>
        <v>0</v>
      </c>
      <c r="AH158">
        <v>449</v>
      </c>
      <c r="AI158">
        <v>449</v>
      </c>
      <c r="AJ158" t="s">
        <v>1363</v>
      </c>
      <c r="AK158">
        <v>52</v>
      </c>
      <c r="AL158" t="s">
        <v>1739</v>
      </c>
    </row>
    <row r="159" spans="1:38" ht="25.5" x14ac:dyDescent="0.2">
      <c r="A159" s="356">
        <v>291</v>
      </c>
      <c r="B159" s="356" t="s">
        <v>1174</v>
      </c>
      <c r="C159" s="356" t="s">
        <v>1175</v>
      </c>
      <c r="D159" s="356">
        <v>21410</v>
      </c>
      <c r="E159" s="356" t="s">
        <v>61</v>
      </c>
      <c r="F159" s="356">
        <v>35</v>
      </c>
      <c r="G159" s="356" t="s">
        <v>1680</v>
      </c>
      <c r="H159" s="358">
        <f>ROWS($G$4:G159)</f>
        <v>156</v>
      </c>
      <c r="I159" s="358" t="str">
        <f>IF('School Level Expenditures'!$B$2=A159,'School Tables'!H159,"")</f>
        <v/>
      </c>
      <c r="J159" s="358" t="str">
        <f>IFERROR(SMALL($I$4:$I$325,ROWS($I$4:I159)),"")</f>
        <v/>
      </c>
      <c r="K159" s="332" t="b">
        <f t="shared" si="7"/>
        <v>0</v>
      </c>
      <c r="AH159">
        <v>450</v>
      </c>
      <c r="AI159">
        <v>0</v>
      </c>
      <c r="AJ159" t="s">
        <v>1369</v>
      </c>
      <c r="AK159">
        <v>35</v>
      </c>
      <c r="AL159" t="s">
        <v>1680</v>
      </c>
    </row>
    <row r="160" spans="1:38" ht="25.5" x14ac:dyDescent="0.2">
      <c r="A160" s="356">
        <v>371</v>
      </c>
      <c r="B160" s="356" t="s">
        <v>1283</v>
      </c>
      <c r="C160" s="356" t="s">
        <v>1295</v>
      </c>
      <c r="D160" s="356">
        <v>21915</v>
      </c>
      <c r="E160" s="356" t="s">
        <v>61</v>
      </c>
      <c r="F160" s="356">
        <v>42</v>
      </c>
      <c r="G160" s="356" t="s">
        <v>1666</v>
      </c>
      <c r="H160" s="358">
        <f>ROWS($G$4:G160)</f>
        <v>157</v>
      </c>
      <c r="I160" s="358" t="str">
        <f>IF('School Level Expenditures'!$B$2=A160,'School Tables'!H160,"")</f>
        <v/>
      </c>
      <c r="J160" s="358" t="str">
        <f>IFERROR(SMALL($I$4:$I$325,ROWS($I$4:I160)),"")</f>
        <v/>
      </c>
      <c r="K160" s="332" t="b">
        <f t="shared" si="7"/>
        <v>0</v>
      </c>
      <c r="AH160">
        <v>453</v>
      </c>
      <c r="AI160">
        <v>453</v>
      </c>
      <c r="AJ160" t="s">
        <v>1372</v>
      </c>
      <c r="AK160">
        <v>33</v>
      </c>
      <c r="AL160" t="s">
        <v>1734</v>
      </c>
    </row>
    <row r="161" spans="1:38" ht="25.5" x14ac:dyDescent="0.2">
      <c r="A161" s="356">
        <v>299</v>
      </c>
      <c r="B161" s="356" t="s">
        <v>1181</v>
      </c>
      <c r="C161" s="356" t="s">
        <v>1182</v>
      </c>
      <c r="D161" s="356">
        <v>29169</v>
      </c>
      <c r="E161" s="356" t="s">
        <v>61</v>
      </c>
      <c r="F161" s="356">
        <v>71</v>
      </c>
      <c r="G161" s="356" t="s">
        <v>1736</v>
      </c>
      <c r="H161" s="358">
        <f>ROWS($G$4:G161)</f>
        <v>158</v>
      </c>
      <c r="I161" s="358" t="str">
        <f>IF('School Level Expenditures'!$B$2=A161,'School Tables'!H161,"")</f>
        <v/>
      </c>
      <c r="J161" s="358" t="str">
        <f>IFERROR(SMALL($I$4:$I$325,ROWS($I$4:I161)),"")</f>
        <v/>
      </c>
      <c r="K161" s="332" t="b">
        <f t="shared" si="7"/>
        <v>0</v>
      </c>
      <c r="AH161">
        <v>457</v>
      </c>
      <c r="AI161">
        <v>0</v>
      </c>
      <c r="AJ161" t="s">
        <v>1618</v>
      </c>
      <c r="AK161">
        <v>78</v>
      </c>
      <c r="AL161" t="s">
        <v>1758</v>
      </c>
    </row>
    <row r="162" spans="1:38" ht="38.25" x14ac:dyDescent="0.2">
      <c r="A162" s="356">
        <v>227</v>
      </c>
      <c r="B162" s="356" t="s">
        <v>1091</v>
      </c>
      <c r="C162" s="356" t="s">
        <v>1092</v>
      </c>
      <c r="D162" s="356">
        <v>20800</v>
      </c>
      <c r="E162" s="356" t="s">
        <v>61</v>
      </c>
      <c r="F162" s="356">
        <v>21</v>
      </c>
      <c r="G162" s="356" t="s">
        <v>1737</v>
      </c>
      <c r="H162" s="358">
        <f>ROWS($G$4:G162)</f>
        <v>159</v>
      </c>
      <c r="I162" s="358" t="str">
        <f>IF('School Level Expenditures'!$B$2=A162,'School Tables'!H162,"")</f>
        <v/>
      </c>
      <c r="J162" s="358" t="str">
        <f>IFERROR(SMALL($I$4:$I$325,ROWS($I$4:I162)),"")</f>
        <v/>
      </c>
      <c r="K162" s="332" t="b">
        <f t="shared" si="7"/>
        <v>0</v>
      </c>
      <c r="AH162" s="359">
        <v>737</v>
      </c>
      <c r="AI162" s="359">
        <v>737</v>
      </c>
      <c r="AJ162" s="359" t="s">
        <v>1522</v>
      </c>
      <c r="AK162" s="359">
        <v>420</v>
      </c>
      <c r="AL162" s="359" t="s">
        <v>1522</v>
      </c>
    </row>
    <row r="163" spans="1:38" ht="25.5" x14ac:dyDescent="0.2">
      <c r="A163" s="356">
        <v>173</v>
      </c>
      <c r="B163" s="356" t="s">
        <v>1030</v>
      </c>
      <c r="C163" s="356" t="s">
        <v>1032</v>
      </c>
      <c r="D163" s="356">
        <v>20595</v>
      </c>
      <c r="E163" s="356" t="s">
        <v>61</v>
      </c>
      <c r="F163" s="356">
        <v>16</v>
      </c>
      <c r="G163" s="356" t="s">
        <v>1702</v>
      </c>
      <c r="H163" s="358">
        <f>ROWS($G$4:G163)</f>
        <v>160</v>
      </c>
      <c r="I163" s="358" t="str">
        <f>IF('School Level Expenditures'!$B$2=A163,'School Tables'!H163,"")</f>
        <v/>
      </c>
      <c r="J163" s="358" t="str">
        <f>IFERROR(SMALL($I$4:$I$325,ROWS($I$4:I163)),"")</f>
        <v/>
      </c>
      <c r="K163" s="332" t="b">
        <f t="shared" si="7"/>
        <v>0</v>
      </c>
      <c r="AH163">
        <v>461</v>
      </c>
      <c r="AI163">
        <v>461</v>
      </c>
      <c r="AJ163" t="s">
        <v>1376</v>
      </c>
      <c r="AK163">
        <v>54</v>
      </c>
      <c r="AL163" t="s">
        <v>1689</v>
      </c>
    </row>
    <row r="164" spans="1:38" ht="38.25" x14ac:dyDescent="0.2">
      <c r="A164" s="356">
        <v>305</v>
      </c>
      <c r="B164" s="356" t="s">
        <v>1183</v>
      </c>
      <c r="C164" s="356" t="s">
        <v>1186</v>
      </c>
      <c r="D164" s="356">
        <v>20880</v>
      </c>
      <c r="E164" s="356" t="s">
        <v>61</v>
      </c>
      <c r="F164" s="356">
        <v>68</v>
      </c>
      <c r="G164" s="356" t="s">
        <v>1738</v>
      </c>
      <c r="H164" s="358">
        <f>ROWS($G$4:G164)</f>
        <v>161</v>
      </c>
      <c r="I164" s="358" t="str">
        <f>IF('School Level Expenditures'!$B$2=A164,'School Tables'!H164,"")</f>
        <v/>
      </c>
      <c r="J164" s="358" t="str">
        <f>IFERROR(SMALL($I$4:$I$325,ROWS($I$4:I164)),"")</f>
        <v/>
      </c>
      <c r="K164" s="332" t="b">
        <f t="shared" si="7"/>
        <v>0</v>
      </c>
      <c r="AH164">
        <v>463</v>
      </c>
      <c r="AI164">
        <v>463</v>
      </c>
      <c r="AJ164" t="s">
        <v>1388</v>
      </c>
      <c r="AK164">
        <v>104</v>
      </c>
      <c r="AL164" t="s">
        <v>1759</v>
      </c>
    </row>
    <row r="165" spans="1:38" ht="25.5" x14ac:dyDescent="0.2">
      <c r="A165" s="356">
        <v>306</v>
      </c>
      <c r="B165" s="356" t="s">
        <v>1187</v>
      </c>
      <c r="C165" s="356" t="s">
        <v>1188</v>
      </c>
      <c r="D165" s="356">
        <v>21420</v>
      </c>
      <c r="E165" s="356" t="s">
        <v>61</v>
      </c>
      <c r="F165" s="356">
        <v>35</v>
      </c>
      <c r="G165" s="356" t="s">
        <v>1680</v>
      </c>
      <c r="H165" s="358">
        <f>ROWS($G$4:G165)</f>
        <v>162</v>
      </c>
      <c r="I165" s="358" t="str">
        <f>IF('School Level Expenditures'!$B$2=A165,'School Tables'!H165,"")</f>
        <v/>
      </c>
      <c r="J165" s="358" t="str">
        <f>IFERROR(SMALL($I$4:$I$325,ROWS($I$4:I165)),"")</f>
        <v/>
      </c>
      <c r="K165" s="332" t="b">
        <f t="shared" si="7"/>
        <v>0</v>
      </c>
      <c r="AH165">
        <v>467</v>
      </c>
      <c r="AI165">
        <v>467</v>
      </c>
      <c r="AJ165" t="s">
        <v>1390</v>
      </c>
      <c r="AK165">
        <v>48</v>
      </c>
      <c r="AL165" t="s">
        <v>1684</v>
      </c>
    </row>
    <row r="166" spans="1:38" ht="25.5" x14ac:dyDescent="0.2">
      <c r="A166" s="356">
        <v>449</v>
      </c>
      <c r="B166" s="356" t="s">
        <v>1363</v>
      </c>
      <c r="C166" s="356" t="s">
        <v>1365</v>
      </c>
      <c r="D166" s="356">
        <v>22515</v>
      </c>
      <c r="E166" s="356" t="s">
        <v>61</v>
      </c>
      <c r="F166" s="356">
        <v>52</v>
      </c>
      <c r="G166" s="356" t="s">
        <v>1739</v>
      </c>
      <c r="H166" s="358">
        <f>ROWS($G$4:G166)</f>
        <v>163</v>
      </c>
      <c r="I166" s="358" t="str">
        <f>IF('School Level Expenditures'!$B$2=A166,'School Tables'!H166,"")</f>
        <v/>
      </c>
      <c r="J166" s="358" t="str">
        <f>IFERROR(SMALL($I$4:$I$325,ROWS($I$4:I166)),"")</f>
        <v/>
      </c>
      <c r="K166" s="332" t="b">
        <f t="shared" si="7"/>
        <v>0</v>
      </c>
      <c r="AH166">
        <v>471</v>
      </c>
      <c r="AI166">
        <v>471</v>
      </c>
      <c r="AJ166" t="s">
        <v>1392</v>
      </c>
      <c r="AK166">
        <v>50</v>
      </c>
      <c r="AL166" t="s">
        <v>1718</v>
      </c>
    </row>
    <row r="167" spans="1:38" ht="38.25" x14ac:dyDescent="0.2">
      <c r="A167" s="356">
        <v>352</v>
      </c>
      <c r="B167" s="356" t="s">
        <v>1250</v>
      </c>
      <c r="C167" s="356" t="s">
        <v>1253</v>
      </c>
      <c r="D167" s="356">
        <v>22180</v>
      </c>
      <c r="E167" s="356" t="s">
        <v>61</v>
      </c>
      <c r="F167" s="356">
        <v>46</v>
      </c>
      <c r="G167" s="356" t="s">
        <v>1667</v>
      </c>
      <c r="H167" s="358">
        <f>ROWS($G$4:G167)</f>
        <v>164</v>
      </c>
      <c r="I167" s="358" t="str">
        <f>IF('School Level Expenditures'!$B$2=A167,'School Tables'!H167,"")</f>
        <v/>
      </c>
      <c r="J167" s="358" t="str">
        <f>IFERROR(SMALL($I$4:$I$325,ROWS($I$4:I167)),"")</f>
        <v/>
      </c>
      <c r="K167" s="332" t="b">
        <f t="shared" si="7"/>
        <v>0</v>
      </c>
      <c r="AH167">
        <v>473</v>
      </c>
      <c r="AI167">
        <v>473</v>
      </c>
      <c r="AJ167" t="s">
        <v>1395</v>
      </c>
      <c r="AK167">
        <v>57</v>
      </c>
      <c r="AL167" t="s">
        <v>1701</v>
      </c>
    </row>
    <row r="168" spans="1:38" ht="25.5" x14ac:dyDescent="0.2">
      <c r="A168" s="356">
        <v>327</v>
      </c>
      <c r="B168" s="356" t="s">
        <v>1206</v>
      </c>
      <c r="C168" s="356" t="s">
        <v>1207</v>
      </c>
      <c r="D168" s="356">
        <v>20835</v>
      </c>
      <c r="E168" s="356" t="s">
        <v>61</v>
      </c>
      <c r="F168" s="356">
        <v>76</v>
      </c>
      <c r="G168" s="356" t="s">
        <v>1740</v>
      </c>
      <c r="H168" s="358">
        <f>ROWS($G$4:G168)</f>
        <v>165</v>
      </c>
      <c r="I168" s="358" t="str">
        <f>IF('School Level Expenditures'!$B$2=A168,'School Tables'!H168,"")</f>
        <v/>
      </c>
      <c r="J168" s="358" t="str">
        <f>IFERROR(SMALL($I$4:$I$325,ROWS($I$4:I168)),"")</f>
        <v/>
      </c>
      <c r="K168" s="332" t="b">
        <f t="shared" si="7"/>
        <v>0</v>
      </c>
      <c r="AH168">
        <v>476</v>
      </c>
      <c r="AI168">
        <v>0</v>
      </c>
      <c r="AJ168" t="s">
        <v>1403</v>
      </c>
      <c r="AK168">
        <v>17</v>
      </c>
      <c r="AL168" t="s">
        <v>1698</v>
      </c>
    </row>
    <row r="169" spans="1:38" ht="25.5" x14ac:dyDescent="0.2">
      <c r="A169" s="356">
        <v>572</v>
      </c>
      <c r="B169" s="356" t="s">
        <v>1472</v>
      </c>
      <c r="C169" s="356" t="s">
        <v>1473</v>
      </c>
      <c r="D169" s="356">
        <v>23035</v>
      </c>
      <c r="E169" s="356" t="s">
        <v>61</v>
      </c>
      <c r="F169" s="356">
        <v>63</v>
      </c>
      <c r="G169" s="356" t="s">
        <v>1707</v>
      </c>
      <c r="H169" s="358">
        <f>ROWS($G$4:G169)</f>
        <v>166</v>
      </c>
      <c r="I169" s="358" t="str">
        <f>IF('School Level Expenditures'!$B$2=A169,'School Tables'!H169,"")</f>
        <v/>
      </c>
      <c r="J169" s="358" t="str">
        <f>IFERROR(SMALL($I$4:$I$325,ROWS($I$4:I169)),"")</f>
        <v/>
      </c>
      <c r="K169" s="332" t="b">
        <f t="shared" si="7"/>
        <v>0</v>
      </c>
      <c r="AH169">
        <v>485</v>
      </c>
      <c r="AI169">
        <v>485</v>
      </c>
      <c r="AJ169" t="s">
        <v>1407</v>
      </c>
      <c r="AK169">
        <v>21</v>
      </c>
      <c r="AL169" t="s">
        <v>1737</v>
      </c>
    </row>
    <row r="170" spans="1:38" ht="38.25" x14ac:dyDescent="0.2">
      <c r="A170" s="356">
        <v>333</v>
      </c>
      <c r="B170" s="356" t="s">
        <v>1208</v>
      </c>
      <c r="C170" s="356" t="s">
        <v>1209</v>
      </c>
      <c r="D170" s="356">
        <v>20360</v>
      </c>
      <c r="E170" s="356" t="s">
        <v>61</v>
      </c>
      <c r="F170" s="356">
        <v>13</v>
      </c>
      <c r="G170" s="356" t="s">
        <v>1709</v>
      </c>
      <c r="H170" s="358">
        <f>ROWS($G$4:G170)</f>
        <v>167</v>
      </c>
      <c r="I170" s="358" t="str">
        <f>IF('School Level Expenditures'!$B$2=A170,'School Tables'!H170,"")</f>
        <v/>
      </c>
      <c r="J170" s="358" t="str">
        <f>IFERROR(SMALL($I$4:$I$325,ROWS($I$4:I170)),"")</f>
        <v/>
      </c>
      <c r="K170" s="332" t="b">
        <f t="shared" si="7"/>
        <v>0</v>
      </c>
      <c r="AH170" s="359">
        <v>705</v>
      </c>
      <c r="AI170" s="359">
        <v>705</v>
      </c>
      <c r="AJ170" s="359" t="s">
        <v>1496</v>
      </c>
      <c r="AK170" s="359">
        <v>403</v>
      </c>
      <c r="AL170" s="359" t="s">
        <v>1496</v>
      </c>
    </row>
    <row r="171" spans="1:38" ht="25.5" x14ac:dyDescent="0.2">
      <c r="A171" s="356">
        <v>371</v>
      </c>
      <c r="B171" s="356" t="s">
        <v>1283</v>
      </c>
      <c r="C171" s="356" t="s">
        <v>1298</v>
      </c>
      <c r="D171" s="356">
        <v>21935</v>
      </c>
      <c r="E171" s="356" t="s">
        <v>61</v>
      </c>
      <c r="F171" s="356">
        <v>42</v>
      </c>
      <c r="G171" s="356" t="s">
        <v>1666</v>
      </c>
      <c r="H171" s="358">
        <f>ROWS($G$4:G171)</f>
        <v>168</v>
      </c>
      <c r="I171" s="358" t="str">
        <f>IF('School Level Expenditures'!$B$2=A171,'School Tables'!H171,"")</f>
        <v/>
      </c>
      <c r="J171" s="358" t="str">
        <f>IFERROR(SMALL($I$4:$I$325,ROWS($I$4:I171)),"")</f>
        <v/>
      </c>
      <c r="K171" s="332" t="b">
        <f t="shared" si="7"/>
        <v>0</v>
      </c>
      <c r="AH171">
        <v>486</v>
      </c>
      <c r="AI171">
        <v>0</v>
      </c>
      <c r="AJ171" t="s">
        <v>1410</v>
      </c>
      <c r="AK171">
        <v>80</v>
      </c>
      <c r="AL171" t="s">
        <v>1677</v>
      </c>
    </row>
    <row r="172" spans="1:38" ht="25.5" x14ac:dyDescent="0.2">
      <c r="A172" s="356">
        <v>173</v>
      </c>
      <c r="B172" s="356" t="s">
        <v>1030</v>
      </c>
      <c r="C172" s="356" t="s">
        <v>1031</v>
      </c>
      <c r="D172" s="356">
        <v>20575</v>
      </c>
      <c r="E172" s="356" t="s">
        <v>61</v>
      </c>
      <c r="F172" s="356">
        <v>16</v>
      </c>
      <c r="G172" s="356" t="s">
        <v>1702</v>
      </c>
      <c r="H172" s="358">
        <f>ROWS($G$4:G172)</f>
        <v>169</v>
      </c>
      <c r="I172" s="358" t="str">
        <f>IF('School Level Expenditures'!$B$2=A172,'School Tables'!H172,"")</f>
        <v/>
      </c>
      <c r="J172" s="358" t="str">
        <f>IFERROR(SMALL($I$4:$I$325,ROWS($I$4:I172)),"")</f>
        <v/>
      </c>
      <c r="K172" s="332" t="b">
        <f t="shared" si="7"/>
        <v>0</v>
      </c>
      <c r="AH172">
        <v>491</v>
      </c>
      <c r="AI172">
        <v>491</v>
      </c>
      <c r="AJ172" t="s">
        <v>1415</v>
      </c>
      <c r="AK172">
        <v>56</v>
      </c>
      <c r="AL172" t="s">
        <v>1729</v>
      </c>
    </row>
    <row r="173" spans="1:38" ht="25.5" x14ac:dyDescent="0.2">
      <c r="A173" s="356">
        <v>101</v>
      </c>
      <c r="B173" s="356" t="s">
        <v>963</v>
      </c>
      <c r="C173" s="356" t="s">
        <v>1795</v>
      </c>
      <c r="D173" s="356">
        <v>20160</v>
      </c>
      <c r="E173" s="356" t="s">
        <v>61</v>
      </c>
      <c r="F173" s="356">
        <v>6</v>
      </c>
      <c r="G173" s="356" t="s">
        <v>1681</v>
      </c>
      <c r="H173" s="358">
        <f>ROWS($G$4:G173)</f>
        <v>170</v>
      </c>
      <c r="I173" s="358" t="str">
        <f>IF('School Level Expenditures'!$B$2=A173,'School Tables'!H173,"")</f>
        <v/>
      </c>
      <c r="J173" s="358" t="str">
        <f>IFERROR(SMALL($I$4:$I$325,ROWS($I$4:I173)),"")</f>
        <v/>
      </c>
      <c r="K173" s="332" t="b">
        <f t="shared" si="7"/>
        <v>0</v>
      </c>
      <c r="AH173">
        <v>493</v>
      </c>
      <c r="AI173">
        <v>0</v>
      </c>
      <c r="AJ173" t="s">
        <v>1420</v>
      </c>
      <c r="AK173">
        <v>39</v>
      </c>
      <c r="AL173" t="s">
        <v>1692</v>
      </c>
    </row>
    <row r="174" spans="1:38" ht="25.5" x14ac:dyDescent="0.2">
      <c r="A174" s="356">
        <v>199</v>
      </c>
      <c r="B174" s="356" t="s">
        <v>1063</v>
      </c>
      <c r="C174" s="356" t="s">
        <v>1796</v>
      </c>
      <c r="D174" s="356">
        <v>20690</v>
      </c>
      <c r="E174" s="356" t="s">
        <v>61</v>
      </c>
      <c r="F174" s="356">
        <v>19</v>
      </c>
      <c r="G174" s="356" t="s">
        <v>1675</v>
      </c>
      <c r="H174" s="358">
        <f>ROWS($G$4:G174)</f>
        <v>171</v>
      </c>
      <c r="I174" s="358" t="str">
        <f>IF('School Level Expenditures'!$B$2=A174,'School Tables'!H174,"")</f>
        <v/>
      </c>
      <c r="J174" s="358" t="str">
        <f>IFERROR(SMALL($I$4:$I$325,ROWS($I$4:I174)),"")</f>
        <v/>
      </c>
      <c r="K174" s="332" t="b">
        <f t="shared" si="7"/>
        <v>0</v>
      </c>
      <c r="AH174">
        <v>495</v>
      </c>
      <c r="AI174">
        <v>495</v>
      </c>
      <c r="AJ174" t="s">
        <v>1422</v>
      </c>
      <c r="AK174">
        <v>21</v>
      </c>
      <c r="AL174" t="s">
        <v>1737</v>
      </c>
    </row>
    <row r="175" spans="1:38" ht="51" x14ac:dyDescent="0.2">
      <c r="A175" s="356">
        <v>263</v>
      </c>
      <c r="B175" s="356" t="s">
        <v>1125</v>
      </c>
      <c r="C175" s="356" t="s">
        <v>1127</v>
      </c>
      <c r="D175" s="356">
        <v>20965</v>
      </c>
      <c r="E175" s="356" t="s">
        <v>61</v>
      </c>
      <c r="F175" s="356">
        <v>66</v>
      </c>
      <c r="G175" s="356" t="s">
        <v>1723</v>
      </c>
      <c r="H175" s="358">
        <f>ROWS($G$4:G175)</f>
        <v>172</v>
      </c>
      <c r="I175" s="358" t="str">
        <f>IF('School Level Expenditures'!$B$2=A175,'School Tables'!H175,"")</f>
        <v/>
      </c>
      <c r="J175" s="358" t="str">
        <f>IFERROR(SMALL($I$4:$I$325,ROWS($I$4:I175)),"")</f>
        <v/>
      </c>
      <c r="K175" s="332" t="b">
        <f t="shared" si="7"/>
        <v>0</v>
      </c>
      <c r="AH175" s="359">
        <v>714</v>
      </c>
      <c r="AI175" s="359">
        <v>714</v>
      </c>
      <c r="AJ175" s="359" t="s">
        <v>1610</v>
      </c>
      <c r="AK175" s="359">
        <v>437</v>
      </c>
      <c r="AL175" s="359" t="s">
        <v>1610</v>
      </c>
    </row>
    <row r="176" spans="1:38" ht="25.5" x14ac:dyDescent="0.2">
      <c r="A176" s="356">
        <v>461</v>
      </c>
      <c r="B176" s="356" t="s">
        <v>1376</v>
      </c>
      <c r="C176" s="356" t="s">
        <v>1387</v>
      </c>
      <c r="D176" s="356">
        <v>29080</v>
      </c>
      <c r="E176" s="356" t="s">
        <v>61</v>
      </c>
      <c r="F176" s="356">
        <v>54</v>
      </c>
      <c r="G176" s="356" t="s">
        <v>1689</v>
      </c>
      <c r="H176" s="358">
        <f>ROWS($G$4:G176)</f>
        <v>173</v>
      </c>
      <c r="I176" s="358" t="str">
        <f>IF('School Level Expenditures'!$B$2=A176,'School Tables'!H176,"")</f>
        <v/>
      </c>
      <c r="J176" s="358" t="str">
        <f>IFERROR(SMALL($I$4:$I$325,ROWS($I$4:I176)),"")</f>
        <v/>
      </c>
      <c r="K176" s="332" t="b">
        <f t="shared" si="7"/>
        <v>0</v>
      </c>
      <c r="AH176">
        <v>499</v>
      </c>
      <c r="AI176">
        <v>499</v>
      </c>
      <c r="AJ176" t="s">
        <v>1424</v>
      </c>
      <c r="AK176">
        <v>58</v>
      </c>
      <c r="AL176" t="s">
        <v>1720</v>
      </c>
    </row>
    <row r="177" spans="1:38" ht="25.5" x14ac:dyDescent="0.2">
      <c r="A177" s="356">
        <v>491</v>
      </c>
      <c r="B177" s="356" t="s">
        <v>1415</v>
      </c>
      <c r="C177" s="356" t="s">
        <v>1419</v>
      </c>
      <c r="D177" s="356">
        <v>29203</v>
      </c>
      <c r="E177" s="356" t="s">
        <v>61</v>
      </c>
      <c r="F177" s="356">
        <v>56</v>
      </c>
      <c r="G177" s="356" t="s">
        <v>1729</v>
      </c>
      <c r="H177" s="358">
        <f>ROWS($G$4:G177)</f>
        <v>174</v>
      </c>
      <c r="I177" s="358" t="str">
        <f>IF('School Level Expenditures'!$B$2=A177,'School Tables'!H177,"")</f>
        <v/>
      </c>
      <c r="J177" s="358" t="str">
        <f>IFERROR(SMALL($I$4:$I$325,ROWS($I$4:I177)),"")</f>
        <v/>
      </c>
      <c r="K177" s="332" t="b">
        <f t="shared" si="7"/>
        <v>0</v>
      </c>
      <c r="AH177">
        <v>501</v>
      </c>
      <c r="AI177">
        <v>501</v>
      </c>
      <c r="AJ177" t="s">
        <v>1426</v>
      </c>
      <c r="AK177">
        <v>7</v>
      </c>
      <c r="AL177" t="s">
        <v>1693</v>
      </c>
    </row>
    <row r="178" spans="1:38" ht="25.5" x14ac:dyDescent="0.2">
      <c r="A178" s="356">
        <v>339</v>
      </c>
      <c r="B178" s="356" t="s">
        <v>1228</v>
      </c>
      <c r="C178" s="356" t="s">
        <v>1229</v>
      </c>
      <c r="D178" s="356">
        <v>21210</v>
      </c>
      <c r="E178" s="356" t="s">
        <v>61</v>
      </c>
      <c r="F178" s="356">
        <v>29</v>
      </c>
      <c r="G178" s="356" t="s">
        <v>1691</v>
      </c>
      <c r="H178" s="358">
        <f>ROWS($G$4:G178)</f>
        <v>175</v>
      </c>
      <c r="I178" s="358" t="str">
        <f>IF('School Level Expenditures'!$B$2=A178,'School Tables'!H178,"")</f>
        <v/>
      </c>
      <c r="J178" s="358" t="str">
        <f>IFERROR(SMALL($I$4:$I$325,ROWS($I$4:I178)),"")</f>
        <v/>
      </c>
      <c r="K178" s="332" t="b">
        <f t="shared" si="7"/>
        <v>0</v>
      </c>
      <c r="AH178">
        <v>503</v>
      </c>
      <c r="AI178">
        <v>503</v>
      </c>
      <c r="AJ178" t="s">
        <v>1428</v>
      </c>
      <c r="AK178">
        <v>24</v>
      </c>
      <c r="AL178" t="s">
        <v>1688</v>
      </c>
    </row>
    <row r="179" spans="1:38" ht="25.5" x14ac:dyDescent="0.2">
      <c r="A179" s="356">
        <v>473</v>
      </c>
      <c r="B179" s="356" t="s">
        <v>1395</v>
      </c>
      <c r="C179" s="356" t="s">
        <v>1399</v>
      </c>
      <c r="D179" s="356">
        <v>22875</v>
      </c>
      <c r="E179" s="356" t="s">
        <v>61</v>
      </c>
      <c r="F179" s="356">
        <v>57</v>
      </c>
      <c r="G179" s="356" t="s">
        <v>1701</v>
      </c>
      <c r="H179" s="358">
        <f>ROWS($G$4:G179)</f>
        <v>176</v>
      </c>
      <c r="I179" s="358" t="str">
        <f>IF('School Level Expenditures'!$B$2=A179,'School Tables'!H179,"")</f>
        <v/>
      </c>
      <c r="J179" s="358" t="str">
        <f>IFERROR(SMALL($I$4:$I$325,ROWS($I$4:I179)),"")</f>
        <v/>
      </c>
      <c r="K179" s="332" t="b">
        <f t="shared" si="7"/>
        <v>0</v>
      </c>
      <c r="AH179">
        <v>507</v>
      </c>
      <c r="AI179">
        <v>507</v>
      </c>
      <c r="AJ179" t="s">
        <v>1430</v>
      </c>
      <c r="AK179">
        <v>105</v>
      </c>
      <c r="AL179" t="s">
        <v>1761</v>
      </c>
    </row>
    <row r="180" spans="1:38" ht="25.5" x14ac:dyDescent="0.2">
      <c r="A180" s="356">
        <v>449</v>
      </c>
      <c r="B180" s="356" t="s">
        <v>1363</v>
      </c>
      <c r="C180" s="356" t="s">
        <v>1367</v>
      </c>
      <c r="D180" s="356">
        <v>22545</v>
      </c>
      <c r="E180" s="356" t="s">
        <v>61</v>
      </c>
      <c r="F180" s="356">
        <v>52</v>
      </c>
      <c r="G180" s="356" t="s">
        <v>1739</v>
      </c>
      <c r="H180" s="358">
        <f>ROWS($G$4:G180)</f>
        <v>177</v>
      </c>
      <c r="I180" s="358" t="str">
        <f>IF('School Level Expenditures'!$B$2=A180,'School Tables'!H180,"")</f>
        <v/>
      </c>
      <c r="J180" s="358" t="str">
        <f>IFERROR(SMALL($I$4:$I$325,ROWS($I$4:I180)),"")</f>
        <v/>
      </c>
      <c r="K180" s="332" t="b">
        <f t="shared" si="7"/>
        <v>0</v>
      </c>
      <c r="AH180">
        <v>509</v>
      </c>
      <c r="AI180">
        <v>509</v>
      </c>
      <c r="AJ180" t="s">
        <v>1432</v>
      </c>
      <c r="AK180">
        <v>58</v>
      </c>
      <c r="AL180" t="s">
        <v>1720</v>
      </c>
    </row>
    <row r="181" spans="1:38" ht="25.5" x14ac:dyDescent="0.2">
      <c r="A181" s="356">
        <v>345</v>
      </c>
      <c r="B181" s="356" t="s">
        <v>1241</v>
      </c>
      <c r="C181" s="356" t="s">
        <v>1242</v>
      </c>
      <c r="D181" s="356">
        <v>23040</v>
      </c>
      <c r="E181" s="356" t="s">
        <v>61</v>
      </c>
      <c r="F181" s="356">
        <v>89</v>
      </c>
      <c r="G181" s="356" t="s">
        <v>1741</v>
      </c>
      <c r="H181" s="358">
        <f>ROWS($G$4:G181)</f>
        <v>178</v>
      </c>
      <c r="I181" s="358" t="str">
        <f>IF('School Level Expenditures'!$B$2=A181,'School Tables'!H181,"")</f>
        <v/>
      </c>
      <c r="J181" s="358" t="str">
        <f>IFERROR(SMALL($I$4:$I$325,ROWS($I$4:I181)),"")</f>
        <v/>
      </c>
      <c r="K181" s="332" t="b">
        <f t="shared" si="7"/>
        <v>0</v>
      </c>
      <c r="AH181" s="360">
        <v>511</v>
      </c>
      <c r="AI181" s="360">
        <v>511</v>
      </c>
      <c r="AJ181" s="360" t="s">
        <v>1434</v>
      </c>
      <c r="AK181" s="360">
        <v>16</v>
      </c>
      <c r="AL181" s="360" t="s">
        <v>1702</v>
      </c>
    </row>
    <row r="182" spans="1:38" ht="51" x14ac:dyDescent="0.2">
      <c r="A182" s="356">
        <v>423</v>
      </c>
      <c r="B182" s="356" t="s">
        <v>1335</v>
      </c>
      <c r="C182" s="356" t="s">
        <v>1339</v>
      </c>
      <c r="D182" s="356">
        <v>22805</v>
      </c>
      <c r="E182" s="356" t="s">
        <v>61</v>
      </c>
      <c r="F182" s="356">
        <v>5</v>
      </c>
      <c r="G182" s="356" t="s">
        <v>1742</v>
      </c>
      <c r="H182" s="358">
        <f>ROWS($G$4:G182)</f>
        <v>179</v>
      </c>
      <c r="I182" s="358">
        <f>IF('School Level Expenditures'!$B$2=A182,'School Tables'!H182,"")</f>
        <v>179</v>
      </c>
      <c r="J182" s="358" t="str">
        <f>IFERROR(SMALL($I$4:$I$325,ROWS($I$4:I182)),"")</f>
        <v/>
      </c>
      <c r="K182" s="332" t="b">
        <f t="shared" si="7"/>
        <v>0</v>
      </c>
      <c r="AH182" s="353">
        <v>721</v>
      </c>
      <c r="AI182" s="353">
        <v>721</v>
      </c>
      <c r="AJ182" s="353" t="s">
        <v>1508</v>
      </c>
      <c r="AK182" s="353">
        <v>409</v>
      </c>
      <c r="AL182" s="353" t="s">
        <v>1508</v>
      </c>
    </row>
    <row r="183" spans="1:38" ht="25.5" x14ac:dyDescent="0.2">
      <c r="A183" s="356">
        <v>319</v>
      </c>
      <c r="B183" s="356" t="s">
        <v>1199</v>
      </c>
      <c r="C183" s="356" t="s">
        <v>1204</v>
      </c>
      <c r="D183" s="356">
        <v>20485</v>
      </c>
      <c r="E183" s="356" t="s">
        <v>61</v>
      </c>
      <c r="F183" s="356">
        <v>12</v>
      </c>
      <c r="G183" s="356" t="s">
        <v>1743</v>
      </c>
      <c r="H183" s="358">
        <f>ROWS($G$4:G183)</f>
        <v>180</v>
      </c>
      <c r="I183" s="358" t="str">
        <f>IF('School Level Expenditures'!$B$2=A183,'School Tables'!H183,"")</f>
        <v/>
      </c>
      <c r="J183" s="358" t="str">
        <f>IFERROR(SMALL($I$4:$I$325,ROWS($I$4:I183)),"")</f>
        <v/>
      </c>
      <c r="K183" s="332" t="b">
        <f t="shared" si="7"/>
        <v>0</v>
      </c>
      <c r="AH183" s="360">
        <v>513</v>
      </c>
      <c r="AI183" s="360">
        <v>513</v>
      </c>
      <c r="AJ183" s="360" t="s">
        <v>1788</v>
      </c>
      <c r="AK183" s="360">
        <v>96</v>
      </c>
      <c r="AL183" s="360" t="s">
        <v>1789</v>
      </c>
    </row>
    <row r="184" spans="1:38" ht="25.5" x14ac:dyDescent="0.2">
      <c r="A184" s="356">
        <v>381</v>
      </c>
      <c r="B184" s="356" t="s">
        <v>1305</v>
      </c>
      <c r="C184" s="356" t="s">
        <v>1306</v>
      </c>
      <c r="D184" s="356">
        <v>22455</v>
      </c>
      <c r="E184" s="356" t="s">
        <v>61</v>
      </c>
      <c r="F184" s="356">
        <v>50</v>
      </c>
      <c r="G184" s="356" t="s">
        <v>1718</v>
      </c>
      <c r="H184" s="358">
        <f>ROWS($G$4:G184)</f>
        <v>181</v>
      </c>
      <c r="I184" s="358" t="str">
        <f>IF('School Level Expenditures'!$B$2=A184,'School Tables'!H184,"")</f>
        <v/>
      </c>
      <c r="J184" s="358" t="str">
        <f>IFERROR(SMALL($I$4:$I$325,ROWS($I$4:I184)),"")</f>
        <v/>
      </c>
      <c r="K184" s="332" t="b">
        <f t="shared" si="7"/>
        <v>0</v>
      </c>
      <c r="AH184" s="360">
        <v>515</v>
      </c>
      <c r="AI184" s="360">
        <v>515</v>
      </c>
      <c r="AJ184" s="360" t="s">
        <v>1436</v>
      </c>
      <c r="AK184" s="360">
        <v>85</v>
      </c>
      <c r="AL184" s="360" t="s">
        <v>1762</v>
      </c>
    </row>
    <row r="185" spans="1:38" ht="25.5" x14ac:dyDescent="0.2">
      <c r="A185" s="356">
        <v>461</v>
      </c>
      <c r="B185" s="356" t="s">
        <v>1376</v>
      </c>
      <c r="C185" s="356" t="s">
        <v>1379</v>
      </c>
      <c r="D185" s="356">
        <v>22665</v>
      </c>
      <c r="E185" s="356" t="s">
        <v>61</v>
      </c>
      <c r="F185" s="356">
        <v>54</v>
      </c>
      <c r="G185" s="356" t="s">
        <v>1689</v>
      </c>
      <c r="H185" s="358">
        <f>ROWS($G$4:G185)</f>
        <v>182</v>
      </c>
      <c r="I185" s="358" t="str">
        <f>IF('School Level Expenditures'!$B$2=A185,'School Tables'!H185,"")</f>
        <v/>
      </c>
      <c r="J185" s="358" t="str">
        <f>IFERROR(SMALL($I$4:$I$325,ROWS($I$4:I185)),"")</f>
        <v/>
      </c>
      <c r="K185" s="332" t="b">
        <f t="shared" si="7"/>
        <v>0</v>
      </c>
      <c r="AH185" s="360">
        <v>519</v>
      </c>
      <c r="AI185" s="360">
        <v>519</v>
      </c>
      <c r="AJ185" s="360" t="s">
        <v>1790</v>
      </c>
      <c r="AK185" s="360">
        <v>91</v>
      </c>
      <c r="AL185" s="360" t="s">
        <v>1791</v>
      </c>
    </row>
    <row r="186" spans="1:38" ht="38.25" x14ac:dyDescent="0.2">
      <c r="A186" s="356">
        <v>335</v>
      </c>
      <c r="B186" s="356" t="s">
        <v>906</v>
      </c>
      <c r="C186" s="356" t="s">
        <v>1219</v>
      </c>
      <c r="D186" s="356">
        <v>21565</v>
      </c>
      <c r="E186" s="356" t="s">
        <v>61</v>
      </c>
      <c r="F186" s="356">
        <v>37</v>
      </c>
      <c r="G186" s="356" t="s">
        <v>1672</v>
      </c>
      <c r="H186" s="358">
        <f>ROWS($G$4:G186)</f>
        <v>183</v>
      </c>
      <c r="I186" s="358" t="str">
        <f>IF('School Level Expenditures'!$B$2=A186,'School Tables'!H186,"")</f>
        <v/>
      </c>
      <c r="J186" s="358" t="str">
        <f>IFERROR(SMALL($I$4:$I$325,ROWS($I$4:I186)),"")</f>
        <v/>
      </c>
      <c r="K186" s="332" t="b">
        <f t="shared" si="7"/>
        <v>0</v>
      </c>
      <c r="AH186" s="353">
        <v>717</v>
      </c>
      <c r="AI186" s="353">
        <v>717</v>
      </c>
      <c r="AJ186" s="353" t="s">
        <v>1506</v>
      </c>
      <c r="AK186" s="353">
        <v>407</v>
      </c>
      <c r="AL186" s="353" t="s">
        <v>1506</v>
      </c>
    </row>
    <row r="187" spans="1:38" ht="25.5" x14ac:dyDescent="0.2">
      <c r="A187" s="356">
        <v>41</v>
      </c>
      <c r="B187" s="356" t="s">
        <v>934</v>
      </c>
      <c r="C187" s="356" t="s">
        <v>936</v>
      </c>
      <c r="D187" s="356">
        <v>21005</v>
      </c>
      <c r="E187" s="356" t="s">
        <v>61</v>
      </c>
      <c r="F187" s="356">
        <v>25</v>
      </c>
      <c r="G187" s="356" t="s">
        <v>1744</v>
      </c>
      <c r="H187" s="358">
        <f>ROWS($G$4:G187)</f>
        <v>184</v>
      </c>
      <c r="I187" s="358" t="str">
        <f>IF('School Level Expenditures'!$B$2=A187,'School Tables'!H187,"")</f>
        <v/>
      </c>
      <c r="J187" s="358" t="str">
        <f>IFERROR(SMALL($I$4:$I$325,ROWS($I$4:I187)),"")</f>
        <v/>
      </c>
      <c r="K187" s="332" t="b">
        <f t="shared" si="7"/>
        <v>0</v>
      </c>
      <c r="AH187" s="360">
        <v>525</v>
      </c>
      <c r="AI187" s="360">
        <v>525</v>
      </c>
      <c r="AJ187" s="360" t="s">
        <v>1439</v>
      </c>
      <c r="AK187" s="360">
        <v>13</v>
      </c>
      <c r="AL187" s="360" t="s">
        <v>1709</v>
      </c>
    </row>
    <row r="188" spans="1:38" ht="63.75" x14ac:dyDescent="0.2">
      <c r="A188" s="356">
        <v>476</v>
      </c>
      <c r="B188" s="356" t="s">
        <v>1403</v>
      </c>
      <c r="C188" s="356" t="s">
        <v>1793</v>
      </c>
      <c r="D188" s="356">
        <v>20635</v>
      </c>
      <c r="E188" s="356" t="s">
        <v>61</v>
      </c>
      <c r="F188" s="356">
        <v>17</v>
      </c>
      <c r="G188" s="356" t="s">
        <v>1698</v>
      </c>
      <c r="H188" s="358">
        <f>ROWS($G$4:G188)</f>
        <v>185</v>
      </c>
      <c r="I188" s="358" t="str">
        <f>IF('School Level Expenditures'!$B$2=A188,'School Tables'!H188,"")</f>
        <v/>
      </c>
      <c r="J188" s="358" t="str">
        <f>IFERROR(SMALL($I$4:$I$325,ROWS($I$4:I188)),"")</f>
        <v/>
      </c>
      <c r="K188" s="332" t="b">
        <f t="shared" si="7"/>
        <v>0</v>
      </c>
      <c r="AH188" s="353">
        <v>731</v>
      </c>
      <c r="AI188" s="353">
        <v>731</v>
      </c>
      <c r="AJ188" s="353" t="s">
        <v>1517</v>
      </c>
      <c r="AK188" s="353">
        <v>417</v>
      </c>
      <c r="AL188" s="353" t="s">
        <v>1517</v>
      </c>
    </row>
    <row r="189" spans="1:38" ht="63.75" x14ac:dyDescent="0.2">
      <c r="A189" s="356">
        <v>41</v>
      </c>
      <c r="B189" s="356" t="s">
        <v>934</v>
      </c>
      <c r="C189" s="356" t="s">
        <v>1794</v>
      </c>
      <c r="D189" s="356">
        <v>20990</v>
      </c>
      <c r="E189" s="356" t="s">
        <v>61</v>
      </c>
      <c r="F189" s="356">
        <v>25</v>
      </c>
      <c r="G189" s="356" t="s">
        <v>1744</v>
      </c>
      <c r="H189" s="358">
        <f>ROWS($G$4:G189)</f>
        <v>186</v>
      </c>
      <c r="I189" s="358" t="str">
        <f>IF('School Level Expenditures'!$B$2=A189,'School Tables'!H189,"")</f>
        <v/>
      </c>
      <c r="J189" s="358" t="str">
        <f>IFERROR(SMALL($I$4:$I$325,ROWS($I$4:I189)),"")</f>
        <v/>
      </c>
      <c r="K189" s="332" t="b">
        <f t="shared" si="7"/>
        <v>0</v>
      </c>
      <c r="AH189" s="353">
        <v>741</v>
      </c>
      <c r="AI189" s="353">
        <v>741</v>
      </c>
      <c r="AJ189" s="353" t="s">
        <v>1524</v>
      </c>
      <c r="AK189" s="353">
        <v>423</v>
      </c>
      <c r="AL189" s="353" t="s">
        <v>1524</v>
      </c>
    </row>
    <row r="190" spans="1:38" ht="63.75" x14ac:dyDescent="0.2">
      <c r="A190" s="356">
        <v>744</v>
      </c>
      <c r="B190" s="356" t="s">
        <v>1603</v>
      </c>
      <c r="C190" s="356" t="s">
        <v>1603</v>
      </c>
      <c r="D190" s="356">
        <v>29167</v>
      </c>
      <c r="E190" s="356" t="s">
        <v>61</v>
      </c>
      <c r="F190" s="356">
        <v>430</v>
      </c>
      <c r="G190" s="356" t="s">
        <v>1603</v>
      </c>
      <c r="H190" s="358">
        <f>ROWS($G$4:G190)</f>
        <v>187</v>
      </c>
      <c r="I190" s="358" t="str">
        <f>IF('School Level Expenditures'!$B$2=A190,'School Tables'!H190,"")</f>
        <v/>
      </c>
      <c r="J190" s="358" t="str">
        <f>IFERROR(SMALL($I$4:$I$325,ROWS($I$4:I190)),"")</f>
        <v/>
      </c>
      <c r="K190" s="332" t="b">
        <f t="shared" si="7"/>
        <v>0</v>
      </c>
      <c r="AH190" s="360">
        <v>531</v>
      </c>
      <c r="AI190" s="360">
        <v>531</v>
      </c>
      <c r="AJ190" s="360" t="s">
        <v>1441</v>
      </c>
      <c r="AK190" s="360">
        <v>48</v>
      </c>
      <c r="AL190" s="360" t="s">
        <v>1684</v>
      </c>
    </row>
    <row r="191" spans="1:38" ht="12.75" x14ac:dyDescent="0.2">
      <c r="A191" s="356">
        <v>353</v>
      </c>
      <c r="B191" s="356" t="s">
        <v>1258</v>
      </c>
      <c r="C191" s="356" t="s">
        <v>1259</v>
      </c>
      <c r="D191" s="356">
        <v>29178</v>
      </c>
      <c r="E191" s="356" t="s">
        <v>61</v>
      </c>
      <c r="F191" s="356">
        <v>69</v>
      </c>
      <c r="G191" s="356" t="s">
        <v>1745</v>
      </c>
      <c r="H191" s="358">
        <f>ROWS($G$4:G191)</f>
        <v>188</v>
      </c>
      <c r="I191" s="358" t="str">
        <f>IF('School Level Expenditures'!$B$2=A191,'School Tables'!H191,"")</f>
        <v/>
      </c>
      <c r="J191" s="358" t="str">
        <f>IFERROR(SMALL($I$4:$I$325,ROWS($I$4:I191)),"")</f>
        <v/>
      </c>
      <c r="K191" s="332" t="b">
        <f t="shared" si="7"/>
        <v>0</v>
      </c>
      <c r="AH191" s="360">
        <v>534</v>
      </c>
      <c r="AI191" s="360">
        <v>0</v>
      </c>
      <c r="AJ191" s="360" t="s">
        <v>1443</v>
      </c>
      <c r="AK191" s="360">
        <v>106</v>
      </c>
      <c r="AL191" s="360" t="s">
        <v>1670</v>
      </c>
    </row>
    <row r="192" spans="1:38" ht="25.5" x14ac:dyDescent="0.2">
      <c r="A192" s="356">
        <v>355</v>
      </c>
      <c r="B192" s="356" t="s">
        <v>1260</v>
      </c>
      <c r="C192" s="356" t="s">
        <v>1261</v>
      </c>
      <c r="D192" s="356">
        <v>20760</v>
      </c>
      <c r="E192" s="356" t="s">
        <v>61</v>
      </c>
      <c r="F192" s="356">
        <v>20</v>
      </c>
      <c r="G192" s="356" t="s">
        <v>1703</v>
      </c>
      <c r="H192" s="358">
        <f>ROWS($G$4:G192)</f>
        <v>189</v>
      </c>
      <c r="I192" s="358" t="str">
        <f>IF('School Level Expenditures'!$B$2=A192,'School Tables'!H192,"")</f>
        <v/>
      </c>
      <c r="J192" s="358" t="str">
        <f>IFERROR(SMALL($I$4:$I$325,ROWS($I$4:I192)),"")</f>
        <v/>
      </c>
      <c r="K192" s="332" t="b">
        <f t="shared" si="7"/>
        <v>0</v>
      </c>
      <c r="AH192" s="360">
        <v>539</v>
      </c>
      <c r="AI192" s="360">
        <v>539</v>
      </c>
      <c r="AJ192" s="360" t="s">
        <v>1451</v>
      </c>
      <c r="AK192" s="360">
        <v>6</v>
      </c>
      <c r="AL192" s="360" t="s">
        <v>1681</v>
      </c>
    </row>
    <row r="193" spans="1:38" ht="63.75" x14ac:dyDescent="0.2">
      <c r="A193" s="356">
        <v>317</v>
      </c>
      <c r="B193" s="356" t="s">
        <v>1195</v>
      </c>
      <c r="C193" s="356" t="s">
        <v>1198</v>
      </c>
      <c r="D193" s="356">
        <v>21450</v>
      </c>
      <c r="E193" s="356" t="s">
        <v>61</v>
      </c>
      <c r="F193" s="356">
        <v>84</v>
      </c>
      <c r="G193" s="356" t="s">
        <v>1746</v>
      </c>
      <c r="H193" s="358">
        <f>ROWS($G$4:G193)</f>
        <v>190</v>
      </c>
      <c r="I193" s="358" t="str">
        <f>IF('School Level Expenditures'!$B$2=A193,'School Tables'!H193,"")</f>
        <v/>
      </c>
      <c r="J193" s="358" t="str">
        <f>IFERROR(SMALL($I$4:$I$325,ROWS($I$4:I193)),"")</f>
        <v/>
      </c>
      <c r="K193" s="332" t="b">
        <f t="shared" si="7"/>
        <v>0</v>
      </c>
      <c r="AH193" s="353">
        <v>727</v>
      </c>
      <c r="AI193" s="353">
        <v>727</v>
      </c>
      <c r="AJ193" s="353" t="s">
        <v>1513</v>
      </c>
      <c r="AK193" s="353">
        <v>412</v>
      </c>
      <c r="AL193" s="353" t="s">
        <v>1513</v>
      </c>
    </row>
    <row r="194" spans="1:38" ht="25.5" x14ac:dyDescent="0.2">
      <c r="A194" s="356">
        <v>111</v>
      </c>
      <c r="B194" s="356" t="s">
        <v>969</v>
      </c>
      <c r="C194" s="356" t="s">
        <v>972</v>
      </c>
      <c r="D194" s="356">
        <v>20250</v>
      </c>
      <c r="E194" s="356" t="s">
        <v>61</v>
      </c>
      <c r="F194" s="356">
        <v>8</v>
      </c>
      <c r="G194" s="356" t="s">
        <v>1661</v>
      </c>
      <c r="H194" s="358">
        <f>ROWS($G$4:G194)</f>
        <v>191</v>
      </c>
      <c r="I194" s="358" t="str">
        <f>IF('School Level Expenditures'!$B$2=A194,'School Tables'!H194,"")</f>
        <v/>
      </c>
      <c r="J194" s="358" t="str">
        <f>IFERROR(SMALL($I$4:$I$325,ROWS($I$4:I194)),"")</f>
        <v/>
      </c>
      <c r="K194" s="332" t="b">
        <f t="shared" si="7"/>
        <v>0</v>
      </c>
      <c r="AH194" s="360">
        <v>543</v>
      </c>
      <c r="AI194" s="360">
        <v>543</v>
      </c>
      <c r="AJ194" s="360" t="s">
        <v>1453</v>
      </c>
      <c r="AK194" s="360">
        <v>101</v>
      </c>
      <c r="AL194" s="360" t="s">
        <v>1753</v>
      </c>
    </row>
    <row r="195" spans="1:38" ht="38.25" x14ac:dyDescent="0.2">
      <c r="A195" s="356">
        <v>729</v>
      </c>
      <c r="B195" s="356" t="s">
        <v>1516</v>
      </c>
      <c r="C195" s="356" t="s">
        <v>1516</v>
      </c>
      <c r="D195" s="356">
        <v>29040</v>
      </c>
      <c r="E195" s="356" t="s">
        <v>61</v>
      </c>
      <c r="F195" s="356">
        <v>416</v>
      </c>
      <c r="G195" s="356" t="s">
        <v>1516</v>
      </c>
      <c r="H195" s="358">
        <f>ROWS($G$4:G195)</f>
        <v>192</v>
      </c>
      <c r="I195" s="358" t="str">
        <f>IF('School Level Expenditures'!$B$2=A195,'School Tables'!H195,"")</f>
        <v/>
      </c>
      <c r="J195" s="358" t="str">
        <f>IFERROR(SMALL($I$4:$I$325,ROWS($I$4:I195)),"")</f>
        <v/>
      </c>
      <c r="K195" s="332" t="b">
        <f t="shared" si="7"/>
        <v>0</v>
      </c>
      <c r="AH195" s="360">
        <v>549</v>
      </c>
      <c r="AI195" s="360">
        <v>549</v>
      </c>
      <c r="AJ195" s="360" t="s">
        <v>1455</v>
      </c>
      <c r="AK195" s="360">
        <v>23</v>
      </c>
      <c r="AL195" s="360" t="s">
        <v>1676</v>
      </c>
    </row>
    <row r="196" spans="1:38" ht="25.5" x14ac:dyDescent="0.2">
      <c r="A196" s="356">
        <v>359</v>
      </c>
      <c r="B196" s="356" t="s">
        <v>1267</v>
      </c>
      <c r="C196" s="356" t="s">
        <v>1270</v>
      </c>
      <c r="D196" s="356">
        <v>22075</v>
      </c>
      <c r="E196" s="356" t="s">
        <v>61</v>
      </c>
      <c r="F196" s="356">
        <v>64</v>
      </c>
      <c r="G196" s="356" t="s">
        <v>1747</v>
      </c>
      <c r="H196" s="358">
        <f>ROWS($G$4:G196)</f>
        <v>193</v>
      </c>
      <c r="I196" s="358" t="str">
        <f>IF('School Level Expenditures'!$B$2=A196,'School Tables'!H196,"")</f>
        <v/>
      </c>
      <c r="J196" s="358" t="str">
        <f>IFERROR(SMALL($I$4:$I$325,ROWS($I$4:I196)),"")</f>
        <v/>
      </c>
      <c r="K196" s="332" t="b">
        <f t="shared" si="7"/>
        <v>0</v>
      </c>
      <c r="AH196" s="360">
        <v>551</v>
      </c>
      <c r="AI196" s="360">
        <v>551</v>
      </c>
      <c r="AJ196" s="360" t="s">
        <v>1457</v>
      </c>
      <c r="AK196" s="360">
        <v>34</v>
      </c>
      <c r="AL196" s="360" t="s">
        <v>1727</v>
      </c>
    </row>
    <row r="197" spans="1:38" ht="25.5" x14ac:dyDescent="0.2">
      <c r="A197" s="356">
        <v>423</v>
      </c>
      <c r="B197" s="356" t="s">
        <v>1335</v>
      </c>
      <c r="C197" s="356" t="s">
        <v>1336</v>
      </c>
      <c r="D197" s="356">
        <v>26660</v>
      </c>
      <c r="E197" s="356" t="s">
        <v>61</v>
      </c>
      <c r="F197" s="356">
        <v>5</v>
      </c>
      <c r="G197" s="356" t="s">
        <v>1742</v>
      </c>
      <c r="H197" s="358">
        <f>ROWS($G$4:G197)</f>
        <v>194</v>
      </c>
      <c r="I197" s="358">
        <f>IF('School Level Expenditures'!$B$2=A197,'School Tables'!H197,"")</f>
        <v>194</v>
      </c>
      <c r="J197" s="358" t="str">
        <f>IFERROR(SMALL($I$4:$I$325,ROWS($I$4:I197)),"")</f>
        <v/>
      </c>
      <c r="K197" s="332" t="b">
        <f t="shared" ref="K197:K260" si="8">C197=C198</f>
        <v>0</v>
      </c>
      <c r="AH197" s="360">
        <v>553</v>
      </c>
      <c r="AI197" s="360">
        <v>553</v>
      </c>
      <c r="AJ197" s="360" t="s">
        <v>1459</v>
      </c>
      <c r="AK197" s="360">
        <v>48</v>
      </c>
      <c r="AL197" s="360" t="s">
        <v>1684</v>
      </c>
    </row>
    <row r="198" spans="1:38" ht="25.5" x14ac:dyDescent="0.2">
      <c r="A198" s="356">
        <v>365</v>
      </c>
      <c r="B198" s="356" t="s">
        <v>1276</v>
      </c>
      <c r="C198" s="356" t="s">
        <v>1277</v>
      </c>
      <c r="D198" s="356">
        <v>20885</v>
      </c>
      <c r="E198" s="356" t="s">
        <v>61</v>
      </c>
      <c r="F198" s="356">
        <v>77</v>
      </c>
      <c r="G198" s="356" t="s">
        <v>1748</v>
      </c>
      <c r="H198" s="358">
        <f>ROWS($G$4:G198)</f>
        <v>195</v>
      </c>
      <c r="I198" s="358" t="str">
        <f>IF('School Level Expenditures'!$B$2=A198,'School Tables'!H198,"")</f>
        <v/>
      </c>
      <c r="J198" s="358" t="str">
        <f>IFERROR(SMALL($I$4:$I$325,ROWS($I$4:I198)),"")</f>
        <v/>
      </c>
      <c r="K198" s="332" t="b">
        <f t="shared" si="8"/>
        <v>0</v>
      </c>
      <c r="AH198" s="360">
        <v>555</v>
      </c>
      <c r="AI198" s="360">
        <v>555</v>
      </c>
      <c r="AJ198" s="360" t="s">
        <v>1461</v>
      </c>
      <c r="AK198" s="360">
        <v>24</v>
      </c>
      <c r="AL198" s="360" t="s">
        <v>1688</v>
      </c>
    </row>
    <row r="199" spans="1:38" ht="25.5" x14ac:dyDescent="0.2">
      <c r="A199" s="356">
        <v>367</v>
      </c>
      <c r="B199" s="356" t="s">
        <v>1278</v>
      </c>
      <c r="C199" s="356" t="s">
        <v>1279</v>
      </c>
      <c r="D199" s="356">
        <v>21790</v>
      </c>
      <c r="E199" s="356" t="s">
        <v>61</v>
      </c>
      <c r="F199" s="356">
        <v>39</v>
      </c>
      <c r="G199" s="356" t="s">
        <v>1692</v>
      </c>
      <c r="H199" s="358">
        <f>ROWS($G$4:G199)</f>
        <v>196</v>
      </c>
      <c r="I199" s="358" t="str">
        <f>IF('School Level Expenditures'!$B$2=A199,'School Tables'!H199,"")</f>
        <v/>
      </c>
      <c r="J199" s="358" t="str">
        <f>IFERROR(SMALL($I$4:$I$325,ROWS($I$4:I199)),"")</f>
        <v/>
      </c>
      <c r="K199" s="332" t="b">
        <f t="shared" si="8"/>
        <v>0</v>
      </c>
      <c r="AH199" s="360">
        <v>559</v>
      </c>
      <c r="AI199" s="360">
        <v>559</v>
      </c>
      <c r="AJ199" s="360" t="s">
        <v>1464</v>
      </c>
      <c r="AK199" s="360">
        <v>48</v>
      </c>
      <c r="AL199" s="360" t="s">
        <v>1684</v>
      </c>
    </row>
    <row r="200" spans="1:38" ht="25.5" x14ac:dyDescent="0.2">
      <c r="A200" s="356">
        <v>319</v>
      </c>
      <c r="B200" s="356" t="s">
        <v>1199</v>
      </c>
      <c r="C200" s="356" t="s">
        <v>1200</v>
      </c>
      <c r="D200" s="356">
        <v>27905</v>
      </c>
      <c r="E200" s="356" t="s">
        <v>61</v>
      </c>
      <c r="F200" s="356">
        <v>12</v>
      </c>
      <c r="G200" s="356" t="s">
        <v>1743</v>
      </c>
      <c r="H200" s="358">
        <f>ROWS($G$4:G200)</f>
        <v>197</v>
      </c>
      <c r="I200" s="358" t="str">
        <f>IF('School Level Expenditures'!$B$2=A200,'School Tables'!H200,"")</f>
        <v/>
      </c>
      <c r="J200" s="358" t="str">
        <f>IFERROR(SMALL($I$4:$I$325,ROWS($I$4:I200)),"")</f>
        <v/>
      </c>
      <c r="K200" s="332" t="b">
        <f t="shared" si="8"/>
        <v>0</v>
      </c>
      <c r="AH200" s="360">
        <v>563</v>
      </c>
      <c r="AI200" s="360">
        <v>563</v>
      </c>
      <c r="AJ200" s="360" t="s">
        <v>1466</v>
      </c>
      <c r="AK200" s="360">
        <v>29</v>
      </c>
      <c r="AL200" s="360" t="s">
        <v>1691</v>
      </c>
    </row>
    <row r="201" spans="1:38" ht="25.5" x14ac:dyDescent="0.2">
      <c r="A201" s="356">
        <v>369</v>
      </c>
      <c r="B201" s="356" t="s">
        <v>1280</v>
      </c>
      <c r="C201" s="356" t="s">
        <v>1281</v>
      </c>
      <c r="D201" s="356">
        <v>22115</v>
      </c>
      <c r="E201" s="356" t="s">
        <v>61</v>
      </c>
      <c r="F201" s="356">
        <v>45</v>
      </c>
      <c r="G201" s="356" t="s">
        <v>1749</v>
      </c>
      <c r="H201" s="358">
        <f>ROWS($G$4:G201)</f>
        <v>198</v>
      </c>
      <c r="I201" s="358" t="str">
        <f>IF('School Level Expenditures'!$B$2=A201,'School Tables'!H201,"")</f>
        <v/>
      </c>
      <c r="J201" s="358" t="str">
        <f>IFERROR(SMALL($I$4:$I$325,ROWS($I$4:I201)),"")</f>
        <v/>
      </c>
      <c r="K201" s="332" t="b">
        <f t="shared" si="8"/>
        <v>0</v>
      </c>
      <c r="AH201" s="360">
        <v>568</v>
      </c>
      <c r="AI201" s="360">
        <v>0</v>
      </c>
      <c r="AJ201" s="360" t="s">
        <v>1468</v>
      </c>
      <c r="AK201" s="360">
        <v>36</v>
      </c>
      <c r="AL201" s="360" t="s">
        <v>1735</v>
      </c>
    </row>
    <row r="202" spans="1:38" ht="51" x14ac:dyDescent="0.2">
      <c r="A202" s="356">
        <v>704</v>
      </c>
      <c r="B202" s="356" t="s">
        <v>1495</v>
      </c>
      <c r="C202" s="356" t="s">
        <v>1495</v>
      </c>
      <c r="D202" s="356">
        <v>29154</v>
      </c>
      <c r="E202" s="356" t="s">
        <v>61</v>
      </c>
      <c r="F202" s="356">
        <v>427</v>
      </c>
      <c r="G202" s="356" t="s">
        <v>1495</v>
      </c>
      <c r="H202" s="358">
        <f>ROWS($G$4:G202)</f>
        <v>199</v>
      </c>
      <c r="I202" s="358" t="str">
        <f>IF('School Level Expenditures'!$B$2=A202,'School Tables'!H202,"")</f>
        <v/>
      </c>
      <c r="J202" s="358" t="str">
        <f>IFERROR(SMALL($I$4:$I$325,ROWS($I$4:I202)),"")</f>
        <v/>
      </c>
      <c r="K202" s="332" t="b">
        <f t="shared" si="8"/>
        <v>0</v>
      </c>
      <c r="AH202" s="360">
        <v>572</v>
      </c>
      <c r="AI202" s="360">
        <v>0</v>
      </c>
      <c r="AJ202" s="360" t="s">
        <v>1472</v>
      </c>
      <c r="AK202" s="360">
        <v>63</v>
      </c>
      <c r="AL202" s="360" t="s">
        <v>1707</v>
      </c>
    </row>
    <row r="203" spans="1:38" ht="38.25" x14ac:dyDescent="0.2">
      <c r="A203" s="356">
        <v>363</v>
      </c>
      <c r="B203" s="356" t="s">
        <v>1271</v>
      </c>
      <c r="C203" s="356" t="s">
        <v>1604</v>
      </c>
      <c r="D203" s="356">
        <v>21695</v>
      </c>
      <c r="E203" s="356" t="s">
        <v>61</v>
      </c>
      <c r="F203" s="356">
        <v>93</v>
      </c>
      <c r="G203" s="356" t="s">
        <v>1697</v>
      </c>
      <c r="H203" s="358">
        <f>ROWS($G$4:G203)</f>
        <v>200</v>
      </c>
      <c r="I203" s="358" t="str">
        <f>IF('School Level Expenditures'!$B$2=A203,'School Tables'!H203,"")</f>
        <v/>
      </c>
      <c r="J203" s="358" t="str">
        <f>IFERROR(SMALL($I$4:$I$325,ROWS($I$4:I203)),"")</f>
        <v/>
      </c>
      <c r="K203" s="332" t="b">
        <f t="shared" si="8"/>
        <v>0</v>
      </c>
      <c r="AH203" s="360">
        <v>573</v>
      </c>
      <c r="AI203" s="360">
        <v>573</v>
      </c>
      <c r="AJ203" s="360" t="s">
        <v>1477</v>
      </c>
      <c r="AK203" s="360">
        <v>94</v>
      </c>
      <c r="AL203" s="360" t="s">
        <v>1763</v>
      </c>
    </row>
    <row r="204" spans="1:38" ht="25.5" x14ac:dyDescent="0.2">
      <c r="A204" s="356">
        <v>295</v>
      </c>
      <c r="B204" s="356" t="s">
        <v>1176</v>
      </c>
      <c r="C204" s="356" t="s">
        <v>1178</v>
      </c>
      <c r="D204" s="356">
        <v>21355</v>
      </c>
      <c r="E204" s="356" t="s">
        <v>61</v>
      </c>
      <c r="F204" s="356">
        <v>88</v>
      </c>
      <c r="G204" s="356" t="s">
        <v>1722</v>
      </c>
      <c r="H204" s="358">
        <f>ROWS($G$4:G204)</f>
        <v>201</v>
      </c>
      <c r="I204" s="358" t="str">
        <f>IF('School Level Expenditures'!$B$2=A204,'School Tables'!H204,"")</f>
        <v/>
      </c>
      <c r="J204" s="358" t="str">
        <f>IFERROR(SMALL($I$4:$I$325,ROWS($I$4:I204)),"")</f>
        <v/>
      </c>
      <c r="K204" s="332" t="b">
        <f t="shared" si="8"/>
        <v>0</v>
      </c>
      <c r="AH204" s="360">
        <v>575</v>
      </c>
      <c r="AI204" s="360">
        <v>575</v>
      </c>
      <c r="AJ204" s="360" t="s">
        <v>1478</v>
      </c>
      <c r="AK204" s="360">
        <v>95</v>
      </c>
      <c r="AL204" s="360" t="s">
        <v>1716</v>
      </c>
    </row>
    <row r="205" spans="1:38" ht="63.75" x14ac:dyDescent="0.2">
      <c r="A205" s="356">
        <v>371</v>
      </c>
      <c r="B205" s="356" t="s">
        <v>1283</v>
      </c>
      <c r="C205" s="356" t="s">
        <v>1292</v>
      </c>
      <c r="D205" s="356">
        <v>21885</v>
      </c>
      <c r="E205" s="356" t="s">
        <v>61</v>
      </c>
      <c r="F205" s="356">
        <v>42</v>
      </c>
      <c r="G205" s="356" t="s">
        <v>1666</v>
      </c>
      <c r="H205" s="358">
        <f>ROWS($G$4:G205)</f>
        <v>202</v>
      </c>
      <c r="I205" s="358" t="str">
        <f>IF('School Level Expenditures'!$B$2=A205,'School Tables'!H205,"")</f>
        <v/>
      </c>
      <c r="J205" s="358" t="str">
        <f>IFERROR(SMALL($I$4:$I$325,ROWS($I$4:I205)),"")</f>
        <v/>
      </c>
      <c r="K205" s="332" t="b">
        <f t="shared" si="8"/>
        <v>0</v>
      </c>
      <c r="AH205" s="353">
        <v>712</v>
      </c>
      <c r="AI205" s="353">
        <v>712</v>
      </c>
      <c r="AJ205" s="353" t="s">
        <v>1505</v>
      </c>
      <c r="AK205" s="353">
        <v>434</v>
      </c>
      <c r="AL205" s="353" t="s">
        <v>1505</v>
      </c>
    </row>
    <row r="206" spans="1:38" ht="38.25" x14ac:dyDescent="0.2">
      <c r="A206" s="356">
        <v>174</v>
      </c>
      <c r="B206" s="356" t="s">
        <v>1033</v>
      </c>
      <c r="C206" s="356" t="s">
        <v>1038</v>
      </c>
      <c r="D206" s="356">
        <v>22980</v>
      </c>
      <c r="E206" s="356" t="s">
        <v>61</v>
      </c>
      <c r="F206" s="356">
        <v>60</v>
      </c>
      <c r="G206" s="356" t="s">
        <v>1662</v>
      </c>
      <c r="H206" s="358">
        <f>ROWS($G$4:G206)</f>
        <v>203</v>
      </c>
      <c r="I206" s="358" t="str">
        <f>IF('School Level Expenditures'!$B$2=A206,'School Tables'!H206,"")</f>
        <v/>
      </c>
      <c r="J206" s="358" t="str">
        <f>IFERROR(SMALL($I$4:$I$325,ROWS($I$4:I206)),"")</f>
        <v/>
      </c>
      <c r="K206" s="332" t="b">
        <f t="shared" si="8"/>
        <v>0</v>
      </c>
      <c r="AH206" s="360">
        <v>579</v>
      </c>
      <c r="AI206" s="360">
        <v>579</v>
      </c>
      <c r="AJ206" s="360" t="s">
        <v>1792</v>
      </c>
      <c r="AK206" s="360">
        <v>34</v>
      </c>
      <c r="AL206" s="360" t="s">
        <v>1727</v>
      </c>
    </row>
    <row r="207" spans="1:38" ht="25.5" x14ac:dyDescent="0.2">
      <c r="A207" s="356">
        <v>461</v>
      </c>
      <c r="B207" s="356" t="s">
        <v>1376</v>
      </c>
      <c r="C207" s="356" t="s">
        <v>1378</v>
      </c>
      <c r="D207" s="356">
        <v>22660</v>
      </c>
      <c r="E207" s="356" t="s">
        <v>61</v>
      </c>
      <c r="F207" s="356">
        <v>54</v>
      </c>
      <c r="G207" s="356" t="s">
        <v>1689</v>
      </c>
      <c r="H207" s="358">
        <f>ROWS($G$4:G207)</f>
        <v>204</v>
      </c>
      <c r="I207" s="358" t="str">
        <f>IF('School Level Expenditures'!$B$2=A207,'School Tables'!H207,"")</f>
        <v/>
      </c>
      <c r="J207" s="358" t="str">
        <f>IFERROR(SMALL($I$4:$I$325,ROWS($I$4:I207)),"")</f>
        <v/>
      </c>
      <c r="K207" s="332" t="b">
        <f t="shared" si="8"/>
        <v>0</v>
      </c>
      <c r="AH207" s="360">
        <v>581</v>
      </c>
      <c r="AI207" s="360">
        <v>0</v>
      </c>
      <c r="AJ207" s="360" t="s">
        <v>1483</v>
      </c>
      <c r="AK207" s="360">
        <v>21</v>
      </c>
      <c r="AL207" s="360" t="s">
        <v>1737</v>
      </c>
    </row>
    <row r="208" spans="1:38" ht="25.5" x14ac:dyDescent="0.2">
      <c r="A208" s="356">
        <v>375</v>
      </c>
      <c r="B208" s="356" t="s">
        <v>1301</v>
      </c>
      <c r="C208" s="356" t="s">
        <v>1302</v>
      </c>
      <c r="D208" s="356">
        <v>21215</v>
      </c>
      <c r="E208" s="356" t="s">
        <v>61</v>
      </c>
      <c r="F208" s="356">
        <v>29</v>
      </c>
      <c r="G208" s="356" t="s">
        <v>1691</v>
      </c>
      <c r="H208" s="358">
        <f>ROWS($G$4:G208)</f>
        <v>205</v>
      </c>
      <c r="I208" s="358" t="str">
        <f>IF('School Level Expenditures'!$B$2=A208,'School Tables'!H208,"")</f>
        <v/>
      </c>
      <c r="J208" s="358" t="str">
        <f>IFERROR(SMALL($I$4:$I$325,ROWS($I$4:I208)),"")</f>
        <v/>
      </c>
      <c r="K208" s="332" t="b">
        <f t="shared" si="8"/>
        <v>0</v>
      </c>
      <c r="AH208" s="360">
        <v>582</v>
      </c>
      <c r="AI208" s="360">
        <v>0</v>
      </c>
      <c r="AJ208" s="360" t="s">
        <v>1485</v>
      </c>
      <c r="AK208" s="360">
        <v>59</v>
      </c>
      <c r="AL208" s="360" t="s">
        <v>1760</v>
      </c>
    </row>
    <row r="209" spans="1:11" ht="25.5" x14ac:dyDescent="0.2">
      <c r="A209" s="356">
        <v>377</v>
      </c>
      <c r="B209" s="356" t="s">
        <v>1303</v>
      </c>
      <c r="C209" s="356" t="s">
        <v>1304</v>
      </c>
      <c r="D209" s="356">
        <v>20715</v>
      </c>
      <c r="E209" s="356" t="s">
        <v>61</v>
      </c>
      <c r="F209" s="356">
        <v>19</v>
      </c>
      <c r="G209" s="356" t="s">
        <v>1675</v>
      </c>
      <c r="H209" s="358">
        <f>ROWS($G$4:G209)</f>
        <v>206</v>
      </c>
      <c r="I209" s="358" t="str">
        <f>IF('School Level Expenditures'!$B$2=A209,'School Tables'!H209,"")</f>
        <v/>
      </c>
      <c r="J209" s="358" t="str">
        <f>IFERROR(SMALL($I$4:$I$325,ROWS($I$4:I209)),"")</f>
        <v/>
      </c>
      <c r="K209" s="332" t="b">
        <f t="shared" si="8"/>
        <v>0</v>
      </c>
    </row>
    <row r="210" spans="1:11" ht="51" x14ac:dyDescent="0.2">
      <c r="A210" s="356">
        <v>208</v>
      </c>
      <c r="B210" s="356" t="s">
        <v>1072</v>
      </c>
      <c r="C210" s="356" t="s">
        <v>1074</v>
      </c>
      <c r="D210" s="356">
        <v>22400</v>
      </c>
      <c r="E210" s="356" t="s">
        <v>61</v>
      </c>
      <c r="F210" s="356">
        <v>49</v>
      </c>
      <c r="G210" s="356" t="s">
        <v>1687</v>
      </c>
      <c r="H210" s="358">
        <f>ROWS($G$4:G210)</f>
        <v>207</v>
      </c>
      <c r="I210" s="358" t="str">
        <f>IF('School Level Expenditures'!$B$2=A210,'School Tables'!H210,"")</f>
        <v/>
      </c>
      <c r="J210" s="358" t="str">
        <f>IFERROR(SMALL($I$4:$I$325,ROWS($I$4:I210)),"")</f>
        <v/>
      </c>
      <c r="K210" s="332" t="b">
        <f t="shared" si="8"/>
        <v>0</v>
      </c>
    </row>
    <row r="211" spans="1:11" ht="25.5" x14ac:dyDescent="0.2">
      <c r="A211" s="356">
        <v>449</v>
      </c>
      <c r="B211" s="356" t="s">
        <v>1363</v>
      </c>
      <c r="C211" s="356" t="s">
        <v>1366</v>
      </c>
      <c r="D211" s="356">
        <v>22525</v>
      </c>
      <c r="E211" s="356" t="s">
        <v>61</v>
      </c>
      <c r="F211" s="356">
        <v>52</v>
      </c>
      <c r="G211" s="356" t="s">
        <v>1739</v>
      </c>
      <c r="H211" s="358">
        <f>ROWS($G$4:G211)</f>
        <v>208</v>
      </c>
      <c r="I211" s="358" t="str">
        <f>IF('School Level Expenditures'!$B$2=A211,'School Tables'!H211,"")</f>
        <v/>
      </c>
      <c r="J211" s="358" t="str">
        <f>IFERROR(SMALL($I$4:$I$325,ROWS($I$4:I211)),"")</f>
        <v/>
      </c>
      <c r="K211" s="332" t="b">
        <f t="shared" si="8"/>
        <v>0</v>
      </c>
    </row>
    <row r="212" spans="1:11" ht="38.25" x14ac:dyDescent="0.2">
      <c r="A212" s="356">
        <v>388</v>
      </c>
      <c r="B212" s="356" t="s">
        <v>1537</v>
      </c>
      <c r="C212" s="356" t="s">
        <v>1314</v>
      </c>
      <c r="D212" s="356">
        <v>20105</v>
      </c>
      <c r="E212" s="356" t="s">
        <v>61</v>
      </c>
      <c r="F212" s="356">
        <v>4</v>
      </c>
      <c r="G212" s="356" t="s">
        <v>1683</v>
      </c>
      <c r="H212" s="358">
        <f>ROWS($G$4:G212)</f>
        <v>209</v>
      </c>
      <c r="I212" s="358" t="str">
        <f>IF('School Level Expenditures'!$B$2=A212,'School Tables'!H212,"")</f>
        <v/>
      </c>
      <c r="J212" s="358" t="str">
        <f>IFERROR(SMALL($I$4:$I$325,ROWS($I$4:I212)),"")</f>
        <v/>
      </c>
      <c r="K212" s="332" t="b">
        <f t="shared" si="8"/>
        <v>0</v>
      </c>
    </row>
    <row r="213" spans="1:11" ht="25.5" x14ac:dyDescent="0.2">
      <c r="A213" s="356">
        <v>371</v>
      </c>
      <c r="B213" s="356" t="s">
        <v>1283</v>
      </c>
      <c r="C213" s="356" t="s">
        <v>1287</v>
      </c>
      <c r="D213" s="356">
        <v>21845</v>
      </c>
      <c r="E213" s="356" t="s">
        <v>61</v>
      </c>
      <c r="F213" s="356">
        <v>42</v>
      </c>
      <c r="G213" s="356" t="s">
        <v>1666</v>
      </c>
      <c r="H213" s="358">
        <f>ROWS($G$4:G213)</f>
        <v>210</v>
      </c>
      <c r="I213" s="358" t="str">
        <f>IF('School Level Expenditures'!$B$2=A213,'School Tables'!H213,"")</f>
        <v/>
      </c>
      <c r="J213" s="358" t="str">
        <f>IFERROR(SMALL($I$4:$I$325,ROWS($I$4:I213)),"")</f>
        <v/>
      </c>
      <c r="K213" s="332" t="b">
        <f t="shared" si="8"/>
        <v>0</v>
      </c>
    </row>
    <row r="214" spans="1:11" ht="25.5" x14ac:dyDescent="0.2">
      <c r="A214" s="356">
        <v>387</v>
      </c>
      <c r="B214" s="356" t="s">
        <v>1307</v>
      </c>
      <c r="C214" s="356" t="s">
        <v>1308</v>
      </c>
      <c r="D214" s="356">
        <v>20610</v>
      </c>
      <c r="E214" s="356" t="s">
        <v>61</v>
      </c>
      <c r="F214" s="356">
        <v>16</v>
      </c>
      <c r="G214" s="356" t="s">
        <v>1702</v>
      </c>
      <c r="H214" s="358">
        <f>ROWS($G$4:G214)</f>
        <v>211</v>
      </c>
      <c r="I214" s="358" t="str">
        <f>IF('School Level Expenditures'!$B$2=A214,'School Tables'!H214,"")</f>
        <v/>
      </c>
      <c r="J214" s="358" t="str">
        <f>IFERROR(SMALL($I$4:$I$325,ROWS($I$4:I214)),"")</f>
        <v/>
      </c>
      <c r="K214" s="332" t="b">
        <f t="shared" si="8"/>
        <v>0</v>
      </c>
    </row>
    <row r="215" spans="1:11" ht="25.5" x14ac:dyDescent="0.2">
      <c r="A215" s="356">
        <v>391</v>
      </c>
      <c r="B215" s="356" t="s">
        <v>1315</v>
      </c>
      <c r="C215" s="356" t="s">
        <v>1316</v>
      </c>
      <c r="D215" s="356">
        <v>22465</v>
      </c>
      <c r="E215" s="356" t="s">
        <v>61</v>
      </c>
      <c r="F215" s="356">
        <v>50</v>
      </c>
      <c r="G215" s="356" t="s">
        <v>1718</v>
      </c>
      <c r="H215" s="358">
        <f>ROWS($G$4:G215)</f>
        <v>212</v>
      </c>
      <c r="I215" s="358" t="str">
        <f>IF('School Level Expenditures'!$B$2=A215,'School Tables'!H215,"")</f>
        <v/>
      </c>
      <c r="J215" s="358" t="str">
        <f>IFERROR(SMALL($I$4:$I$325,ROWS($I$4:I215)),"")</f>
        <v/>
      </c>
      <c r="K215" s="332" t="b">
        <f t="shared" si="8"/>
        <v>0</v>
      </c>
    </row>
    <row r="216" spans="1:11" ht="25.5" x14ac:dyDescent="0.2">
      <c r="A216" s="356">
        <v>399</v>
      </c>
      <c r="B216" s="356" t="s">
        <v>1317</v>
      </c>
      <c r="C216" s="356" t="s">
        <v>1318</v>
      </c>
      <c r="D216" s="356">
        <v>21300</v>
      </c>
      <c r="E216" s="356" t="s">
        <v>61</v>
      </c>
      <c r="F216" s="356">
        <v>31</v>
      </c>
      <c r="G216" s="356" t="s">
        <v>1750</v>
      </c>
      <c r="H216" s="358">
        <f>ROWS($G$4:G216)</f>
        <v>213</v>
      </c>
      <c r="I216" s="358" t="str">
        <f>IF('School Level Expenditures'!$B$2=A216,'School Tables'!H216,"")</f>
        <v/>
      </c>
      <c r="J216" s="358" t="str">
        <f>IFERROR(SMALL($I$4:$I$325,ROWS($I$4:I216)),"")</f>
        <v/>
      </c>
      <c r="K216" s="332" t="b">
        <f t="shared" si="8"/>
        <v>0</v>
      </c>
    </row>
    <row r="217" spans="1:11" ht="25.5" x14ac:dyDescent="0.2">
      <c r="A217" s="356">
        <v>399</v>
      </c>
      <c r="B217" s="356" t="s">
        <v>1317</v>
      </c>
      <c r="C217" s="356" t="s">
        <v>1320</v>
      </c>
      <c r="D217" s="356">
        <v>26560</v>
      </c>
      <c r="E217" s="356" t="s">
        <v>61</v>
      </c>
      <c r="F217" s="356">
        <v>31</v>
      </c>
      <c r="G217" s="356" t="s">
        <v>1750</v>
      </c>
      <c r="H217" s="358">
        <f>ROWS($G$4:G217)</f>
        <v>214</v>
      </c>
      <c r="I217" s="358" t="str">
        <f>IF('School Level Expenditures'!$B$2=A217,'School Tables'!H217,"")</f>
        <v/>
      </c>
      <c r="J217" s="358" t="str">
        <f>IFERROR(SMALL($I$4:$I$325,ROWS($I$4:I217)),"")</f>
        <v/>
      </c>
      <c r="K217" s="332" t="b">
        <f t="shared" si="8"/>
        <v>0</v>
      </c>
    </row>
    <row r="218" spans="1:11" ht="25.5" x14ac:dyDescent="0.2">
      <c r="A218" s="356">
        <v>405</v>
      </c>
      <c r="B218" s="356" t="s">
        <v>1325</v>
      </c>
      <c r="C218" s="356" t="s">
        <v>1326</v>
      </c>
      <c r="D218" s="356">
        <v>20805</v>
      </c>
      <c r="E218" s="356" t="s">
        <v>61</v>
      </c>
      <c r="F218" s="356">
        <v>21</v>
      </c>
      <c r="G218" s="356" t="s">
        <v>1737</v>
      </c>
      <c r="H218" s="358">
        <f>ROWS($G$4:G218)</f>
        <v>215</v>
      </c>
      <c r="I218" s="358" t="str">
        <f>IF('School Level Expenditures'!$B$2=A218,'School Tables'!H218,"")</f>
        <v/>
      </c>
      <c r="J218" s="358" t="str">
        <f>IFERROR(SMALL($I$4:$I$325,ROWS($I$4:I218)),"")</f>
        <v/>
      </c>
      <c r="K218" s="332" t="b">
        <f t="shared" si="8"/>
        <v>0</v>
      </c>
    </row>
    <row r="219" spans="1:11" ht="25.5" x14ac:dyDescent="0.2">
      <c r="A219" s="356">
        <v>319</v>
      </c>
      <c r="B219" s="356" t="s">
        <v>1199</v>
      </c>
      <c r="C219" s="356" t="s">
        <v>1201</v>
      </c>
      <c r="D219" s="356">
        <v>20470</v>
      </c>
      <c r="E219" s="356" t="s">
        <v>61</v>
      </c>
      <c r="F219" s="356">
        <v>12</v>
      </c>
      <c r="G219" s="356" t="s">
        <v>1743</v>
      </c>
      <c r="H219" s="358">
        <f>ROWS($G$4:G219)</f>
        <v>216</v>
      </c>
      <c r="I219" s="358" t="str">
        <f>IF('School Level Expenditures'!$B$2=A219,'School Tables'!H219,"")</f>
        <v/>
      </c>
      <c r="J219" s="358" t="str">
        <f>IFERROR(SMALL($I$4:$I$325,ROWS($I$4:I219)),"")</f>
        <v/>
      </c>
      <c r="K219" s="332" t="b">
        <f t="shared" si="8"/>
        <v>0</v>
      </c>
    </row>
    <row r="220" spans="1:11" ht="25.5" x14ac:dyDescent="0.2">
      <c r="A220" s="356">
        <v>473</v>
      </c>
      <c r="B220" s="356" t="s">
        <v>1395</v>
      </c>
      <c r="C220" s="356" t="s">
        <v>1401</v>
      </c>
      <c r="D220" s="356">
        <v>22890</v>
      </c>
      <c r="E220" s="356" t="s">
        <v>61</v>
      </c>
      <c r="F220" s="356">
        <v>57</v>
      </c>
      <c r="G220" s="356" t="s">
        <v>1701</v>
      </c>
      <c r="H220" s="358">
        <f>ROWS($G$4:G220)</f>
        <v>217</v>
      </c>
      <c r="I220" s="358" t="str">
        <f>IF('School Level Expenditures'!$B$2=A220,'School Tables'!H220,"")</f>
        <v/>
      </c>
      <c r="J220" s="358" t="str">
        <f>IFERROR(SMALL($I$4:$I$325,ROWS($I$4:I220)),"")</f>
        <v/>
      </c>
      <c r="K220" s="332" t="b">
        <f t="shared" si="8"/>
        <v>0</v>
      </c>
    </row>
    <row r="221" spans="1:11" ht="38.25" x14ac:dyDescent="0.2">
      <c r="A221" s="356">
        <v>174</v>
      </c>
      <c r="B221" s="356" t="s">
        <v>1033</v>
      </c>
      <c r="C221" s="356" t="s">
        <v>1042</v>
      </c>
      <c r="D221" s="356">
        <v>23005</v>
      </c>
      <c r="E221" s="356" t="s">
        <v>61</v>
      </c>
      <c r="F221" s="356">
        <v>60</v>
      </c>
      <c r="G221" s="356" t="s">
        <v>1662</v>
      </c>
      <c r="H221" s="358">
        <f>ROWS($G$4:G221)</f>
        <v>218</v>
      </c>
      <c r="I221" s="358" t="str">
        <f>IF('School Level Expenditures'!$B$2=A221,'School Tables'!H221,"")</f>
        <v/>
      </c>
      <c r="J221" s="358" t="str">
        <f>IFERROR(SMALL($I$4:$I$325,ROWS($I$4:I221)),"")</f>
        <v/>
      </c>
      <c r="K221" s="332" t="b">
        <f t="shared" si="8"/>
        <v>0</v>
      </c>
    </row>
    <row r="222" spans="1:11" ht="51" x14ac:dyDescent="0.2">
      <c r="A222" s="356">
        <v>716</v>
      </c>
      <c r="B222" s="356" t="s">
        <v>1620</v>
      </c>
      <c r="C222" s="356" t="s">
        <v>1620</v>
      </c>
      <c r="D222" s="356">
        <v>29231</v>
      </c>
      <c r="E222" s="356" t="s">
        <v>61</v>
      </c>
      <c r="F222" s="356">
        <v>441</v>
      </c>
      <c r="G222" s="356" t="s">
        <v>1620</v>
      </c>
      <c r="H222" s="358">
        <f>ROWS($G$4:G222)</f>
        <v>219</v>
      </c>
      <c r="I222" s="358" t="str">
        <f>IF('School Level Expenditures'!$B$2=A222,'School Tables'!H222,"")</f>
        <v/>
      </c>
      <c r="J222" s="358" t="str">
        <f>IFERROR(SMALL($I$4:$I$325,ROWS($I$4:I222)),"")</f>
        <v/>
      </c>
      <c r="K222" s="332" t="b">
        <f t="shared" si="8"/>
        <v>0</v>
      </c>
    </row>
    <row r="223" spans="1:11" ht="25.5" x14ac:dyDescent="0.2">
      <c r="A223" s="356">
        <v>335</v>
      </c>
      <c r="B223" s="356" t="s">
        <v>906</v>
      </c>
      <c r="C223" s="356" t="s">
        <v>1226</v>
      </c>
      <c r="D223" s="356">
        <v>26435</v>
      </c>
      <c r="E223" s="356" t="s">
        <v>61</v>
      </c>
      <c r="F223" s="356">
        <v>37</v>
      </c>
      <c r="G223" s="356" t="s">
        <v>1672</v>
      </c>
      <c r="H223" s="358">
        <f>ROWS($G$4:G223)</f>
        <v>220</v>
      </c>
      <c r="I223" s="358" t="str">
        <f>IF('School Level Expenditures'!$B$2=A223,'School Tables'!H223,"")</f>
        <v/>
      </c>
      <c r="J223" s="358" t="str">
        <f>IFERROR(SMALL($I$4:$I$325,ROWS($I$4:I223)),"")</f>
        <v/>
      </c>
      <c r="K223" s="332" t="b">
        <f t="shared" si="8"/>
        <v>0</v>
      </c>
    </row>
    <row r="224" spans="1:11" ht="25.5" x14ac:dyDescent="0.2">
      <c r="A224" s="356">
        <v>411</v>
      </c>
      <c r="B224" s="356" t="s">
        <v>1331</v>
      </c>
      <c r="C224" s="356" t="s">
        <v>1332</v>
      </c>
      <c r="D224" s="356">
        <v>22085</v>
      </c>
      <c r="E224" s="356" t="s">
        <v>61</v>
      </c>
      <c r="F224" s="356">
        <v>44</v>
      </c>
      <c r="G224" s="356" t="s">
        <v>1751</v>
      </c>
      <c r="H224" s="358">
        <f>ROWS($G$4:G224)</f>
        <v>221</v>
      </c>
      <c r="I224" s="358" t="str">
        <f>IF('School Level Expenditures'!$B$2=A224,'School Tables'!H224,"")</f>
        <v/>
      </c>
      <c r="J224" s="358" t="str">
        <f>IFERROR(SMALL($I$4:$I$325,ROWS($I$4:I224)),"")</f>
        <v/>
      </c>
      <c r="K224" s="332" t="b">
        <f t="shared" si="8"/>
        <v>0</v>
      </c>
    </row>
    <row r="225" spans="1:11" ht="25.5" x14ac:dyDescent="0.2">
      <c r="A225" s="356">
        <v>413</v>
      </c>
      <c r="B225" s="356" t="s">
        <v>1333</v>
      </c>
      <c r="C225" s="356" t="s">
        <v>1334</v>
      </c>
      <c r="D225" s="356">
        <v>22095</v>
      </c>
      <c r="E225" s="356" t="s">
        <v>61</v>
      </c>
      <c r="F225" s="356">
        <v>44</v>
      </c>
      <c r="G225" s="356" t="s">
        <v>1751</v>
      </c>
      <c r="H225" s="358">
        <f>ROWS($G$4:G225)</f>
        <v>222</v>
      </c>
      <c r="I225" s="358" t="str">
        <f>IF('School Level Expenditures'!$B$2=A225,'School Tables'!H225,"")</f>
        <v/>
      </c>
      <c r="J225" s="358" t="str">
        <f>IFERROR(SMALL($I$4:$I$325,ROWS($I$4:I225)),"")</f>
        <v/>
      </c>
      <c r="K225" s="332" t="b">
        <f t="shared" si="8"/>
        <v>0</v>
      </c>
    </row>
    <row r="226" spans="1:11" ht="25.5" x14ac:dyDescent="0.2">
      <c r="A226" s="356">
        <v>267</v>
      </c>
      <c r="B226" s="356" t="s">
        <v>1130</v>
      </c>
      <c r="C226" s="356" t="s">
        <v>1752</v>
      </c>
      <c r="D226" s="356">
        <v>29232</v>
      </c>
      <c r="E226" s="356" t="s">
        <v>1554</v>
      </c>
      <c r="F226" s="356">
        <v>81</v>
      </c>
      <c r="G226" s="356" t="s">
        <v>1700</v>
      </c>
      <c r="H226" s="358">
        <f>ROWS($G$4:G226)</f>
        <v>223</v>
      </c>
      <c r="I226" s="358" t="str">
        <f>IF('School Level Expenditures'!$B$2=A226,'School Tables'!H226,"")</f>
        <v/>
      </c>
      <c r="J226" s="358" t="str">
        <f>IFERROR(SMALL($I$4:$I$325,ROWS($I$4:I226)),"")</f>
        <v/>
      </c>
      <c r="K226" s="332" t="b">
        <f t="shared" si="8"/>
        <v>0</v>
      </c>
    </row>
    <row r="227" spans="1:11" ht="25.5" x14ac:dyDescent="0.2">
      <c r="A227" s="356">
        <v>267</v>
      </c>
      <c r="B227" s="356" t="s">
        <v>1130</v>
      </c>
      <c r="C227" s="356" t="s">
        <v>1135</v>
      </c>
      <c r="D227" s="356">
        <v>26765</v>
      </c>
      <c r="E227" s="356" t="s">
        <v>61</v>
      </c>
      <c r="F227" s="356">
        <v>81</v>
      </c>
      <c r="G227" s="356" t="s">
        <v>1700</v>
      </c>
      <c r="H227" s="358">
        <f>ROWS($G$4:G227)</f>
        <v>224</v>
      </c>
      <c r="I227" s="358" t="str">
        <f>IF('School Level Expenditures'!$B$2=A227,'School Tables'!H227,"")</f>
        <v/>
      </c>
      <c r="J227" s="358" t="str">
        <f>IFERROR(SMALL($I$4:$I$325,ROWS($I$4:I227)),"")</f>
        <v/>
      </c>
      <c r="K227" s="332" t="b">
        <f t="shared" si="8"/>
        <v>0</v>
      </c>
    </row>
    <row r="228" spans="1:11" ht="51" x14ac:dyDescent="0.2">
      <c r="A228" s="356">
        <v>208</v>
      </c>
      <c r="B228" s="356" t="s">
        <v>1072</v>
      </c>
      <c r="C228" s="356" t="s">
        <v>1075</v>
      </c>
      <c r="D228" s="356">
        <v>22405</v>
      </c>
      <c r="E228" s="356" t="s">
        <v>61</v>
      </c>
      <c r="F228" s="356">
        <v>49</v>
      </c>
      <c r="G228" s="356" t="s">
        <v>1687</v>
      </c>
      <c r="H228" s="358">
        <f>ROWS($G$4:G228)</f>
        <v>225</v>
      </c>
      <c r="I228" s="358" t="str">
        <f>IF('School Level Expenditures'!$B$2=A228,'School Tables'!H228,"")</f>
        <v/>
      </c>
      <c r="J228" s="358" t="str">
        <f>IFERROR(SMALL($I$4:$I$325,ROWS($I$4:I228)),"")</f>
        <v/>
      </c>
      <c r="K228" s="332" t="b">
        <f t="shared" si="8"/>
        <v>0</v>
      </c>
    </row>
    <row r="229" spans="1:11" ht="25.5" x14ac:dyDescent="0.2">
      <c r="A229" s="356">
        <v>423</v>
      </c>
      <c r="B229" s="356" t="s">
        <v>1335</v>
      </c>
      <c r="C229" s="356" t="s">
        <v>1560</v>
      </c>
      <c r="D229" s="356">
        <v>29210</v>
      </c>
      <c r="E229" s="356" t="s">
        <v>1554</v>
      </c>
      <c r="F229" s="356">
        <v>5</v>
      </c>
      <c r="G229" s="356" t="s">
        <v>1742</v>
      </c>
      <c r="H229" s="358">
        <f>ROWS($G$4:G229)</f>
        <v>226</v>
      </c>
      <c r="I229" s="358">
        <f>IF('School Level Expenditures'!$B$2=A229,'School Tables'!H229,"")</f>
        <v>226</v>
      </c>
      <c r="J229" s="358" t="str">
        <f>IFERROR(SMALL($I$4:$I$325,ROWS($I$4:I229)),"")</f>
        <v/>
      </c>
      <c r="K229" s="332" t="b">
        <f t="shared" si="8"/>
        <v>0</v>
      </c>
    </row>
    <row r="230" spans="1:11" ht="25.5" x14ac:dyDescent="0.2">
      <c r="A230" s="356">
        <v>335</v>
      </c>
      <c r="B230" s="356" t="s">
        <v>906</v>
      </c>
      <c r="C230" s="356" t="s">
        <v>1215</v>
      </c>
      <c r="D230" s="356">
        <v>21540</v>
      </c>
      <c r="E230" s="356" t="s">
        <v>61</v>
      </c>
      <c r="F230" s="356">
        <v>37</v>
      </c>
      <c r="G230" s="356" t="s">
        <v>1672</v>
      </c>
      <c r="H230" s="358">
        <f>ROWS($G$4:G230)</f>
        <v>227</v>
      </c>
      <c r="I230" s="358" t="str">
        <f>IF('School Level Expenditures'!$B$2=A230,'School Tables'!H230,"")</f>
        <v/>
      </c>
      <c r="J230" s="358" t="str">
        <f>IFERROR(SMALL($I$4:$I$325,ROWS($I$4:I230)),"")</f>
        <v/>
      </c>
      <c r="K230" s="332" t="b">
        <f t="shared" si="8"/>
        <v>0</v>
      </c>
    </row>
    <row r="231" spans="1:11" ht="25.5" x14ac:dyDescent="0.2">
      <c r="A231" s="356">
        <v>185</v>
      </c>
      <c r="B231" s="356" t="s">
        <v>1049</v>
      </c>
      <c r="C231" s="356" t="s">
        <v>1050</v>
      </c>
      <c r="D231" s="356">
        <v>20650</v>
      </c>
      <c r="E231" s="356" t="s">
        <v>61</v>
      </c>
      <c r="F231" s="356">
        <v>18</v>
      </c>
      <c r="G231" s="356" t="s">
        <v>1708</v>
      </c>
      <c r="H231" s="358">
        <f>ROWS($G$4:G231)</f>
        <v>228</v>
      </c>
      <c r="I231" s="358" t="str">
        <f>IF('School Level Expenditures'!$B$2=A231,'School Tables'!H231,"")</f>
        <v/>
      </c>
      <c r="J231" s="358" t="str">
        <f>IFERROR(SMALL($I$4:$I$325,ROWS($I$4:I231)),"")</f>
        <v/>
      </c>
      <c r="K231" s="332" t="b">
        <f t="shared" si="8"/>
        <v>0</v>
      </c>
    </row>
    <row r="232" spans="1:11" ht="25.5" x14ac:dyDescent="0.2">
      <c r="A232" s="356">
        <v>543</v>
      </c>
      <c r="B232" s="356" t="s">
        <v>1453</v>
      </c>
      <c r="C232" s="356" t="s">
        <v>1454</v>
      </c>
      <c r="D232" s="356">
        <v>22110</v>
      </c>
      <c r="E232" s="356" t="s">
        <v>61</v>
      </c>
      <c r="F232" s="356">
        <v>101</v>
      </c>
      <c r="G232" s="356" t="s">
        <v>1753</v>
      </c>
      <c r="H232" s="358">
        <f>ROWS($G$4:G232)</f>
        <v>229</v>
      </c>
      <c r="I232" s="358" t="str">
        <f>IF('School Level Expenditures'!$B$2=A232,'School Tables'!H232,"")</f>
        <v/>
      </c>
      <c r="J232" s="358" t="str">
        <f>IFERROR(SMALL($I$4:$I$325,ROWS($I$4:I232)),"")</f>
        <v/>
      </c>
      <c r="K232" s="332" t="b">
        <f t="shared" si="8"/>
        <v>0</v>
      </c>
    </row>
    <row r="233" spans="1:11" ht="25.5" x14ac:dyDescent="0.2">
      <c r="A233" s="356">
        <v>449</v>
      </c>
      <c r="B233" s="356" t="s">
        <v>1363</v>
      </c>
      <c r="C233" s="356" t="s">
        <v>1561</v>
      </c>
      <c r="D233" s="356">
        <v>22560</v>
      </c>
      <c r="E233" s="356" t="s">
        <v>1554</v>
      </c>
      <c r="F233" s="356">
        <v>52</v>
      </c>
      <c r="G233" s="356" t="s">
        <v>1739</v>
      </c>
      <c r="H233" s="358">
        <f>ROWS($G$4:G233)</f>
        <v>230</v>
      </c>
      <c r="I233" s="358" t="str">
        <f>IF('School Level Expenditures'!$B$2=A233,'School Tables'!H233,"")</f>
        <v/>
      </c>
      <c r="J233" s="358" t="str">
        <f>IFERROR(SMALL($I$4:$I$325,ROWS($I$4:I233)),"")</f>
        <v/>
      </c>
      <c r="K233" s="332" t="b">
        <f t="shared" si="8"/>
        <v>0</v>
      </c>
    </row>
    <row r="234" spans="1:11" ht="25.5" x14ac:dyDescent="0.2">
      <c r="A234" s="356">
        <v>425</v>
      </c>
      <c r="B234" s="356" t="s">
        <v>1340</v>
      </c>
      <c r="C234" s="356" t="s">
        <v>1341</v>
      </c>
      <c r="D234" s="356">
        <v>27970</v>
      </c>
      <c r="E234" s="356" t="s">
        <v>61</v>
      </c>
      <c r="F234" s="356">
        <v>28</v>
      </c>
      <c r="G234" s="356" t="s">
        <v>1754</v>
      </c>
      <c r="H234" s="358">
        <f>ROWS($G$4:G234)</f>
        <v>231</v>
      </c>
      <c r="I234" s="358" t="str">
        <f>IF('School Level Expenditures'!$B$2=A234,'School Tables'!H234,"")</f>
        <v/>
      </c>
      <c r="J234" s="358" t="str">
        <f>IFERROR(SMALL($I$4:$I$325,ROWS($I$4:I234)),"")</f>
        <v/>
      </c>
      <c r="K234" s="332" t="b">
        <f t="shared" si="8"/>
        <v>0</v>
      </c>
    </row>
    <row r="235" spans="1:11" ht="25.5" x14ac:dyDescent="0.2">
      <c r="A235" s="356">
        <v>425</v>
      </c>
      <c r="B235" s="356" t="s">
        <v>1340</v>
      </c>
      <c r="C235" s="356" t="s">
        <v>1343</v>
      </c>
      <c r="D235" s="356">
        <v>21110</v>
      </c>
      <c r="E235" s="356" t="s">
        <v>61</v>
      </c>
      <c r="F235" s="356">
        <v>28</v>
      </c>
      <c r="G235" s="356" t="s">
        <v>1754</v>
      </c>
      <c r="H235" s="358">
        <f>ROWS($G$4:G235)</f>
        <v>232</v>
      </c>
      <c r="I235" s="358" t="str">
        <f>IF('School Level Expenditures'!$B$2=A235,'School Tables'!H235,"")</f>
        <v/>
      </c>
      <c r="J235" s="358" t="str">
        <f>IFERROR(SMALL($I$4:$I$325,ROWS($I$4:I235)),"")</f>
        <v/>
      </c>
      <c r="K235" s="332" t="b">
        <f t="shared" si="8"/>
        <v>0</v>
      </c>
    </row>
    <row r="236" spans="1:11" ht="25.5" x14ac:dyDescent="0.2">
      <c r="A236" s="356">
        <v>427</v>
      </c>
      <c r="B236" s="356" t="s">
        <v>1344</v>
      </c>
      <c r="C236" s="356" t="s">
        <v>1345</v>
      </c>
      <c r="D236" s="356">
        <v>22615</v>
      </c>
      <c r="E236" s="356" t="s">
        <v>61</v>
      </c>
      <c r="F236" s="356">
        <v>53</v>
      </c>
      <c r="G236" s="356" t="s">
        <v>1664</v>
      </c>
      <c r="H236" s="358">
        <f>ROWS($G$4:G236)</f>
        <v>233</v>
      </c>
      <c r="I236" s="358" t="str">
        <f>IF('School Level Expenditures'!$B$2=A236,'School Tables'!H236,"")</f>
        <v/>
      </c>
      <c r="J236" s="358" t="str">
        <f>IFERROR(SMALL($I$4:$I$325,ROWS($I$4:I236)),"")</f>
        <v/>
      </c>
      <c r="K236" s="332" t="b">
        <f t="shared" si="8"/>
        <v>0</v>
      </c>
    </row>
    <row r="237" spans="1:11" ht="38.25" x14ac:dyDescent="0.2">
      <c r="A237" s="356">
        <v>352</v>
      </c>
      <c r="B237" s="356" t="s">
        <v>1250</v>
      </c>
      <c r="C237" s="356" t="s">
        <v>1254</v>
      </c>
      <c r="D237" s="356">
        <v>22185</v>
      </c>
      <c r="E237" s="356" t="s">
        <v>61</v>
      </c>
      <c r="F237" s="356">
        <v>46</v>
      </c>
      <c r="G237" s="356" t="s">
        <v>1667</v>
      </c>
      <c r="H237" s="358">
        <f>ROWS($G$4:G237)</f>
        <v>234</v>
      </c>
      <c r="I237" s="358" t="str">
        <f>IF('School Level Expenditures'!$B$2=A237,'School Tables'!H237,"")</f>
        <v/>
      </c>
      <c r="J237" s="358" t="str">
        <f>IFERROR(SMALL($I$4:$I$325,ROWS($I$4:I237)),"")</f>
        <v/>
      </c>
      <c r="K237" s="332" t="b">
        <f t="shared" si="8"/>
        <v>0</v>
      </c>
    </row>
    <row r="238" spans="1:11" ht="25.5" x14ac:dyDescent="0.2">
      <c r="A238" s="356">
        <v>41</v>
      </c>
      <c r="B238" s="356" t="s">
        <v>934</v>
      </c>
      <c r="C238" s="356" t="s">
        <v>935</v>
      </c>
      <c r="D238" s="356">
        <v>21000</v>
      </c>
      <c r="E238" s="356" t="s">
        <v>61</v>
      </c>
      <c r="F238" s="356">
        <v>25</v>
      </c>
      <c r="G238" s="356" t="s">
        <v>1744</v>
      </c>
      <c r="H238" s="358">
        <f>ROWS($G$4:G238)</f>
        <v>235</v>
      </c>
      <c r="I238" s="358" t="str">
        <f>IF('School Level Expenditures'!$B$2=A238,'School Tables'!H238,"")</f>
        <v/>
      </c>
      <c r="J238" s="358" t="str">
        <f>IFERROR(SMALL($I$4:$I$325,ROWS($I$4:I238)),"")</f>
        <v/>
      </c>
      <c r="K238" s="332" t="b">
        <f t="shared" si="8"/>
        <v>0</v>
      </c>
    </row>
    <row r="239" spans="1:11" ht="38.25" x14ac:dyDescent="0.2">
      <c r="A239" s="356">
        <v>112</v>
      </c>
      <c r="B239" s="356" t="s">
        <v>977</v>
      </c>
      <c r="C239" s="356" t="s">
        <v>987</v>
      </c>
      <c r="D239" s="356">
        <v>22310</v>
      </c>
      <c r="E239" s="356" t="s">
        <v>61</v>
      </c>
      <c r="F239" s="356">
        <v>1</v>
      </c>
      <c r="G239" s="356" t="s">
        <v>1668</v>
      </c>
      <c r="H239" s="358">
        <f>ROWS($G$4:G239)</f>
        <v>236</v>
      </c>
      <c r="I239" s="358" t="str">
        <f>IF('School Level Expenditures'!$B$2=A239,'School Tables'!H239,"")</f>
        <v/>
      </c>
      <c r="J239" s="358" t="str">
        <f>IFERROR(SMALL($I$4:$I$325,ROWS($I$4:I239)),"")</f>
        <v/>
      </c>
      <c r="K239" s="332" t="b">
        <f t="shared" si="8"/>
        <v>0</v>
      </c>
    </row>
    <row r="240" spans="1:11" ht="38.25" x14ac:dyDescent="0.2">
      <c r="A240" s="356">
        <v>112</v>
      </c>
      <c r="B240" s="356" t="s">
        <v>977</v>
      </c>
      <c r="C240" s="356" t="s">
        <v>980</v>
      </c>
      <c r="D240" s="356">
        <v>22225</v>
      </c>
      <c r="E240" s="356" t="s">
        <v>61</v>
      </c>
      <c r="F240" s="356">
        <v>1</v>
      </c>
      <c r="G240" s="356" t="s">
        <v>1668</v>
      </c>
      <c r="H240" s="358">
        <f>ROWS($G$4:G240)</f>
        <v>237</v>
      </c>
      <c r="I240" s="358" t="str">
        <f>IF('School Level Expenditures'!$B$2=A240,'School Tables'!H240,"")</f>
        <v/>
      </c>
      <c r="J240" s="358" t="str">
        <f>IFERROR(SMALL($I$4:$I$325,ROWS($I$4:I240)),"")</f>
        <v/>
      </c>
      <c r="K240" s="332" t="b">
        <f t="shared" si="8"/>
        <v>0</v>
      </c>
    </row>
    <row r="241" spans="1:11" ht="38.25" x14ac:dyDescent="0.2">
      <c r="A241" s="356">
        <v>435</v>
      </c>
      <c r="B241" s="356" t="s">
        <v>1350</v>
      </c>
      <c r="C241" s="356" t="s">
        <v>1351</v>
      </c>
      <c r="D241" s="356">
        <v>20895</v>
      </c>
      <c r="E241" s="356" t="s">
        <v>61</v>
      </c>
      <c r="F241" s="356">
        <v>23</v>
      </c>
      <c r="G241" s="356" t="s">
        <v>1676</v>
      </c>
      <c r="H241" s="358">
        <f>ROWS($G$4:G241)</f>
        <v>238</v>
      </c>
      <c r="I241" s="358" t="str">
        <f>IF('School Level Expenditures'!$B$2=A241,'School Tables'!H241,"")</f>
        <v/>
      </c>
      <c r="J241" s="358" t="str">
        <f>IFERROR(SMALL($I$4:$I$325,ROWS($I$4:I241)),"")</f>
        <v/>
      </c>
      <c r="K241" s="332" t="b">
        <f t="shared" si="8"/>
        <v>0</v>
      </c>
    </row>
    <row r="242" spans="1:11" ht="25.5" x14ac:dyDescent="0.2">
      <c r="A242" s="356">
        <v>113</v>
      </c>
      <c r="B242" s="356" t="s">
        <v>989</v>
      </c>
      <c r="C242" s="356" t="s">
        <v>990</v>
      </c>
      <c r="D242" s="356">
        <v>20330</v>
      </c>
      <c r="E242" s="356" t="s">
        <v>61</v>
      </c>
      <c r="F242" s="356">
        <v>9</v>
      </c>
      <c r="G242" s="356" t="s">
        <v>1694</v>
      </c>
      <c r="H242" s="358">
        <f>ROWS($G$4:G242)</f>
        <v>239</v>
      </c>
      <c r="I242" s="358" t="str">
        <f>IF('School Level Expenditures'!$B$2=A242,'School Tables'!H242,"")</f>
        <v/>
      </c>
      <c r="J242" s="358" t="str">
        <f>IFERROR(SMALL($I$4:$I$325,ROWS($I$4:I242)),"")</f>
        <v/>
      </c>
      <c r="K242" s="332" t="b">
        <f t="shared" si="8"/>
        <v>0</v>
      </c>
    </row>
    <row r="243" spans="1:11" ht="25.5" x14ac:dyDescent="0.2">
      <c r="A243" s="356">
        <v>437</v>
      </c>
      <c r="B243" s="356" t="s">
        <v>1352</v>
      </c>
      <c r="C243" s="356" t="s">
        <v>1353</v>
      </c>
      <c r="D243" s="356">
        <v>20205</v>
      </c>
      <c r="E243" s="356" t="s">
        <v>61</v>
      </c>
      <c r="F243" s="356">
        <v>7</v>
      </c>
      <c r="G243" s="356" t="s">
        <v>1693</v>
      </c>
      <c r="H243" s="358">
        <f>ROWS($G$4:G243)</f>
        <v>240</v>
      </c>
      <c r="I243" s="358" t="str">
        <f>IF('School Level Expenditures'!$B$2=A243,'School Tables'!H243,"")</f>
        <v/>
      </c>
      <c r="J243" s="358" t="str">
        <f>IFERROR(SMALL($I$4:$I$325,ROWS($I$4:I243)),"")</f>
        <v/>
      </c>
      <c r="K243" s="332" t="b">
        <f t="shared" si="8"/>
        <v>0</v>
      </c>
    </row>
    <row r="244" spans="1:11" ht="25.5" x14ac:dyDescent="0.2">
      <c r="A244" s="356">
        <v>439</v>
      </c>
      <c r="B244" s="356" t="s">
        <v>1355</v>
      </c>
      <c r="C244" s="356" t="s">
        <v>1356</v>
      </c>
      <c r="D244" s="356">
        <v>26595</v>
      </c>
      <c r="E244" s="356" t="s">
        <v>61</v>
      </c>
      <c r="F244" s="356">
        <v>51</v>
      </c>
      <c r="G244" s="356" t="s">
        <v>1755</v>
      </c>
      <c r="H244" s="358">
        <f>ROWS($G$4:G244)</f>
        <v>241</v>
      </c>
      <c r="I244" s="358" t="str">
        <f>IF('School Level Expenditures'!$B$2=A244,'School Tables'!H244,"")</f>
        <v/>
      </c>
      <c r="J244" s="358" t="str">
        <f>IFERROR(SMALL($I$4:$I$325,ROWS($I$4:I244)),"")</f>
        <v/>
      </c>
      <c r="K244" s="332" t="b">
        <f t="shared" si="8"/>
        <v>0</v>
      </c>
    </row>
    <row r="245" spans="1:11" ht="25.5" x14ac:dyDescent="0.2">
      <c r="A245" s="356">
        <v>441</v>
      </c>
      <c r="B245" s="356" t="s">
        <v>1359</v>
      </c>
      <c r="C245" s="356" t="s">
        <v>1360</v>
      </c>
      <c r="D245" s="356">
        <v>21375</v>
      </c>
      <c r="E245" s="356" t="s">
        <v>61</v>
      </c>
      <c r="F245" s="356">
        <v>32</v>
      </c>
      <c r="G245" s="356" t="s">
        <v>1756</v>
      </c>
      <c r="H245" s="358">
        <f>ROWS($G$4:G245)</f>
        <v>242</v>
      </c>
      <c r="I245" s="358" t="str">
        <f>IF('School Level Expenditures'!$B$2=A245,'School Tables'!H245,"")</f>
        <v/>
      </c>
      <c r="J245" s="358" t="str">
        <f>IFERROR(SMALL($I$4:$I$325,ROWS($I$4:I245)),"")</f>
        <v/>
      </c>
      <c r="K245" s="332" t="b">
        <f t="shared" si="8"/>
        <v>0</v>
      </c>
    </row>
    <row r="246" spans="1:11" ht="25.5" x14ac:dyDescent="0.2">
      <c r="A246" s="356">
        <v>285</v>
      </c>
      <c r="B246" s="356" t="s">
        <v>1166</v>
      </c>
      <c r="C246" s="356" t="s">
        <v>1168</v>
      </c>
      <c r="D246" s="356">
        <v>21260</v>
      </c>
      <c r="E246" s="356" t="s">
        <v>61</v>
      </c>
      <c r="F246" s="356">
        <v>30</v>
      </c>
      <c r="G246" s="356" t="s">
        <v>1705</v>
      </c>
      <c r="H246" s="358">
        <f>ROWS($G$4:G246)</f>
        <v>243</v>
      </c>
      <c r="I246" s="358" t="str">
        <f>IF('School Level Expenditures'!$B$2=A246,'School Tables'!H246,"")</f>
        <v/>
      </c>
      <c r="J246" s="358" t="str">
        <f>IFERROR(SMALL($I$4:$I$325,ROWS($I$4:I246)),"")</f>
        <v/>
      </c>
      <c r="K246" s="332" t="b">
        <f t="shared" si="8"/>
        <v>0</v>
      </c>
    </row>
    <row r="247" spans="1:11" ht="25.5" x14ac:dyDescent="0.2">
      <c r="A247" s="356">
        <v>447</v>
      </c>
      <c r="B247" s="356" t="s">
        <v>1361</v>
      </c>
      <c r="C247" s="356" t="s">
        <v>1362</v>
      </c>
      <c r="D247" s="356">
        <v>22355</v>
      </c>
      <c r="E247" s="356" t="s">
        <v>61</v>
      </c>
      <c r="F247" s="356">
        <v>48</v>
      </c>
      <c r="G247" s="356" t="s">
        <v>1684</v>
      </c>
      <c r="H247" s="358">
        <f>ROWS($G$4:G247)</f>
        <v>244</v>
      </c>
      <c r="I247" s="358" t="str">
        <f>IF('School Level Expenditures'!$B$2=A247,'School Tables'!H247,"")</f>
        <v/>
      </c>
      <c r="J247" s="358" t="str">
        <f>IFERROR(SMALL($I$4:$I$325,ROWS($I$4:I247)),"")</f>
        <v/>
      </c>
      <c r="K247" s="332" t="b">
        <f t="shared" si="8"/>
        <v>0</v>
      </c>
    </row>
    <row r="248" spans="1:11" ht="38.25" x14ac:dyDescent="0.2">
      <c r="A248" s="356">
        <v>735</v>
      </c>
      <c r="B248" s="356" t="s">
        <v>1521</v>
      </c>
      <c r="C248" s="356" t="s">
        <v>1521</v>
      </c>
      <c r="D248" s="356">
        <v>29065</v>
      </c>
      <c r="E248" s="356" t="s">
        <v>61</v>
      </c>
      <c r="F248" s="356">
        <v>419</v>
      </c>
      <c r="G248" s="356" t="s">
        <v>1521</v>
      </c>
      <c r="H248" s="358">
        <f>ROWS($G$4:G248)</f>
        <v>245</v>
      </c>
      <c r="I248" s="358" t="str">
        <f>IF('School Level Expenditures'!$B$2=A248,'School Tables'!H248,"")</f>
        <v/>
      </c>
      <c r="J248" s="358" t="str">
        <f>IFERROR(SMALL($I$4:$I$325,ROWS($I$4:I248)),"")</f>
        <v/>
      </c>
      <c r="K248" s="332" t="b">
        <f t="shared" si="8"/>
        <v>0</v>
      </c>
    </row>
    <row r="249" spans="1:11" ht="38.25" x14ac:dyDescent="0.2">
      <c r="A249" s="356">
        <v>534</v>
      </c>
      <c r="B249" s="356" t="s">
        <v>1443</v>
      </c>
      <c r="C249" s="356" t="s">
        <v>1448</v>
      </c>
      <c r="D249" s="356">
        <v>22765</v>
      </c>
      <c r="E249" s="356" t="s">
        <v>61</v>
      </c>
      <c r="F249" s="356">
        <v>106</v>
      </c>
      <c r="G249" s="356" t="s">
        <v>1670</v>
      </c>
      <c r="H249" s="358">
        <f>ROWS($G$4:G249)</f>
        <v>246</v>
      </c>
      <c r="I249" s="358" t="str">
        <f>IF('School Level Expenditures'!$B$2=A249,'School Tables'!H249,"")</f>
        <v/>
      </c>
      <c r="J249" s="358" t="str">
        <f>IFERROR(SMALL($I$4:$I$325,ROWS($I$4:I249)),"")</f>
        <v/>
      </c>
      <c r="K249" s="332" t="b">
        <f t="shared" si="8"/>
        <v>0</v>
      </c>
    </row>
    <row r="250" spans="1:11" ht="25.5" x14ac:dyDescent="0.2">
      <c r="A250" s="356">
        <v>371</v>
      </c>
      <c r="B250" s="356" t="s">
        <v>1283</v>
      </c>
      <c r="C250" s="356" t="s">
        <v>1559</v>
      </c>
      <c r="D250" s="356">
        <v>28610</v>
      </c>
      <c r="E250" s="356" t="s">
        <v>1554</v>
      </c>
      <c r="F250" s="356">
        <v>42</v>
      </c>
      <c r="G250" s="356" t="s">
        <v>1666</v>
      </c>
      <c r="H250" s="358">
        <f>ROWS($G$4:G250)</f>
        <v>247</v>
      </c>
      <c r="I250" s="358" t="str">
        <f>IF('School Level Expenditures'!$B$2=A250,'School Tables'!H250,"")</f>
        <v/>
      </c>
      <c r="J250" s="358" t="str">
        <f>IFERROR(SMALL($I$4:$I$325,ROWS($I$4:I250)),"")</f>
        <v/>
      </c>
      <c r="K250" s="332" t="b">
        <f t="shared" si="8"/>
        <v>0</v>
      </c>
    </row>
    <row r="251" spans="1:11" ht="25.5" x14ac:dyDescent="0.2">
      <c r="A251" s="356">
        <v>351</v>
      </c>
      <c r="B251" s="356" t="s">
        <v>1243</v>
      </c>
      <c r="C251" s="356" t="s">
        <v>1245</v>
      </c>
      <c r="D251" s="356">
        <v>21015</v>
      </c>
      <c r="E251" s="356" t="s">
        <v>61</v>
      </c>
      <c r="F251" s="356">
        <v>26</v>
      </c>
      <c r="G251" s="356" t="s">
        <v>1732</v>
      </c>
      <c r="H251" s="358">
        <f>ROWS($G$4:G251)</f>
        <v>248</v>
      </c>
      <c r="I251" s="358" t="str">
        <f>IF('School Level Expenditures'!$B$2=A251,'School Tables'!H251,"")</f>
        <v/>
      </c>
      <c r="J251" s="358" t="str">
        <f>IFERROR(SMALL($I$4:$I$325,ROWS($I$4:I251)),"")</f>
        <v/>
      </c>
      <c r="K251" s="332" t="b">
        <f t="shared" si="8"/>
        <v>0</v>
      </c>
    </row>
    <row r="252" spans="1:11" ht="38.25" x14ac:dyDescent="0.2">
      <c r="A252" s="356">
        <v>71</v>
      </c>
      <c r="B252" s="356" t="s">
        <v>950</v>
      </c>
      <c r="C252" s="356" t="s">
        <v>952</v>
      </c>
      <c r="D252" s="356">
        <v>21800</v>
      </c>
      <c r="E252" s="356" t="s">
        <v>61</v>
      </c>
      <c r="F252" s="356">
        <v>41</v>
      </c>
      <c r="G252" s="356" t="s">
        <v>1686</v>
      </c>
      <c r="H252" s="358">
        <f>ROWS($G$4:G252)</f>
        <v>249</v>
      </c>
      <c r="I252" s="358" t="str">
        <f>IF('School Level Expenditures'!$B$2=A252,'School Tables'!H252,"")</f>
        <v/>
      </c>
      <c r="J252" s="358" t="str">
        <f>IFERROR(SMALL($I$4:$I$325,ROWS($I$4:I252)),"")</f>
        <v/>
      </c>
      <c r="K252" s="332" t="b">
        <f t="shared" si="8"/>
        <v>0</v>
      </c>
    </row>
    <row r="253" spans="1:11" ht="25.5" x14ac:dyDescent="0.2">
      <c r="A253" s="356">
        <v>401</v>
      </c>
      <c r="B253" s="356" t="s">
        <v>1321</v>
      </c>
      <c r="C253" s="356" t="s">
        <v>1324</v>
      </c>
      <c r="D253" s="356">
        <v>21995</v>
      </c>
      <c r="E253" s="356" t="s">
        <v>61</v>
      </c>
      <c r="F253" s="356">
        <v>43</v>
      </c>
      <c r="G253" s="356" t="s">
        <v>1757</v>
      </c>
      <c r="H253" s="358">
        <f>ROWS($G$4:G253)</f>
        <v>250</v>
      </c>
      <c r="I253" s="358" t="str">
        <f>IF('School Level Expenditures'!$B$2=A253,'School Tables'!H253,"")</f>
        <v/>
      </c>
      <c r="J253" s="358" t="str">
        <f>IFERROR(SMALL($I$4:$I$325,ROWS($I$4:I253)),"")</f>
        <v/>
      </c>
      <c r="K253" s="332" t="b">
        <f t="shared" si="8"/>
        <v>0</v>
      </c>
    </row>
    <row r="254" spans="1:11" ht="25.5" x14ac:dyDescent="0.2">
      <c r="A254" s="356">
        <v>41</v>
      </c>
      <c r="B254" s="356" t="s">
        <v>934</v>
      </c>
      <c r="C254" s="356" t="s">
        <v>937</v>
      </c>
      <c r="D254" s="356">
        <v>27680</v>
      </c>
      <c r="E254" s="356" t="s">
        <v>61</v>
      </c>
      <c r="F254" s="356">
        <v>25</v>
      </c>
      <c r="G254" s="356" t="s">
        <v>1744</v>
      </c>
      <c r="H254" s="358">
        <f>ROWS($G$4:G254)</f>
        <v>251</v>
      </c>
      <c r="I254" s="358" t="str">
        <f>IF('School Level Expenditures'!$B$2=A254,'School Tables'!H254,"")</f>
        <v/>
      </c>
      <c r="J254" s="358" t="str">
        <f>IFERROR(SMALL($I$4:$I$325,ROWS($I$4:I254)),"")</f>
        <v/>
      </c>
      <c r="K254" s="332" t="b">
        <f t="shared" si="8"/>
        <v>0</v>
      </c>
    </row>
    <row r="255" spans="1:11" ht="25.5" x14ac:dyDescent="0.2">
      <c r="A255" s="356">
        <v>274</v>
      </c>
      <c r="B255" s="356" t="s">
        <v>1143</v>
      </c>
      <c r="C255" s="356" t="s">
        <v>1144</v>
      </c>
      <c r="D255" s="356">
        <v>22320</v>
      </c>
      <c r="E255" s="356" t="s">
        <v>61</v>
      </c>
      <c r="F255" s="356">
        <v>47</v>
      </c>
      <c r="G255" s="356" t="s">
        <v>1730</v>
      </c>
      <c r="H255" s="358">
        <f>ROWS($G$4:G255)</f>
        <v>252</v>
      </c>
      <c r="I255" s="358" t="str">
        <f>IF('School Level Expenditures'!$B$2=A255,'School Tables'!H255,"")</f>
        <v/>
      </c>
      <c r="J255" s="358" t="str">
        <f>IFERROR(SMALL($I$4:$I$325,ROWS($I$4:I255)),"")</f>
        <v/>
      </c>
      <c r="K255" s="332" t="b">
        <f t="shared" si="8"/>
        <v>0</v>
      </c>
    </row>
    <row r="256" spans="1:11" ht="38.25" x14ac:dyDescent="0.2">
      <c r="A256" s="356">
        <v>457</v>
      </c>
      <c r="B256" s="356" t="s">
        <v>1618</v>
      </c>
      <c r="C256" s="356" t="s">
        <v>1619</v>
      </c>
      <c r="D256" s="356">
        <v>29196</v>
      </c>
      <c r="E256" s="356" t="s">
        <v>61</v>
      </c>
      <c r="F256" s="356">
        <v>78</v>
      </c>
      <c r="G256" s="356" t="s">
        <v>1758</v>
      </c>
      <c r="H256" s="358">
        <f>ROWS($G$4:G256)</f>
        <v>253</v>
      </c>
      <c r="I256" s="358" t="str">
        <f>IF('School Level Expenditures'!$B$2=A256,'School Tables'!H256,"")</f>
        <v/>
      </c>
      <c r="J256" s="358" t="str">
        <f>IFERROR(SMALL($I$4:$I$325,ROWS($I$4:I256)),"")</f>
        <v/>
      </c>
      <c r="K256" s="332" t="b">
        <f t="shared" si="8"/>
        <v>0</v>
      </c>
    </row>
    <row r="257" spans="1:11" ht="38.25" x14ac:dyDescent="0.2">
      <c r="A257" s="356">
        <v>737</v>
      </c>
      <c r="B257" s="356" t="s">
        <v>1522</v>
      </c>
      <c r="C257" s="356" t="s">
        <v>1522</v>
      </c>
      <c r="D257" s="356">
        <v>29070</v>
      </c>
      <c r="E257" s="356" t="s">
        <v>61</v>
      </c>
      <c r="F257" s="356">
        <v>420</v>
      </c>
      <c r="G257" s="356" t="s">
        <v>1522</v>
      </c>
      <c r="H257" s="358">
        <f>ROWS($G$4:G257)</f>
        <v>254</v>
      </c>
      <c r="I257" s="358" t="str">
        <f>IF('School Level Expenditures'!$B$2=A257,'School Tables'!H257,"")</f>
        <v/>
      </c>
      <c r="J257" s="358" t="str">
        <f>IFERROR(SMALL($I$4:$I$325,ROWS($I$4:I257)),"")</f>
        <v/>
      </c>
      <c r="K257" s="332" t="b">
        <f t="shared" si="8"/>
        <v>0</v>
      </c>
    </row>
    <row r="258" spans="1:11" ht="25.5" x14ac:dyDescent="0.2">
      <c r="A258" s="356">
        <v>463</v>
      </c>
      <c r="B258" s="356" t="s">
        <v>1388</v>
      </c>
      <c r="C258" s="356" t="s">
        <v>1389</v>
      </c>
      <c r="D258" s="356">
        <v>22810</v>
      </c>
      <c r="E258" s="356" t="s">
        <v>61</v>
      </c>
      <c r="F258" s="356">
        <v>104</v>
      </c>
      <c r="G258" s="356" t="s">
        <v>1759</v>
      </c>
      <c r="H258" s="358">
        <f>ROWS($G$4:G258)</f>
        <v>255</v>
      </c>
      <c r="I258" s="358" t="str">
        <f>IF('School Level Expenditures'!$B$2=A258,'School Tables'!H258,"")</f>
        <v/>
      </c>
      <c r="J258" s="358" t="str">
        <f>IFERROR(SMALL($I$4:$I$325,ROWS($I$4:I258)),"")</f>
        <v/>
      </c>
      <c r="K258" s="332" t="b">
        <f t="shared" si="8"/>
        <v>0</v>
      </c>
    </row>
    <row r="259" spans="1:11" ht="25.5" x14ac:dyDescent="0.2">
      <c r="A259" s="356">
        <v>467</v>
      </c>
      <c r="B259" s="356" t="s">
        <v>1390</v>
      </c>
      <c r="C259" s="356" t="s">
        <v>1391</v>
      </c>
      <c r="D259" s="356">
        <v>22375</v>
      </c>
      <c r="E259" s="356" t="s">
        <v>61</v>
      </c>
      <c r="F259" s="356">
        <v>48</v>
      </c>
      <c r="G259" s="356" t="s">
        <v>1684</v>
      </c>
      <c r="H259" s="358">
        <f>ROWS($G$4:G259)</f>
        <v>256</v>
      </c>
      <c r="I259" s="358" t="str">
        <f>IF('School Level Expenditures'!$B$2=A259,'School Tables'!H259,"")</f>
        <v/>
      </c>
      <c r="J259" s="358" t="str">
        <f>IFERROR(SMALL($I$4:$I$325,ROWS($I$4:I259)),"")</f>
        <v/>
      </c>
      <c r="K259" s="332" t="b">
        <f t="shared" si="8"/>
        <v>0</v>
      </c>
    </row>
    <row r="260" spans="1:11" ht="25.5" x14ac:dyDescent="0.2">
      <c r="A260" s="356">
        <v>471</v>
      </c>
      <c r="B260" s="356" t="s">
        <v>1392</v>
      </c>
      <c r="C260" s="356" t="s">
        <v>1394</v>
      </c>
      <c r="D260" s="356">
        <v>22475</v>
      </c>
      <c r="E260" s="356" t="s">
        <v>61</v>
      </c>
      <c r="F260" s="356">
        <v>50</v>
      </c>
      <c r="G260" s="356" t="s">
        <v>1718</v>
      </c>
      <c r="H260" s="358">
        <f>ROWS($G$4:G260)</f>
        <v>257</v>
      </c>
      <c r="I260" s="358" t="str">
        <f>IF('School Level Expenditures'!$B$2=A260,'School Tables'!H260,"")</f>
        <v/>
      </c>
      <c r="J260" s="358" t="str">
        <f>IFERROR(SMALL($I$4:$I$325,ROWS($I$4:I260)),"")</f>
        <v/>
      </c>
      <c r="K260" s="332" t="b">
        <f t="shared" si="8"/>
        <v>0</v>
      </c>
    </row>
    <row r="261" spans="1:11" ht="25.5" x14ac:dyDescent="0.2">
      <c r="A261" s="356">
        <v>471</v>
      </c>
      <c r="B261" s="356" t="s">
        <v>1392</v>
      </c>
      <c r="C261" s="356" t="s">
        <v>1393</v>
      </c>
      <c r="D261" s="356">
        <v>22470</v>
      </c>
      <c r="E261" s="356" t="s">
        <v>61</v>
      </c>
      <c r="F261" s="356">
        <v>50</v>
      </c>
      <c r="G261" s="356" t="s">
        <v>1718</v>
      </c>
      <c r="H261" s="358">
        <f>ROWS($G$4:G261)</f>
        <v>258</v>
      </c>
      <c r="I261" s="358" t="str">
        <f>IF('School Level Expenditures'!$B$2=A261,'School Tables'!H261,"")</f>
        <v/>
      </c>
      <c r="J261" s="358" t="str">
        <f>IFERROR(SMALL($I$4:$I$325,ROWS($I$4:I261)),"")</f>
        <v/>
      </c>
      <c r="K261" s="332" t="b">
        <f t="shared" ref="K261:K324" si="9">C261=C262</f>
        <v>0</v>
      </c>
    </row>
    <row r="262" spans="1:11" ht="25.5" x14ac:dyDescent="0.2">
      <c r="A262" s="356">
        <v>473</v>
      </c>
      <c r="B262" s="356" t="s">
        <v>1395</v>
      </c>
      <c r="C262" s="356" t="s">
        <v>1606</v>
      </c>
      <c r="D262" s="356">
        <v>29225</v>
      </c>
      <c r="E262" s="356" t="s">
        <v>1554</v>
      </c>
      <c r="F262" s="356">
        <v>57</v>
      </c>
      <c r="G262" s="356" t="s">
        <v>1701</v>
      </c>
      <c r="H262" s="358">
        <f>ROWS($G$4:G262)</f>
        <v>259</v>
      </c>
      <c r="I262" s="358" t="str">
        <f>IF('School Level Expenditures'!$B$2=A262,'School Tables'!H262,"")</f>
        <v/>
      </c>
      <c r="J262" s="358" t="str">
        <f>IFERROR(SMALL($I$4:$I$325,ROWS($I$4:I262)),"")</f>
        <v/>
      </c>
      <c r="K262" s="332" t="b">
        <f t="shared" si="9"/>
        <v>0</v>
      </c>
    </row>
    <row r="263" spans="1:11" ht="38.25" x14ac:dyDescent="0.2">
      <c r="A263" s="356">
        <v>352</v>
      </c>
      <c r="B263" s="356" t="s">
        <v>1250</v>
      </c>
      <c r="C263" s="356" t="s">
        <v>1256</v>
      </c>
      <c r="D263" s="356">
        <v>22200</v>
      </c>
      <c r="E263" s="356" t="s">
        <v>61</v>
      </c>
      <c r="F263" s="356">
        <v>46</v>
      </c>
      <c r="G263" s="356" t="s">
        <v>1667</v>
      </c>
      <c r="H263" s="358">
        <f>ROWS($G$4:G263)</f>
        <v>260</v>
      </c>
      <c r="I263" s="358" t="str">
        <f>IF('School Level Expenditures'!$B$2=A263,'School Tables'!H263,"")</f>
        <v/>
      </c>
      <c r="J263" s="358" t="str">
        <f>IFERROR(SMALL($I$4:$I$325,ROWS($I$4:I263)),"")</f>
        <v/>
      </c>
      <c r="K263" s="332" t="b">
        <f t="shared" si="9"/>
        <v>0</v>
      </c>
    </row>
    <row r="264" spans="1:11" ht="38.25" x14ac:dyDescent="0.2">
      <c r="A264" s="356">
        <v>582</v>
      </c>
      <c r="B264" s="356" t="s">
        <v>1485</v>
      </c>
      <c r="C264" s="356" t="s">
        <v>1486</v>
      </c>
      <c r="D264" s="356">
        <v>22925</v>
      </c>
      <c r="E264" s="356" t="s">
        <v>61</v>
      </c>
      <c r="F264" s="356">
        <v>59</v>
      </c>
      <c r="G264" s="356" t="s">
        <v>1760</v>
      </c>
      <c r="H264" s="358">
        <f>ROWS($G$4:G264)</f>
        <v>261</v>
      </c>
      <c r="I264" s="358" t="str">
        <f>IF('School Level Expenditures'!$B$2=A264,'School Tables'!H264,"")</f>
        <v/>
      </c>
      <c r="J264" s="358" t="str">
        <f>IFERROR(SMALL($I$4:$I$325,ROWS($I$4:I264)),"")</f>
        <v/>
      </c>
      <c r="K264" s="332" t="b">
        <f t="shared" si="9"/>
        <v>0</v>
      </c>
    </row>
    <row r="265" spans="1:11" ht="38.25" x14ac:dyDescent="0.2">
      <c r="A265" s="356">
        <v>534</v>
      </c>
      <c r="B265" s="356" t="s">
        <v>1443</v>
      </c>
      <c r="C265" s="356" t="s">
        <v>1450</v>
      </c>
      <c r="D265" s="356">
        <v>22775</v>
      </c>
      <c r="E265" s="356" t="s">
        <v>61</v>
      </c>
      <c r="F265" s="356">
        <v>106</v>
      </c>
      <c r="G265" s="356" t="s">
        <v>1670</v>
      </c>
      <c r="H265" s="358">
        <f>ROWS($G$4:G265)</f>
        <v>262</v>
      </c>
      <c r="I265" s="358" t="str">
        <f>IF('School Level Expenditures'!$B$2=A265,'School Tables'!H265,"")</f>
        <v/>
      </c>
      <c r="J265" s="358" t="str">
        <f>IFERROR(SMALL($I$4:$I$325,ROWS($I$4:I265)),"")</f>
        <v/>
      </c>
      <c r="K265" s="332" t="b">
        <f t="shared" si="9"/>
        <v>0</v>
      </c>
    </row>
    <row r="266" spans="1:11" ht="38.25" x14ac:dyDescent="0.2">
      <c r="A266" s="356">
        <v>534</v>
      </c>
      <c r="B266" s="356" t="s">
        <v>1443</v>
      </c>
      <c r="C266" s="356" t="s">
        <v>1444</v>
      </c>
      <c r="D266" s="356">
        <v>27910</v>
      </c>
      <c r="E266" s="356" t="s">
        <v>61</v>
      </c>
      <c r="F266" s="356">
        <v>106</v>
      </c>
      <c r="G266" s="356" t="s">
        <v>1670</v>
      </c>
      <c r="H266" s="358">
        <f>ROWS($G$4:G266)</f>
        <v>263</v>
      </c>
      <c r="I266" s="358" t="str">
        <f>IF('School Level Expenditures'!$B$2=A266,'School Tables'!H266,"")</f>
        <v/>
      </c>
      <c r="J266" s="358" t="str">
        <f>IFERROR(SMALL($I$4:$I$325,ROWS($I$4:I266)),"")</f>
        <v/>
      </c>
      <c r="K266" s="332" t="b">
        <f t="shared" si="9"/>
        <v>0</v>
      </c>
    </row>
    <row r="267" spans="1:11" ht="38.25" x14ac:dyDescent="0.2">
      <c r="A267" s="356">
        <v>269</v>
      </c>
      <c r="B267" s="356" t="s">
        <v>1136</v>
      </c>
      <c r="C267" s="356" t="s">
        <v>1140</v>
      </c>
      <c r="D267" s="356">
        <v>20040</v>
      </c>
      <c r="E267" s="356" t="s">
        <v>61</v>
      </c>
      <c r="F267" s="356">
        <v>2</v>
      </c>
      <c r="G267" s="356" t="s">
        <v>1669</v>
      </c>
      <c r="H267" s="358">
        <f>ROWS($G$4:G267)</f>
        <v>264</v>
      </c>
      <c r="I267" s="358" t="str">
        <f>IF('School Level Expenditures'!$B$2=A267,'School Tables'!H267,"")</f>
        <v/>
      </c>
      <c r="J267" s="358" t="str">
        <f>IFERROR(SMALL($I$4:$I$325,ROWS($I$4:I267)),"")</f>
        <v/>
      </c>
      <c r="K267" s="332" t="b">
        <f t="shared" si="9"/>
        <v>0</v>
      </c>
    </row>
    <row r="268" spans="1:11" ht="38.25" x14ac:dyDescent="0.2">
      <c r="A268" s="356">
        <v>174</v>
      </c>
      <c r="B268" s="356" t="s">
        <v>1033</v>
      </c>
      <c r="C268" s="356" t="s">
        <v>1041</v>
      </c>
      <c r="D268" s="356">
        <v>22995</v>
      </c>
      <c r="E268" s="356" t="s">
        <v>61</v>
      </c>
      <c r="F268" s="356">
        <v>60</v>
      </c>
      <c r="G268" s="356" t="s">
        <v>1662</v>
      </c>
      <c r="H268" s="358">
        <f>ROWS($G$4:G268)</f>
        <v>265</v>
      </c>
      <c r="I268" s="358" t="str">
        <f>IF('School Level Expenditures'!$B$2=A268,'School Tables'!H268,"")</f>
        <v/>
      </c>
      <c r="J268" s="358" t="str">
        <f>IFERROR(SMALL($I$4:$I$325,ROWS($I$4:I268)),"")</f>
        <v/>
      </c>
      <c r="K268" s="332" t="b">
        <f t="shared" si="9"/>
        <v>0</v>
      </c>
    </row>
    <row r="269" spans="1:11" ht="25.5" x14ac:dyDescent="0.2">
      <c r="A269" s="356">
        <v>461</v>
      </c>
      <c r="B269" s="356" t="s">
        <v>1376</v>
      </c>
      <c r="C269" s="356" t="s">
        <v>1385</v>
      </c>
      <c r="D269" s="356">
        <v>22720</v>
      </c>
      <c r="E269" s="356" t="s">
        <v>61</v>
      </c>
      <c r="F269" s="356">
        <v>54</v>
      </c>
      <c r="G269" s="356" t="s">
        <v>1689</v>
      </c>
      <c r="H269" s="358">
        <f>ROWS($G$4:G269)</f>
        <v>266</v>
      </c>
      <c r="I269" s="358" t="str">
        <f>IF('School Level Expenditures'!$B$2=A269,'School Tables'!H269,"")</f>
        <v/>
      </c>
      <c r="J269" s="358" t="str">
        <f>IFERROR(SMALL($I$4:$I$325,ROWS($I$4:I269)),"")</f>
        <v/>
      </c>
      <c r="K269" s="332" t="b">
        <f t="shared" si="9"/>
        <v>0</v>
      </c>
    </row>
    <row r="270" spans="1:11" ht="25.5" x14ac:dyDescent="0.2">
      <c r="A270" s="356">
        <v>485</v>
      </c>
      <c r="B270" s="356" t="s">
        <v>1407</v>
      </c>
      <c r="C270" s="356" t="s">
        <v>1409</v>
      </c>
      <c r="D270" s="356">
        <v>20810</v>
      </c>
      <c r="E270" s="356" t="s">
        <v>61</v>
      </c>
      <c r="F270" s="356">
        <v>21</v>
      </c>
      <c r="G270" s="356" t="s">
        <v>1737</v>
      </c>
      <c r="H270" s="358">
        <f>ROWS($G$4:G270)</f>
        <v>267</v>
      </c>
      <c r="I270" s="358" t="str">
        <f>IF('School Level Expenditures'!$B$2=A270,'School Tables'!H270,"")</f>
        <v/>
      </c>
      <c r="J270" s="358" t="str">
        <f>IFERROR(SMALL($I$4:$I$325,ROWS($I$4:I270)),"")</f>
        <v/>
      </c>
      <c r="K270" s="332" t="b">
        <f t="shared" si="9"/>
        <v>0</v>
      </c>
    </row>
    <row r="271" spans="1:11" ht="25.5" x14ac:dyDescent="0.2">
      <c r="A271" s="356">
        <v>485</v>
      </c>
      <c r="B271" s="356" t="s">
        <v>1407</v>
      </c>
      <c r="C271" s="356" t="s">
        <v>1408</v>
      </c>
      <c r="D271" s="356">
        <v>27995</v>
      </c>
      <c r="E271" s="356" t="s">
        <v>61</v>
      </c>
      <c r="F271" s="356">
        <v>21</v>
      </c>
      <c r="G271" s="356" t="s">
        <v>1737</v>
      </c>
      <c r="H271" s="358">
        <f>ROWS($G$4:G271)</f>
        <v>268</v>
      </c>
      <c r="I271" s="358" t="str">
        <f>IF('School Level Expenditures'!$B$2=A271,'School Tables'!H271,"")</f>
        <v/>
      </c>
      <c r="J271" s="358" t="str">
        <f>IFERROR(SMALL($I$4:$I$325,ROWS($I$4:I271)),"")</f>
        <v/>
      </c>
      <c r="K271" s="332" t="b">
        <f t="shared" si="9"/>
        <v>0</v>
      </c>
    </row>
    <row r="272" spans="1:11" ht="38.25" x14ac:dyDescent="0.2">
      <c r="A272" s="356">
        <v>705</v>
      </c>
      <c r="B272" s="356" t="s">
        <v>1496</v>
      </c>
      <c r="C272" s="356" t="s">
        <v>1496</v>
      </c>
      <c r="D272" s="356">
        <v>28400</v>
      </c>
      <c r="E272" s="356" t="s">
        <v>61</v>
      </c>
      <c r="F272" s="356">
        <v>403</v>
      </c>
      <c r="G272" s="356" t="s">
        <v>1496</v>
      </c>
      <c r="H272" s="358">
        <f>ROWS($G$4:G272)</f>
        <v>269</v>
      </c>
      <c r="I272" s="358" t="str">
        <f>IF('School Level Expenditures'!$B$2=A272,'School Tables'!H272,"")</f>
        <v/>
      </c>
      <c r="J272" s="358" t="str">
        <f>IFERROR(SMALL($I$4:$I$325,ROWS($I$4:I272)),"")</f>
        <v/>
      </c>
      <c r="K272" s="332" t="b">
        <f t="shared" si="9"/>
        <v>0</v>
      </c>
    </row>
    <row r="273" spans="1:11" ht="38.25" x14ac:dyDescent="0.2">
      <c r="A273" s="356">
        <v>276</v>
      </c>
      <c r="B273" s="356" t="s">
        <v>1150</v>
      </c>
      <c r="C273" s="356" t="s">
        <v>1153</v>
      </c>
      <c r="D273" s="356">
        <v>22020</v>
      </c>
      <c r="E273" s="356" t="s">
        <v>61</v>
      </c>
      <c r="F273" s="356">
        <v>65</v>
      </c>
      <c r="G273" s="356" t="s">
        <v>1731</v>
      </c>
      <c r="H273" s="358">
        <f>ROWS($G$4:G273)</f>
        <v>270</v>
      </c>
      <c r="I273" s="358" t="str">
        <f>IF('School Level Expenditures'!$B$2=A273,'School Tables'!H273,"")</f>
        <v/>
      </c>
      <c r="J273" s="358" t="str">
        <f>IFERROR(SMALL($I$4:$I$325,ROWS($I$4:I273)),"")</f>
        <v/>
      </c>
      <c r="K273" s="332" t="b">
        <f t="shared" si="9"/>
        <v>0</v>
      </c>
    </row>
    <row r="274" spans="1:11" ht="25.5" x14ac:dyDescent="0.2">
      <c r="A274" s="356">
        <v>335</v>
      </c>
      <c r="B274" s="356" t="s">
        <v>906</v>
      </c>
      <c r="C274" s="356" t="s">
        <v>1223</v>
      </c>
      <c r="D274" s="356">
        <v>21605</v>
      </c>
      <c r="E274" s="356" t="s">
        <v>61</v>
      </c>
      <c r="F274" s="356">
        <v>37</v>
      </c>
      <c r="G274" s="356" t="s">
        <v>1672</v>
      </c>
      <c r="H274" s="358">
        <f>ROWS($G$4:G274)</f>
        <v>271</v>
      </c>
      <c r="I274" s="358" t="str">
        <f>IF('School Level Expenditures'!$B$2=A274,'School Tables'!H274,"")</f>
        <v/>
      </c>
      <c r="J274" s="358" t="str">
        <f>IFERROR(SMALL($I$4:$I$325,ROWS($I$4:I274)),"")</f>
        <v/>
      </c>
      <c r="K274" s="332" t="b">
        <f t="shared" si="9"/>
        <v>0</v>
      </c>
    </row>
    <row r="275" spans="1:11" ht="25.5" x14ac:dyDescent="0.2">
      <c r="A275" s="356">
        <v>495</v>
      </c>
      <c r="B275" s="356" t="s">
        <v>1422</v>
      </c>
      <c r="C275" s="356" t="s">
        <v>1423</v>
      </c>
      <c r="D275" s="356">
        <v>20815</v>
      </c>
      <c r="E275" s="356" t="s">
        <v>61</v>
      </c>
      <c r="F275" s="356">
        <v>21</v>
      </c>
      <c r="G275" s="356" t="s">
        <v>1737</v>
      </c>
      <c r="H275" s="358">
        <f>ROWS($G$4:G275)</f>
        <v>272</v>
      </c>
      <c r="I275" s="358" t="str">
        <f>IF('School Level Expenditures'!$B$2=A275,'School Tables'!H275,"")</f>
        <v/>
      </c>
      <c r="J275" s="358" t="str">
        <f>IFERROR(SMALL($I$4:$I$325,ROWS($I$4:I275)),"")</f>
        <v/>
      </c>
      <c r="K275" s="332" t="b">
        <f t="shared" si="9"/>
        <v>0</v>
      </c>
    </row>
    <row r="276" spans="1:11" ht="25.5" x14ac:dyDescent="0.2">
      <c r="A276" s="356">
        <v>319</v>
      </c>
      <c r="B276" s="356" t="s">
        <v>1199</v>
      </c>
      <c r="C276" s="356" t="s">
        <v>1202</v>
      </c>
      <c r="D276" s="356">
        <v>20475</v>
      </c>
      <c r="E276" s="356" t="s">
        <v>61</v>
      </c>
      <c r="F276" s="356">
        <v>12</v>
      </c>
      <c r="G276" s="356" t="s">
        <v>1743</v>
      </c>
      <c r="H276" s="358">
        <f>ROWS($G$4:G276)</f>
        <v>273</v>
      </c>
      <c r="I276" s="358" t="str">
        <f>IF('School Level Expenditures'!$B$2=A276,'School Tables'!H276,"")</f>
        <v/>
      </c>
      <c r="J276" s="358" t="str">
        <f>IFERROR(SMALL($I$4:$I$325,ROWS($I$4:I276)),"")</f>
        <v/>
      </c>
      <c r="K276" s="332" t="b">
        <f t="shared" si="9"/>
        <v>0</v>
      </c>
    </row>
    <row r="277" spans="1:11" ht="38.25" x14ac:dyDescent="0.2">
      <c r="A277" s="356">
        <v>131</v>
      </c>
      <c r="B277" s="356" t="s">
        <v>1000</v>
      </c>
      <c r="C277" s="356" t="s">
        <v>1006</v>
      </c>
      <c r="D277" s="356">
        <v>20405</v>
      </c>
      <c r="E277" s="356" t="s">
        <v>61</v>
      </c>
      <c r="F277" s="356">
        <v>10</v>
      </c>
      <c r="G277" s="356" t="s">
        <v>1699</v>
      </c>
      <c r="H277" s="358">
        <f>ROWS($G$4:G277)</f>
        <v>274</v>
      </c>
      <c r="I277" s="358" t="str">
        <f>IF('School Level Expenditures'!$B$2=A277,'School Tables'!H277,"")</f>
        <v/>
      </c>
      <c r="J277" s="358" t="str">
        <f>IFERROR(SMALL($I$4:$I$325,ROWS($I$4:I277)),"")</f>
        <v/>
      </c>
      <c r="K277" s="332" t="b">
        <f t="shared" si="9"/>
        <v>0</v>
      </c>
    </row>
    <row r="278" spans="1:11" ht="38.25" x14ac:dyDescent="0.2">
      <c r="A278" s="356">
        <v>582</v>
      </c>
      <c r="B278" s="356" t="s">
        <v>1485</v>
      </c>
      <c r="C278" s="356" t="s">
        <v>1490</v>
      </c>
      <c r="D278" s="356">
        <v>27070</v>
      </c>
      <c r="E278" s="356" t="s">
        <v>61</v>
      </c>
      <c r="F278" s="356">
        <v>59</v>
      </c>
      <c r="G278" s="356" t="s">
        <v>1760</v>
      </c>
      <c r="H278" s="358">
        <f>ROWS($G$4:G278)</f>
        <v>275</v>
      </c>
      <c r="I278" s="358" t="str">
        <f>IF('School Level Expenditures'!$B$2=A278,'School Tables'!H278,"")</f>
        <v/>
      </c>
      <c r="J278" s="358" t="str">
        <f>IFERROR(SMALL($I$4:$I$325,ROWS($I$4:I278)),"")</f>
        <v/>
      </c>
      <c r="K278" s="332" t="b">
        <f t="shared" si="9"/>
        <v>0</v>
      </c>
    </row>
    <row r="279" spans="1:11" ht="25.5" x14ac:dyDescent="0.2">
      <c r="A279" s="356">
        <v>499</v>
      </c>
      <c r="B279" s="356" t="s">
        <v>1424</v>
      </c>
      <c r="C279" s="356" t="s">
        <v>1425</v>
      </c>
      <c r="D279" s="356">
        <v>22910</v>
      </c>
      <c r="E279" s="356" t="s">
        <v>61</v>
      </c>
      <c r="F279" s="356">
        <v>58</v>
      </c>
      <c r="G279" s="356" t="s">
        <v>1720</v>
      </c>
      <c r="H279" s="358">
        <f>ROWS($G$4:G279)</f>
        <v>276</v>
      </c>
      <c r="I279" s="358" t="str">
        <f>IF('School Level Expenditures'!$B$2=A279,'School Tables'!H279,"")</f>
        <v/>
      </c>
      <c r="J279" s="358" t="str">
        <f>IFERROR(SMALL($I$4:$I$325,ROWS($I$4:I279)),"")</f>
        <v/>
      </c>
      <c r="K279" s="332" t="b">
        <f t="shared" si="9"/>
        <v>0</v>
      </c>
    </row>
    <row r="280" spans="1:11" ht="25.5" x14ac:dyDescent="0.2">
      <c r="A280" s="356">
        <v>501</v>
      </c>
      <c r="B280" s="356" t="s">
        <v>1426</v>
      </c>
      <c r="C280" s="356" t="s">
        <v>1427</v>
      </c>
      <c r="D280" s="356">
        <v>27560</v>
      </c>
      <c r="E280" s="356" t="s">
        <v>61</v>
      </c>
      <c r="F280" s="356">
        <v>7</v>
      </c>
      <c r="G280" s="356" t="s">
        <v>1693</v>
      </c>
      <c r="H280" s="358">
        <f>ROWS($G$4:G280)</f>
        <v>277</v>
      </c>
      <c r="I280" s="358" t="str">
        <f>IF('School Level Expenditures'!$B$2=A280,'School Tables'!H280,"")</f>
        <v/>
      </c>
      <c r="J280" s="358" t="str">
        <f>IFERROR(SMALL($I$4:$I$325,ROWS($I$4:I280)),"")</f>
        <v/>
      </c>
      <c r="K280" s="332" t="b">
        <f t="shared" si="9"/>
        <v>0</v>
      </c>
    </row>
    <row r="281" spans="1:11" ht="25.5" x14ac:dyDescent="0.2">
      <c r="A281" s="356">
        <v>507</v>
      </c>
      <c r="B281" s="356" t="s">
        <v>1430</v>
      </c>
      <c r="C281" s="356" t="s">
        <v>1431</v>
      </c>
      <c r="D281" s="356">
        <v>22100</v>
      </c>
      <c r="E281" s="356" t="s">
        <v>61</v>
      </c>
      <c r="F281" s="356">
        <v>105</v>
      </c>
      <c r="G281" s="356" t="s">
        <v>1761</v>
      </c>
      <c r="H281" s="358">
        <f>ROWS($G$4:G281)</f>
        <v>278</v>
      </c>
      <c r="I281" s="358" t="str">
        <f>IF('School Level Expenditures'!$B$2=A281,'School Tables'!H281,"")</f>
        <v/>
      </c>
      <c r="J281" s="358" t="str">
        <f>IFERROR(SMALL($I$4:$I$325,ROWS($I$4:I281)),"")</f>
        <v/>
      </c>
      <c r="K281" s="332" t="b">
        <f t="shared" si="9"/>
        <v>0</v>
      </c>
    </row>
    <row r="282" spans="1:11" ht="25.5" x14ac:dyDescent="0.2">
      <c r="A282" s="356">
        <v>509</v>
      </c>
      <c r="B282" s="356" t="s">
        <v>1432</v>
      </c>
      <c r="C282" s="356" t="s">
        <v>1433</v>
      </c>
      <c r="D282" s="356">
        <v>22915</v>
      </c>
      <c r="E282" s="356" t="s">
        <v>61</v>
      </c>
      <c r="F282" s="356">
        <v>58</v>
      </c>
      <c r="G282" s="356" t="s">
        <v>1720</v>
      </c>
      <c r="H282" s="358">
        <f>ROWS($G$4:G282)</f>
        <v>279</v>
      </c>
      <c r="I282" s="358" t="str">
        <f>IF('School Level Expenditures'!$B$2=A282,'School Tables'!H282,"")</f>
        <v/>
      </c>
      <c r="J282" s="358" t="str">
        <f>IFERROR(SMALL($I$4:$I$325,ROWS($I$4:I282)),"")</f>
        <v/>
      </c>
      <c r="K282" s="332" t="b">
        <f t="shared" si="9"/>
        <v>0</v>
      </c>
    </row>
    <row r="283" spans="1:11" ht="25.5" x14ac:dyDescent="0.2">
      <c r="A283" s="356">
        <v>511</v>
      </c>
      <c r="B283" s="356" t="s">
        <v>1434</v>
      </c>
      <c r="C283" s="356" t="s">
        <v>1435</v>
      </c>
      <c r="D283" s="356">
        <v>20615</v>
      </c>
      <c r="E283" s="356" t="s">
        <v>61</v>
      </c>
      <c r="F283" s="356">
        <v>16</v>
      </c>
      <c r="G283" s="356" t="s">
        <v>1702</v>
      </c>
      <c r="H283" s="358">
        <f>ROWS($G$4:G283)</f>
        <v>280</v>
      </c>
      <c r="I283" s="358" t="str">
        <f>IF('School Level Expenditures'!$B$2=A283,'School Tables'!H283,"")</f>
        <v/>
      </c>
      <c r="J283" s="358" t="str">
        <f>IFERROR(SMALL($I$4:$I$325,ROWS($I$4:I283)),"")</f>
        <v/>
      </c>
      <c r="K283" s="332" t="b">
        <f t="shared" si="9"/>
        <v>0</v>
      </c>
    </row>
    <row r="284" spans="1:11" ht="51" x14ac:dyDescent="0.2">
      <c r="A284" s="356">
        <v>721</v>
      </c>
      <c r="B284" s="356" t="s">
        <v>1508</v>
      </c>
      <c r="C284" s="356" t="s">
        <v>1508</v>
      </c>
      <c r="D284" s="356">
        <v>28570</v>
      </c>
      <c r="E284" s="356" t="s">
        <v>61</v>
      </c>
      <c r="F284" s="356">
        <v>409</v>
      </c>
      <c r="G284" s="356" t="s">
        <v>1508</v>
      </c>
      <c r="H284" s="358">
        <f>ROWS($G$4:G284)</f>
        <v>281</v>
      </c>
      <c r="I284" s="358" t="str">
        <f>IF('School Level Expenditures'!$B$2=A284,'School Tables'!H284,"")</f>
        <v/>
      </c>
      <c r="J284" s="358" t="str">
        <f>IFERROR(SMALL($I$4:$I$325,ROWS($I$4:I284)),"")</f>
        <v/>
      </c>
      <c r="K284" s="332" t="b">
        <f t="shared" si="9"/>
        <v>0</v>
      </c>
    </row>
    <row r="285" spans="1:11" ht="25.5" x14ac:dyDescent="0.2">
      <c r="A285" s="356">
        <v>515</v>
      </c>
      <c r="B285" s="356" t="s">
        <v>1436</v>
      </c>
      <c r="C285" s="356" t="s">
        <v>1438</v>
      </c>
      <c r="D285" s="356">
        <v>22005</v>
      </c>
      <c r="E285" s="356" t="s">
        <v>61</v>
      </c>
      <c r="F285" s="356">
        <v>85</v>
      </c>
      <c r="G285" s="356" t="s">
        <v>1762</v>
      </c>
      <c r="H285" s="358">
        <f>ROWS($G$4:G285)</f>
        <v>282</v>
      </c>
      <c r="I285" s="358" t="str">
        <f>IF('School Level Expenditures'!$B$2=A285,'School Tables'!H285,"")</f>
        <v/>
      </c>
      <c r="J285" s="358" t="str">
        <f>IFERROR(SMALL($I$4:$I$325,ROWS($I$4:I285)),"")</f>
        <v/>
      </c>
      <c r="K285" s="332" t="b">
        <f t="shared" si="9"/>
        <v>0</v>
      </c>
    </row>
    <row r="286" spans="1:11" ht="25.5" x14ac:dyDescent="0.2">
      <c r="A286" s="356">
        <v>371</v>
      </c>
      <c r="B286" s="356" t="s">
        <v>1283</v>
      </c>
      <c r="C286" s="356" t="s">
        <v>1288</v>
      </c>
      <c r="D286" s="356">
        <v>21850</v>
      </c>
      <c r="E286" s="356" t="s">
        <v>61</v>
      </c>
      <c r="F286" s="356">
        <v>42</v>
      </c>
      <c r="G286" s="356" t="s">
        <v>1666</v>
      </c>
      <c r="H286" s="358">
        <f>ROWS($G$4:G286)</f>
        <v>283</v>
      </c>
      <c r="I286" s="358" t="str">
        <f>IF('School Level Expenditures'!$B$2=A286,'School Tables'!H286,"")</f>
        <v/>
      </c>
      <c r="J286" s="358" t="str">
        <f>IFERROR(SMALL($I$4:$I$325,ROWS($I$4:I286)),"")</f>
        <v/>
      </c>
      <c r="K286" s="332" t="b">
        <f t="shared" si="9"/>
        <v>0</v>
      </c>
    </row>
    <row r="287" spans="1:11" ht="38.25" x14ac:dyDescent="0.2">
      <c r="A287" s="356">
        <v>717</v>
      </c>
      <c r="B287" s="356" t="s">
        <v>1506</v>
      </c>
      <c r="C287" s="356" t="s">
        <v>1506</v>
      </c>
      <c r="D287" s="356">
        <v>28515</v>
      </c>
      <c r="E287" s="356" t="s">
        <v>61</v>
      </c>
      <c r="F287" s="356">
        <v>407</v>
      </c>
      <c r="G287" s="356" t="s">
        <v>1506</v>
      </c>
      <c r="H287" s="358">
        <f>ROWS($G$4:G287)</f>
        <v>284</v>
      </c>
      <c r="I287" s="358" t="str">
        <f>IF('School Level Expenditures'!$B$2=A287,'School Tables'!H287,"")</f>
        <v/>
      </c>
      <c r="J287" s="358" t="str">
        <f>IFERROR(SMALL($I$4:$I$325,ROWS($I$4:I287)),"")</f>
        <v/>
      </c>
      <c r="K287" s="332" t="b">
        <f t="shared" si="9"/>
        <v>0</v>
      </c>
    </row>
    <row r="288" spans="1:11" ht="38.25" x14ac:dyDescent="0.2">
      <c r="A288" s="356">
        <v>276</v>
      </c>
      <c r="B288" s="356" t="s">
        <v>1150</v>
      </c>
      <c r="C288" s="356" t="s">
        <v>1151</v>
      </c>
      <c r="D288" s="356">
        <v>22010</v>
      </c>
      <c r="E288" s="356" t="s">
        <v>61</v>
      </c>
      <c r="F288" s="356">
        <v>65</v>
      </c>
      <c r="G288" s="356" t="s">
        <v>1731</v>
      </c>
      <c r="H288" s="358">
        <f>ROWS($G$4:G288)</f>
        <v>285</v>
      </c>
      <c r="I288" s="358" t="str">
        <f>IF('School Level Expenditures'!$B$2=A288,'School Tables'!H288,"")</f>
        <v/>
      </c>
      <c r="J288" s="358" t="str">
        <f>IFERROR(SMALL($I$4:$I$325,ROWS($I$4:I288)),"")</f>
        <v/>
      </c>
      <c r="K288" s="332" t="b">
        <f t="shared" si="9"/>
        <v>0</v>
      </c>
    </row>
    <row r="289" spans="1:11" ht="25.5" x14ac:dyDescent="0.2">
      <c r="A289" s="356">
        <v>63</v>
      </c>
      <c r="B289" s="356" t="s">
        <v>949</v>
      </c>
      <c r="C289" s="356" t="s">
        <v>1535</v>
      </c>
      <c r="D289" s="356">
        <v>20555</v>
      </c>
      <c r="E289" s="356" t="s">
        <v>61</v>
      </c>
      <c r="F289" s="356">
        <v>16</v>
      </c>
      <c r="G289" s="356" t="s">
        <v>1702</v>
      </c>
      <c r="H289" s="358">
        <f>ROWS($G$4:G289)</f>
        <v>286</v>
      </c>
      <c r="I289" s="358" t="str">
        <f>IF('School Level Expenditures'!$B$2=A289,'School Tables'!H289,"")</f>
        <v/>
      </c>
      <c r="J289" s="358" t="str">
        <f>IFERROR(SMALL($I$4:$I$325,ROWS($I$4:I289)),"")</f>
        <v/>
      </c>
      <c r="K289" s="332" t="b">
        <f t="shared" si="9"/>
        <v>0</v>
      </c>
    </row>
    <row r="290" spans="1:11" ht="25.5" x14ac:dyDescent="0.2">
      <c r="A290" s="356">
        <v>279</v>
      </c>
      <c r="B290" s="356" t="s">
        <v>1157</v>
      </c>
      <c r="C290" s="356" t="s">
        <v>1159</v>
      </c>
      <c r="D290" s="356">
        <v>21170</v>
      </c>
      <c r="E290" s="356" t="s">
        <v>61</v>
      </c>
      <c r="F290" s="356">
        <v>29</v>
      </c>
      <c r="G290" s="356" t="s">
        <v>1691</v>
      </c>
      <c r="H290" s="358">
        <f>ROWS($G$4:G290)</f>
        <v>287</v>
      </c>
      <c r="I290" s="358" t="str">
        <f>IF('School Level Expenditures'!$B$2=A290,'School Tables'!H290,"")</f>
        <v/>
      </c>
      <c r="J290" s="358" t="str">
        <f>IFERROR(SMALL($I$4:$I$325,ROWS($I$4:I290)),"")</f>
        <v/>
      </c>
      <c r="K290" s="332" t="b">
        <f t="shared" si="9"/>
        <v>0</v>
      </c>
    </row>
    <row r="291" spans="1:11" ht="38.25" x14ac:dyDescent="0.2">
      <c r="A291" s="356">
        <v>112</v>
      </c>
      <c r="B291" s="356" t="s">
        <v>977</v>
      </c>
      <c r="C291" s="356" t="s">
        <v>988</v>
      </c>
      <c r="D291" s="356">
        <v>22330</v>
      </c>
      <c r="E291" s="356" t="s">
        <v>61</v>
      </c>
      <c r="F291" s="356">
        <v>1</v>
      </c>
      <c r="G291" s="356" t="s">
        <v>1668</v>
      </c>
      <c r="H291" s="358">
        <f>ROWS($G$4:G291)</f>
        <v>288</v>
      </c>
      <c r="I291" s="358" t="str">
        <f>IF('School Level Expenditures'!$B$2=A291,'School Tables'!H291,"")</f>
        <v/>
      </c>
      <c r="J291" s="358" t="str">
        <f>IFERROR(SMALL($I$4:$I$325,ROWS($I$4:I291)),"")</f>
        <v/>
      </c>
      <c r="K291" s="332" t="b">
        <f t="shared" si="9"/>
        <v>0</v>
      </c>
    </row>
    <row r="292" spans="1:11" ht="63.75" x14ac:dyDescent="0.2">
      <c r="A292" s="356">
        <v>731</v>
      </c>
      <c r="B292" s="356" t="s">
        <v>1517</v>
      </c>
      <c r="C292" s="356" t="s">
        <v>1518</v>
      </c>
      <c r="D292" s="356">
        <v>29055</v>
      </c>
      <c r="E292" s="356" t="s">
        <v>61</v>
      </c>
      <c r="F292" s="356">
        <v>417</v>
      </c>
      <c r="G292" s="356" t="s">
        <v>1517</v>
      </c>
      <c r="H292" s="358">
        <f>ROWS($G$4:G292)</f>
        <v>289</v>
      </c>
      <c r="I292" s="358" t="str">
        <f>IF('School Level Expenditures'!$B$2=A292,'School Tables'!H292,"")</f>
        <v/>
      </c>
      <c r="J292" s="358" t="str">
        <f>IFERROR(SMALL($I$4:$I$325,ROWS($I$4:I292)),"")</f>
        <v/>
      </c>
      <c r="K292" s="332" t="b">
        <f t="shared" si="9"/>
        <v>0</v>
      </c>
    </row>
    <row r="293" spans="1:11" ht="51" x14ac:dyDescent="0.2">
      <c r="A293" s="356">
        <v>741</v>
      </c>
      <c r="B293" s="356" t="s">
        <v>1524</v>
      </c>
      <c r="C293" s="356" t="s">
        <v>1526</v>
      </c>
      <c r="D293" s="356">
        <v>29150</v>
      </c>
      <c r="E293" s="356" t="s">
        <v>61</v>
      </c>
      <c r="F293" s="356">
        <v>423</v>
      </c>
      <c r="G293" s="356" t="s">
        <v>1524</v>
      </c>
      <c r="H293" s="358">
        <f>ROWS($G$4:G293)</f>
        <v>290</v>
      </c>
      <c r="I293" s="358" t="str">
        <f>IF('School Level Expenditures'!$B$2=A293,'School Tables'!H293,"")</f>
        <v/>
      </c>
      <c r="J293" s="358" t="str">
        <f>IFERROR(SMALL($I$4:$I$325,ROWS($I$4:I293)),"")</f>
        <v/>
      </c>
      <c r="K293" s="332" t="b">
        <f t="shared" si="9"/>
        <v>0</v>
      </c>
    </row>
    <row r="294" spans="1:11" ht="25.5" x14ac:dyDescent="0.2">
      <c r="A294" s="356">
        <v>531</v>
      </c>
      <c r="B294" s="356" t="s">
        <v>1441</v>
      </c>
      <c r="C294" s="356" t="s">
        <v>1442</v>
      </c>
      <c r="D294" s="356">
        <v>22380</v>
      </c>
      <c r="E294" s="356" t="s">
        <v>61</v>
      </c>
      <c r="F294" s="356">
        <v>48</v>
      </c>
      <c r="G294" s="356" t="s">
        <v>1684</v>
      </c>
      <c r="H294" s="358">
        <f>ROWS($G$4:G294)</f>
        <v>291</v>
      </c>
      <c r="I294" s="358" t="str">
        <f>IF('School Level Expenditures'!$B$2=A294,'School Tables'!H294,"")</f>
        <v/>
      </c>
      <c r="J294" s="358" t="str">
        <f>IFERROR(SMALL($I$4:$I$325,ROWS($I$4:I294)),"")</f>
        <v/>
      </c>
      <c r="K294" s="332" t="b">
        <f t="shared" si="9"/>
        <v>0</v>
      </c>
    </row>
    <row r="295" spans="1:11" ht="25.5" x14ac:dyDescent="0.2">
      <c r="A295" s="356">
        <v>351</v>
      </c>
      <c r="B295" s="356" t="s">
        <v>1243</v>
      </c>
      <c r="C295" s="356" t="s">
        <v>1248</v>
      </c>
      <c r="D295" s="356">
        <v>21035</v>
      </c>
      <c r="E295" s="356" t="s">
        <v>61</v>
      </c>
      <c r="F295" s="356">
        <v>26</v>
      </c>
      <c r="G295" s="356" t="s">
        <v>1732</v>
      </c>
      <c r="H295" s="358">
        <f>ROWS($G$4:G295)</f>
        <v>292</v>
      </c>
      <c r="I295" s="358" t="str">
        <f>IF('School Level Expenditures'!$B$2=A295,'School Tables'!H295,"")</f>
        <v/>
      </c>
      <c r="J295" s="358" t="str">
        <f>IFERROR(SMALL($I$4:$I$325,ROWS($I$4:I295)),"")</f>
        <v/>
      </c>
      <c r="K295" s="332" t="b">
        <f t="shared" si="9"/>
        <v>0</v>
      </c>
    </row>
    <row r="296" spans="1:11" ht="25.5" x14ac:dyDescent="0.2">
      <c r="A296" s="356">
        <v>427</v>
      </c>
      <c r="B296" s="356" t="s">
        <v>1344</v>
      </c>
      <c r="C296" s="356" t="s">
        <v>1347</v>
      </c>
      <c r="D296" s="356">
        <v>26925</v>
      </c>
      <c r="E296" s="356" t="s">
        <v>61</v>
      </c>
      <c r="F296" s="356">
        <v>53</v>
      </c>
      <c r="G296" s="356" t="s">
        <v>1664</v>
      </c>
      <c r="H296" s="358">
        <f>ROWS($G$4:G296)</f>
        <v>293</v>
      </c>
      <c r="I296" s="358" t="str">
        <f>IF('School Level Expenditures'!$B$2=A296,'School Tables'!H296,"")</f>
        <v/>
      </c>
      <c r="J296" s="358" t="str">
        <f>IFERROR(SMALL($I$4:$I$325,ROWS($I$4:I296)),"")</f>
        <v/>
      </c>
      <c r="K296" s="332" t="b">
        <f t="shared" si="9"/>
        <v>0</v>
      </c>
    </row>
    <row r="297" spans="1:11" ht="38.25" x14ac:dyDescent="0.2">
      <c r="A297" s="356">
        <v>363</v>
      </c>
      <c r="B297" s="356" t="s">
        <v>1271</v>
      </c>
      <c r="C297" s="356" t="s">
        <v>1274</v>
      </c>
      <c r="D297" s="356">
        <v>21725</v>
      </c>
      <c r="E297" s="356" t="s">
        <v>61</v>
      </c>
      <c r="F297" s="356">
        <v>93</v>
      </c>
      <c r="G297" s="356" t="s">
        <v>1697</v>
      </c>
      <c r="H297" s="358">
        <f>ROWS($G$4:G297)</f>
        <v>294</v>
      </c>
      <c r="I297" s="358" t="str">
        <f>IF('School Level Expenditures'!$B$2=A297,'School Tables'!H297,"")</f>
        <v/>
      </c>
      <c r="J297" s="358" t="str">
        <f>IFERROR(SMALL($I$4:$I$325,ROWS($I$4:I297)),"")</f>
        <v/>
      </c>
      <c r="K297" s="332" t="b">
        <f t="shared" si="9"/>
        <v>0</v>
      </c>
    </row>
    <row r="298" spans="1:11" ht="51" x14ac:dyDescent="0.2">
      <c r="A298" s="356">
        <v>208</v>
      </c>
      <c r="B298" s="356" t="s">
        <v>1072</v>
      </c>
      <c r="C298" s="356" t="s">
        <v>1076</v>
      </c>
      <c r="D298" s="356">
        <v>22410</v>
      </c>
      <c r="E298" s="356" t="s">
        <v>61</v>
      </c>
      <c r="F298" s="356">
        <v>49</v>
      </c>
      <c r="G298" s="356" t="s">
        <v>1687</v>
      </c>
      <c r="H298" s="358">
        <f>ROWS($G$4:G298)</f>
        <v>295</v>
      </c>
      <c r="I298" s="358" t="str">
        <f>IF('School Level Expenditures'!$B$2=A298,'School Tables'!H298,"")</f>
        <v/>
      </c>
      <c r="J298" s="358" t="str">
        <f>IFERROR(SMALL($I$4:$I$325,ROWS($I$4:I298)),"")</f>
        <v/>
      </c>
      <c r="K298" s="332" t="b">
        <f t="shared" si="9"/>
        <v>0</v>
      </c>
    </row>
    <row r="299" spans="1:11" ht="38.25" x14ac:dyDescent="0.2">
      <c r="A299" s="356">
        <v>582</v>
      </c>
      <c r="B299" s="356" t="s">
        <v>1485</v>
      </c>
      <c r="C299" s="356" t="s">
        <v>1487</v>
      </c>
      <c r="D299" s="356">
        <v>22945</v>
      </c>
      <c r="E299" s="356" t="s">
        <v>61</v>
      </c>
      <c r="F299" s="356">
        <v>59</v>
      </c>
      <c r="G299" s="356" t="s">
        <v>1760</v>
      </c>
      <c r="H299" s="358">
        <f>ROWS($G$4:G299)</f>
        <v>296</v>
      </c>
      <c r="I299" s="358" t="str">
        <f>IF('School Level Expenditures'!$B$2=A299,'School Tables'!H299,"")</f>
        <v/>
      </c>
      <c r="J299" s="358" t="str">
        <f>IFERROR(SMALL($I$4:$I$325,ROWS($I$4:I299)),"")</f>
        <v/>
      </c>
      <c r="K299" s="332" t="b">
        <f t="shared" si="9"/>
        <v>0</v>
      </c>
    </row>
    <row r="300" spans="1:11" ht="25.5" x14ac:dyDescent="0.2">
      <c r="A300" s="356">
        <v>539</v>
      </c>
      <c r="B300" s="356" t="s">
        <v>1451</v>
      </c>
      <c r="C300" s="356" t="s">
        <v>1452</v>
      </c>
      <c r="D300" s="356">
        <v>20180</v>
      </c>
      <c r="E300" s="356" t="s">
        <v>61</v>
      </c>
      <c r="F300" s="356">
        <v>6</v>
      </c>
      <c r="G300" s="356" t="s">
        <v>1681</v>
      </c>
      <c r="H300" s="358">
        <f>ROWS($G$4:G300)</f>
        <v>297</v>
      </c>
      <c r="I300" s="358" t="str">
        <f>IF('School Level Expenditures'!$B$2=A300,'School Tables'!H300,"")</f>
        <v/>
      </c>
      <c r="J300" s="358" t="str">
        <f>IFERROR(SMALL($I$4:$I$325,ROWS($I$4:I300)),"")</f>
        <v/>
      </c>
      <c r="K300" s="332" t="b">
        <f t="shared" si="9"/>
        <v>0</v>
      </c>
    </row>
    <row r="301" spans="1:11" ht="25.5" x14ac:dyDescent="0.2">
      <c r="A301" s="356">
        <v>175</v>
      </c>
      <c r="B301" s="356" t="s">
        <v>1045</v>
      </c>
      <c r="C301" s="356" t="s">
        <v>1046</v>
      </c>
      <c r="D301" s="356">
        <v>27980</v>
      </c>
      <c r="E301" s="356" t="s">
        <v>61</v>
      </c>
      <c r="F301" s="356">
        <v>61</v>
      </c>
      <c r="G301" s="356" t="s">
        <v>1724</v>
      </c>
      <c r="H301" s="358">
        <f>ROWS($G$4:G301)</f>
        <v>298</v>
      </c>
      <c r="I301" s="358" t="str">
        <f>IF('School Level Expenditures'!$B$2=A301,'School Tables'!H301,"")</f>
        <v/>
      </c>
      <c r="J301" s="358" t="str">
        <f>IFERROR(SMALL($I$4:$I$325,ROWS($I$4:I301)),"")</f>
        <v/>
      </c>
      <c r="K301" s="332" t="b">
        <f t="shared" si="9"/>
        <v>0</v>
      </c>
    </row>
    <row r="302" spans="1:11" ht="38.25" x14ac:dyDescent="0.2">
      <c r="A302" s="356">
        <v>174</v>
      </c>
      <c r="B302" s="356" t="s">
        <v>1033</v>
      </c>
      <c r="C302" s="356" t="s">
        <v>1036</v>
      </c>
      <c r="D302" s="356">
        <v>22970</v>
      </c>
      <c r="E302" s="356" t="s">
        <v>61</v>
      </c>
      <c r="F302" s="356">
        <v>60</v>
      </c>
      <c r="G302" s="356" t="s">
        <v>1662</v>
      </c>
      <c r="H302" s="358">
        <f>ROWS($G$4:G302)</f>
        <v>299</v>
      </c>
      <c r="I302" s="358" t="str">
        <f>IF('School Level Expenditures'!$B$2=A302,'School Tables'!H302,"")</f>
        <v/>
      </c>
      <c r="J302" s="358" t="str">
        <f>IFERROR(SMALL($I$4:$I$325,ROWS($I$4:I302)),"")</f>
        <v/>
      </c>
      <c r="K302" s="332" t="b">
        <f t="shared" si="9"/>
        <v>0</v>
      </c>
    </row>
    <row r="303" spans="1:11" ht="63.75" x14ac:dyDescent="0.2">
      <c r="A303" s="356">
        <v>727</v>
      </c>
      <c r="B303" s="356" t="s">
        <v>1513</v>
      </c>
      <c r="C303" s="356" t="s">
        <v>1514</v>
      </c>
      <c r="D303" s="356">
        <v>28650</v>
      </c>
      <c r="E303" s="356" t="s">
        <v>61</v>
      </c>
      <c r="F303" s="356">
        <v>412</v>
      </c>
      <c r="G303" s="356" t="s">
        <v>1513</v>
      </c>
      <c r="H303" s="358">
        <f>ROWS($G$4:G303)</f>
        <v>300</v>
      </c>
      <c r="I303" s="358" t="str">
        <f>IF('School Level Expenditures'!$B$2=A303,'School Tables'!H303,"")</f>
        <v/>
      </c>
      <c r="J303" s="358" t="str">
        <f>IFERROR(SMALL($I$4:$I$325,ROWS($I$4:I303)),"")</f>
        <v/>
      </c>
      <c r="K303" s="332" t="b">
        <f t="shared" si="9"/>
        <v>0</v>
      </c>
    </row>
    <row r="304" spans="1:11" ht="38.25" x14ac:dyDescent="0.2">
      <c r="A304" s="356">
        <v>174</v>
      </c>
      <c r="B304" s="356" t="s">
        <v>1033</v>
      </c>
      <c r="C304" s="356" t="s">
        <v>1044</v>
      </c>
      <c r="D304" s="356">
        <v>23015</v>
      </c>
      <c r="E304" s="356" t="s">
        <v>61</v>
      </c>
      <c r="F304" s="356">
        <v>60</v>
      </c>
      <c r="G304" s="356" t="s">
        <v>1662</v>
      </c>
      <c r="H304" s="358">
        <f>ROWS($G$4:G304)</f>
        <v>301</v>
      </c>
      <c r="I304" s="358" t="str">
        <f>IF('School Level Expenditures'!$B$2=A304,'School Tables'!H304,"")</f>
        <v/>
      </c>
      <c r="J304" s="358" t="str">
        <f>IFERROR(SMALL($I$4:$I$325,ROWS($I$4:I304)),"")</f>
        <v/>
      </c>
      <c r="K304" s="332" t="b">
        <f t="shared" si="9"/>
        <v>0</v>
      </c>
    </row>
    <row r="305" spans="1:11" ht="38.25" x14ac:dyDescent="0.2">
      <c r="A305" s="356">
        <v>174</v>
      </c>
      <c r="B305" s="356" t="s">
        <v>1033</v>
      </c>
      <c r="C305" s="356" t="s">
        <v>1043</v>
      </c>
      <c r="D305" s="356">
        <v>23010</v>
      </c>
      <c r="E305" s="356" t="s">
        <v>61</v>
      </c>
      <c r="F305" s="356">
        <v>60</v>
      </c>
      <c r="G305" s="356" t="s">
        <v>1662</v>
      </c>
      <c r="H305" s="358">
        <f>ROWS($G$4:G305)</f>
        <v>302</v>
      </c>
      <c r="I305" s="358" t="str">
        <f>IF('School Level Expenditures'!$B$2=A305,'School Tables'!H305,"")</f>
        <v/>
      </c>
      <c r="J305" s="358" t="str">
        <f>IFERROR(SMALL($I$4:$I$325,ROWS($I$4:I305)),"")</f>
        <v/>
      </c>
      <c r="K305" s="332" t="b">
        <f t="shared" si="9"/>
        <v>0</v>
      </c>
    </row>
    <row r="306" spans="1:11" ht="38.25" x14ac:dyDescent="0.2">
      <c r="A306" s="356">
        <v>549</v>
      </c>
      <c r="B306" s="356" t="s">
        <v>1455</v>
      </c>
      <c r="C306" s="356" t="s">
        <v>1456</v>
      </c>
      <c r="D306" s="356">
        <v>20900</v>
      </c>
      <c r="E306" s="356" t="s">
        <v>61</v>
      </c>
      <c r="F306" s="356">
        <v>23</v>
      </c>
      <c r="G306" s="356" t="s">
        <v>1676</v>
      </c>
      <c r="H306" s="358">
        <f>ROWS($G$4:G306)</f>
        <v>303</v>
      </c>
      <c r="I306" s="358" t="str">
        <f>IF('School Level Expenditures'!$B$2=A306,'School Tables'!H306,"")</f>
        <v/>
      </c>
      <c r="J306" s="358" t="str">
        <f>IFERROR(SMALL($I$4:$I$325,ROWS($I$4:I306)),"")</f>
        <v/>
      </c>
      <c r="K306" s="332" t="b">
        <f t="shared" si="9"/>
        <v>0</v>
      </c>
    </row>
    <row r="307" spans="1:11" ht="38.25" x14ac:dyDescent="0.2">
      <c r="A307" s="356">
        <v>551</v>
      </c>
      <c r="B307" s="356" t="s">
        <v>1457</v>
      </c>
      <c r="C307" s="356" t="s">
        <v>1458</v>
      </c>
      <c r="D307" s="356">
        <v>20985</v>
      </c>
      <c r="E307" s="356" t="s">
        <v>61</v>
      </c>
      <c r="F307" s="356">
        <v>34</v>
      </c>
      <c r="G307" s="356" t="s">
        <v>1727</v>
      </c>
      <c r="H307" s="358">
        <f>ROWS($G$4:G307)</f>
        <v>304</v>
      </c>
      <c r="I307" s="358" t="str">
        <f>IF('School Level Expenditures'!$B$2=A307,'School Tables'!H307,"")</f>
        <v/>
      </c>
      <c r="J307" s="358" t="str">
        <f>IFERROR(SMALL($I$4:$I$325,ROWS($I$4:I307)),"")</f>
        <v/>
      </c>
      <c r="K307" s="332" t="b">
        <f t="shared" si="9"/>
        <v>0</v>
      </c>
    </row>
    <row r="308" spans="1:11" ht="25.5" x14ac:dyDescent="0.2">
      <c r="A308" s="356">
        <v>553</v>
      </c>
      <c r="B308" s="356" t="s">
        <v>1459</v>
      </c>
      <c r="C308" s="356" t="s">
        <v>1460</v>
      </c>
      <c r="D308" s="356">
        <v>22385</v>
      </c>
      <c r="E308" s="356" t="s">
        <v>61</v>
      </c>
      <c r="F308" s="356">
        <v>48</v>
      </c>
      <c r="G308" s="356" t="s">
        <v>1684</v>
      </c>
      <c r="H308" s="358">
        <f>ROWS($G$4:G308)</f>
        <v>305</v>
      </c>
      <c r="I308" s="358" t="str">
        <f>IF('School Level Expenditures'!$B$2=A308,'School Tables'!H308,"")</f>
        <v/>
      </c>
      <c r="J308" s="358" t="str">
        <f>IFERROR(SMALL($I$4:$I$325,ROWS($I$4:I308)),"")</f>
        <v/>
      </c>
      <c r="K308" s="332" t="b">
        <f t="shared" si="9"/>
        <v>0</v>
      </c>
    </row>
    <row r="309" spans="1:11" ht="38.25" x14ac:dyDescent="0.2">
      <c r="A309" s="356">
        <v>352</v>
      </c>
      <c r="B309" s="356" t="s">
        <v>1250</v>
      </c>
      <c r="C309" s="356" t="s">
        <v>1257</v>
      </c>
      <c r="D309" s="356">
        <v>22205</v>
      </c>
      <c r="E309" s="356" t="s">
        <v>61</v>
      </c>
      <c r="F309" s="356">
        <v>46</v>
      </c>
      <c r="G309" s="356" t="s">
        <v>1667</v>
      </c>
      <c r="H309" s="358">
        <f>ROWS($G$4:G309)</f>
        <v>306</v>
      </c>
      <c r="I309" s="358" t="str">
        <f>IF('School Level Expenditures'!$B$2=A309,'School Tables'!H309,"")</f>
        <v/>
      </c>
      <c r="J309" s="358" t="str">
        <f>IFERROR(SMALL($I$4:$I$325,ROWS($I$4:I309)),"")</f>
        <v/>
      </c>
      <c r="K309" s="332" t="b">
        <f t="shared" si="9"/>
        <v>0</v>
      </c>
    </row>
    <row r="310" spans="1:11" ht="25.5" x14ac:dyDescent="0.2">
      <c r="A310" s="356">
        <v>335</v>
      </c>
      <c r="B310" s="356" t="s">
        <v>906</v>
      </c>
      <c r="C310" s="356" t="s">
        <v>1225</v>
      </c>
      <c r="D310" s="356">
        <v>21635</v>
      </c>
      <c r="E310" s="356" t="s">
        <v>61</v>
      </c>
      <c r="F310" s="356">
        <v>37</v>
      </c>
      <c r="G310" s="356" t="s">
        <v>1672</v>
      </c>
      <c r="H310" s="358">
        <f>ROWS($G$4:G310)</f>
        <v>307</v>
      </c>
      <c r="I310" s="358" t="str">
        <f>IF('School Level Expenditures'!$B$2=A310,'School Tables'!H310,"")</f>
        <v/>
      </c>
      <c r="J310" s="358" t="str">
        <f>IFERROR(SMALL($I$4:$I$325,ROWS($I$4:I310)),"")</f>
        <v/>
      </c>
      <c r="K310" s="332" t="b">
        <f t="shared" si="9"/>
        <v>0</v>
      </c>
    </row>
    <row r="311" spans="1:11" ht="25.5" x14ac:dyDescent="0.2">
      <c r="A311" s="356">
        <v>235</v>
      </c>
      <c r="B311" s="356" t="s">
        <v>1095</v>
      </c>
      <c r="C311" s="356" t="s">
        <v>1096</v>
      </c>
      <c r="D311" s="356">
        <v>21155</v>
      </c>
      <c r="E311" s="356" t="s">
        <v>61</v>
      </c>
      <c r="F311" s="356">
        <v>29</v>
      </c>
      <c r="G311" s="356" t="s">
        <v>1691</v>
      </c>
      <c r="H311" s="358">
        <f>ROWS($G$4:G311)</f>
        <v>308</v>
      </c>
      <c r="I311" s="358" t="str">
        <f>IF('School Level Expenditures'!$B$2=A311,'School Tables'!H311,"")</f>
        <v/>
      </c>
      <c r="J311" s="358" t="str">
        <f>IFERROR(SMALL($I$4:$I$325,ROWS($I$4:I311)),"")</f>
        <v/>
      </c>
      <c r="K311" s="332" t="b">
        <f t="shared" si="9"/>
        <v>0</v>
      </c>
    </row>
    <row r="312" spans="1:11" ht="25.5" x14ac:dyDescent="0.2">
      <c r="A312" s="356">
        <v>559</v>
      </c>
      <c r="B312" s="356" t="s">
        <v>1464</v>
      </c>
      <c r="C312" s="356" t="s">
        <v>1465</v>
      </c>
      <c r="D312" s="356">
        <v>22390</v>
      </c>
      <c r="E312" s="356" t="s">
        <v>61</v>
      </c>
      <c r="F312" s="356">
        <v>48</v>
      </c>
      <c r="G312" s="356" t="s">
        <v>1684</v>
      </c>
      <c r="H312" s="358">
        <f>ROWS($G$4:G312)</f>
        <v>309</v>
      </c>
      <c r="I312" s="358" t="str">
        <f>IF('School Level Expenditures'!$B$2=A312,'School Tables'!H312,"")</f>
        <v/>
      </c>
      <c r="J312" s="358" t="str">
        <f>IFERROR(SMALL($I$4:$I$325,ROWS($I$4:I312)),"")</f>
        <v/>
      </c>
      <c r="K312" s="332" t="b">
        <f t="shared" si="9"/>
        <v>0</v>
      </c>
    </row>
    <row r="313" spans="1:11" ht="25.5" x14ac:dyDescent="0.2">
      <c r="A313" s="356">
        <v>563</v>
      </c>
      <c r="B313" s="356" t="s">
        <v>1466</v>
      </c>
      <c r="C313" s="356" t="s">
        <v>1467</v>
      </c>
      <c r="D313" s="356">
        <v>21230</v>
      </c>
      <c r="E313" s="356" t="s">
        <v>61</v>
      </c>
      <c r="F313" s="356">
        <v>29</v>
      </c>
      <c r="G313" s="356" t="s">
        <v>1691</v>
      </c>
      <c r="H313" s="358">
        <f>ROWS($G$4:G313)</f>
        <v>310</v>
      </c>
      <c r="I313" s="358" t="str">
        <f>IF('School Level Expenditures'!$B$2=A313,'School Tables'!H313,"")</f>
        <v/>
      </c>
      <c r="J313" s="358" t="str">
        <f>IFERROR(SMALL($I$4:$I$325,ROWS($I$4:I313)),"")</f>
        <v/>
      </c>
      <c r="K313" s="332" t="b">
        <f t="shared" si="9"/>
        <v>0</v>
      </c>
    </row>
    <row r="314" spans="1:11" ht="25.5" x14ac:dyDescent="0.2">
      <c r="A314" s="356">
        <v>335</v>
      </c>
      <c r="B314" s="356" t="s">
        <v>906</v>
      </c>
      <c r="C314" s="356" t="s">
        <v>1605</v>
      </c>
      <c r="D314" s="356">
        <v>21515</v>
      </c>
      <c r="E314" s="356" t="s">
        <v>61</v>
      </c>
      <c r="F314" s="356">
        <v>37</v>
      </c>
      <c r="G314" s="356" t="s">
        <v>1672</v>
      </c>
      <c r="H314" s="358">
        <f>ROWS($G$4:G314)</f>
        <v>311</v>
      </c>
      <c r="I314" s="358" t="str">
        <f>IF('School Level Expenditures'!$B$2=A314,'School Tables'!H314,"")</f>
        <v/>
      </c>
      <c r="J314" s="358" t="str">
        <f>IFERROR(SMALL($I$4:$I$325,ROWS($I$4:I314)),"")</f>
        <v/>
      </c>
      <c r="K314" s="332" t="b">
        <f t="shared" si="9"/>
        <v>0</v>
      </c>
    </row>
    <row r="315" spans="1:11" ht="25.5" x14ac:dyDescent="0.2">
      <c r="A315" s="356">
        <v>279</v>
      </c>
      <c r="B315" s="356" t="s">
        <v>1157</v>
      </c>
      <c r="C315" s="356" t="s">
        <v>1163</v>
      </c>
      <c r="D315" s="356">
        <v>21200</v>
      </c>
      <c r="E315" s="356" t="s">
        <v>61</v>
      </c>
      <c r="F315" s="356">
        <v>29</v>
      </c>
      <c r="G315" s="356" t="s">
        <v>1691</v>
      </c>
      <c r="H315" s="358">
        <f>ROWS($G$4:G315)</f>
        <v>312</v>
      </c>
      <c r="I315" s="358" t="str">
        <f>IF('School Level Expenditures'!$B$2=A315,'School Tables'!H315,"")</f>
        <v/>
      </c>
      <c r="J315" s="358" t="str">
        <f>IFERROR(SMALL($I$4:$I$325,ROWS($I$4:I315)),"")</f>
        <v/>
      </c>
      <c r="K315" s="332" t="b">
        <f t="shared" si="9"/>
        <v>0</v>
      </c>
    </row>
    <row r="316" spans="1:11" ht="51" x14ac:dyDescent="0.2">
      <c r="A316" s="356">
        <v>568</v>
      </c>
      <c r="B316" s="356" t="s">
        <v>1468</v>
      </c>
      <c r="C316" s="356" t="s">
        <v>1469</v>
      </c>
      <c r="D316" s="356">
        <v>26930</v>
      </c>
      <c r="E316" s="356" t="s">
        <v>61</v>
      </c>
      <c r="F316" s="356">
        <v>36</v>
      </c>
      <c r="G316" s="356" t="s">
        <v>1735</v>
      </c>
      <c r="H316" s="358">
        <f>ROWS($G$4:G316)</f>
        <v>313</v>
      </c>
      <c r="I316" s="358" t="str">
        <f>IF('School Level Expenditures'!$B$2=A316,'School Tables'!H316,"")</f>
        <v/>
      </c>
      <c r="J316" s="358" t="str">
        <f>IFERROR(SMALL($I$4:$I$325,ROWS($I$4:I316)),"")</f>
        <v/>
      </c>
      <c r="K316" s="332" t="b">
        <f t="shared" si="9"/>
        <v>0</v>
      </c>
    </row>
    <row r="317" spans="1:11" ht="25.5" x14ac:dyDescent="0.2">
      <c r="A317" s="356">
        <v>461</v>
      </c>
      <c r="B317" s="356" t="s">
        <v>1376</v>
      </c>
      <c r="C317" s="356" t="s">
        <v>1381</v>
      </c>
      <c r="D317" s="356">
        <v>22690</v>
      </c>
      <c r="E317" s="356" t="s">
        <v>61</v>
      </c>
      <c r="F317" s="356">
        <v>54</v>
      </c>
      <c r="G317" s="356" t="s">
        <v>1689</v>
      </c>
      <c r="H317" s="358">
        <f>ROWS($G$4:G317)</f>
        <v>314</v>
      </c>
      <c r="I317" s="358" t="str">
        <f>IF('School Level Expenditures'!$B$2=A317,'School Tables'!H317,"")</f>
        <v/>
      </c>
      <c r="J317" s="358" t="str">
        <f>IFERROR(SMALL($I$4:$I$325,ROWS($I$4:I317)),"")</f>
        <v/>
      </c>
      <c r="K317" s="332" t="b">
        <f t="shared" si="9"/>
        <v>0</v>
      </c>
    </row>
    <row r="318" spans="1:11" ht="25.5" x14ac:dyDescent="0.2">
      <c r="A318" s="356">
        <v>473</v>
      </c>
      <c r="B318" s="356" t="s">
        <v>1395</v>
      </c>
      <c r="C318" s="356" t="s">
        <v>1397</v>
      </c>
      <c r="D318" s="356">
        <v>22860</v>
      </c>
      <c r="E318" s="356" t="s">
        <v>61</v>
      </c>
      <c r="F318" s="356">
        <v>57</v>
      </c>
      <c r="G318" s="356" t="s">
        <v>1701</v>
      </c>
      <c r="H318" s="358">
        <f>ROWS($G$4:G318)</f>
        <v>315</v>
      </c>
      <c r="I318" s="358" t="str">
        <f>IF('School Level Expenditures'!$B$2=A318,'School Tables'!H318,"")</f>
        <v/>
      </c>
      <c r="J318" s="358" t="str">
        <f>IFERROR(SMALL($I$4:$I$325,ROWS($I$4:I318)),"")</f>
        <v/>
      </c>
      <c r="K318" s="332" t="b">
        <f t="shared" si="9"/>
        <v>0</v>
      </c>
    </row>
    <row r="319" spans="1:11" ht="25.5" x14ac:dyDescent="0.2">
      <c r="A319" s="356">
        <v>473</v>
      </c>
      <c r="B319" s="356" t="s">
        <v>1395</v>
      </c>
      <c r="C319" s="356" t="s">
        <v>1398</v>
      </c>
      <c r="D319" s="356">
        <v>22865</v>
      </c>
      <c r="E319" s="356" t="s">
        <v>61</v>
      </c>
      <c r="F319" s="356">
        <v>57</v>
      </c>
      <c r="G319" s="356" t="s">
        <v>1701</v>
      </c>
      <c r="H319" s="358">
        <f>ROWS($G$4:G319)</f>
        <v>316</v>
      </c>
      <c r="I319" s="358" t="str">
        <f>IF('School Level Expenditures'!$B$2=A319,'School Tables'!H319,"")</f>
        <v/>
      </c>
      <c r="J319" s="358" t="str">
        <f>IFERROR(SMALL($I$4:$I$325,ROWS($I$4:I319)),"")</f>
        <v/>
      </c>
      <c r="K319" s="332" t="b">
        <f t="shared" si="9"/>
        <v>0</v>
      </c>
    </row>
    <row r="320" spans="1:11" ht="25.5" x14ac:dyDescent="0.2">
      <c r="A320" s="356">
        <v>573</v>
      </c>
      <c r="B320" s="356" t="s">
        <v>1477</v>
      </c>
      <c r="C320" s="356" t="s">
        <v>1539</v>
      </c>
      <c r="D320" s="356">
        <v>21735</v>
      </c>
      <c r="E320" s="356" t="s">
        <v>61</v>
      </c>
      <c r="F320" s="356">
        <v>94</v>
      </c>
      <c r="G320" s="356" t="s">
        <v>1763</v>
      </c>
      <c r="H320" s="358">
        <f>ROWS($G$4:G320)</f>
        <v>317</v>
      </c>
      <c r="I320" s="358" t="str">
        <f>IF('School Level Expenditures'!$B$2=A320,'School Tables'!H320,"")</f>
        <v/>
      </c>
      <c r="J320" s="358" t="str">
        <f>IFERROR(SMALL($I$4:$I$325,ROWS($I$4:I320)),"")</f>
        <v/>
      </c>
      <c r="K320" s="332" t="b">
        <f t="shared" si="9"/>
        <v>0</v>
      </c>
    </row>
    <row r="321" spans="1:11" ht="51" x14ac:dyDescent="0.2">
      <c r="A321" s="356">
        <v>712</v>
      </c>
      <c r="B321" s="356" t="s">
        <v>1505</v>
      </c>
      <c r="C321" s="356" t="s">
        <v>1505</v>
      </c>
      <c r="D321" s="356">
        <v>29193</v>
      </c>
      <c r="E321" s="356" t="s">
        <v>61</v>
      </c>
      <c r="F321" s="356">
        <v>434</v>
      </c>
      <c r="G321" s="356" t="s">
        <v>1505</v>
      </c>
      <c r="H321" s="358">
        <f>ROWS($G$4:G321)</f>
        <v>318</v>
      </c>
      <c r="I321" s="358" t="str">
        <f>IF('School Level Expenditures'!$B$2=A321,'School Tables'!H321,"")</f>
        <v/>
      </c>
      <c r="J321" s="358" t="str">
        <f>IFERROR(SMALL($I$4:$I$325,ROWS($I$4:I321)),"")</f>
        <v/>
      </c>
      <c r="K321" s="332" t="b">
        <f t="shared" si="9"/>
        <v>0</v>
      </c>
    </row>
    <row r="322" spans="1:11" ht="25.5" x14ac:dyDescent="0.2">
      <c r="A322" s="356">
        <v>575</v>
      </c>
      <c r="B322" s="356" t="s">
        <v>1478</v>
      </c>
      <c r="C322" s="356" t="s">
        <v>1481</v>
      </c>
      <c r="D322" s="356">
        <v>21135</v>
      </c>
      <c r="E322" s="356" t="s">
        <v>61</v>
      </c>
      <c r="F322" s="356">
        <v>95</v>
      </c>
      <c r="G322" s="356" t="s">
        <v>1716</v>
      </c>
      <c r="H322" s="358">
        <f>ROWS($G$4:G322)</f>
        <v>319</v>
      </c>
      <c r="I322" s="358" t="str">
        <f>IF('School Level Expenditures'!$B$2=A322,'School Tables'!H322,"")</f>
        <v/>
      </c>
      <c r="J322" s="358" t="str">
        <f>IFERROR(SMALL($I$4:$I$325,ROWS($I$4:I322)),"")</f>
        <v/>
      </c>
      <c r="K322" s="332" t="b">
        <f t="shared" si="9"/>
        <v>0</v>
      </c>
    </row>
    <row r="323" spans="1:11" ht="25.5" x14ac:dyDescent="0.2">
      <c r="A323" s="356">
        <v>285</v>
      </c>
      <c r="B323" s="356" t="s">
        <v>1166</v>
      </c>
      <c r="C323" s="356" t="s">
        <v>1170</v>
      </c>
      <c r="D323" s="356">
        <v>21285</v>
      </c>
      <c r="E323" s="356" t="s">
        <v>61</v>
      </c>
      <c r="F323" s="356">
        <v>30</v>
      </c>
      <c r="G323" s="356" t="s">
        <v>1705</v>
      </c>
      <c r="H323" s="358">
        <f>ROWS($G$4:G323)</f>
        <v>320</v>
      </c>
      <c r="I323" s="358" t="str">
        <f>IF('School Level Expenditures'!$B$2=A323,'School Tables'!H323,"")</f>
        <v/>
      </c>
      <c r="J323" s="358" t="str">
        <f>IFERROR(SMALL($I$4:$I$325,ROWS($I$4:I323)),"")</f>
        <v/>
      </c>
      <c r="K323" s="332" t="b">
        <f t="shared" si="9"/>
        <v>0</v>
      </c>
    </row>
    <row r="324" spans="1:11" ht="25.5" x14ac:dyDescent="0.2">
      <c r="A324" s="356">
        <v>141</v>
      </c>
      <c r="B324" s="356" t="s">
        <v>1008</v>
      </c>
      <c r="C324" s="356" t="s">
        <v>1013</v>
      </c>
      <c r="D324" s="356">
        <v>20460</v>
      </c>
      <c r="E324" s="356" t="s">
        <v>61</v>
      </c>
      <c r="F324" s="356">
        <v>11</v>
      </c>
      <c r="G324" s="356" t="s">
        <v>1710</v>
      </c>
      <c r="H324" s="358">
        <f>ROWS($G$4:G324)</f>
        <v>321</v>
      </c>
      <c r="I324" s="358" t="str">
        <f>IF('School Level Expenditures'!$B$2=A324,'School Tables'!H324,"")</f>
        <v/>
      </c>
      <c r="J324" s="358" t="str">
        <f>IFERROR(SMALL($I$4:$I$325,ROWS($I$4:I324)),"")</f>
        <v/>
      </c>
      <c r="K324" s="332" t="b">
        <f t="shared" si="9"/>
        <v>0</v>
      </c>
    </row>
    <row r="325" spans="1:11" ht="38.25" x14ac:dyDescent="0.2">
      <c r="A325" s="356">
        <v>238</v>
      </c>
      <c r="B325" s="356" t="s">
        <v>1097</v>
      </c>
      <c r="C325" s="356" t="s">
        <v>1098</v>
      </c>
      <c r="D325" s="356">
        <v>20905</v>
      </c>
      <c r="E325" s="356" t="s">
        <v>61</v>
      </c>
      <c r="F325" s="356">
        <v>23</v>
      </c>
      <c r="G325" s="356" t="s">
        <v>1676</v>
      </c>
      <c r="H325" s="358">
        <f>ROWS($G$4:G325)</f>
        <v>322</v>
      </c>
      <c r="I325" s="358" t="str">
        <f>IF('School Level Expenditures'!$B$2=A325,'School Tables'!H325,"")</f>
        <v/>
      </c>
      <c r="J325" s="358" t="str">
        <f>IFERROR(SMALL($I$4:$I$325,ROWS($I$4:I325)),"")</f>
        <v/>
      </c>
      <c r="K325" s="332" t="b">
        <f t="shared" ref="K325" si="10">C325=C326</f>
        <v>0</v>
      </c>
    </row>
    <row r="326" spans="1:11" x14ac:dyDescent="0.2">
      <c r="A326" s="331"/>
      <c r="B326" s="331"/>
      <c r="C326" s="331"/>
      <c r="D326" s="331"/>
      <c r="E326" s="331"/>
      <c r="F326" s="287"/>
    </row>
    <row r="327" spans="1:11" x14ac:dyDescent="0.2">
      <c r="A327" s="331"/>
      <c r="B327" s="331"/>
      <c r="C327" s="331"/>
      <c r="D327" s="331"/>
      <c r="E327" s="331"/>
      <c r="F327" s="287"/>
    </row>
    <row r="328" spans="1:11" x14ac:dyDescent="0.2">
      <c r="A328" s="331"/>
      <c r="B328" s="331"/>
      <c r="C328" s="331"/>
      <c r="D328" s="331"/>
      <c r="E328" s="331"/>
      <c r="F328" s="287"/>
    </row>
    <row r="329" spans="1:11" x14ac:dyDescent="0.2">
      <c r="A329" s="331"/>
      <c r="B329" s="331"/>
      <c r="C329" s="331"/>
      <c r="D329" s="331"/>
      <c r="E329" s="331"/>
      <c r="F329" s="287"/>
    </row>
    <row r="330" spans="1:11" x14ac:dyDescent="0.2">
      <c r="A330" s="331"/>
      <c r="B330" s="331"/>
      <c r="C330" s="331"/>
      <c r="D330" s="331"/>
      <c r="E330" s="331"/>
      <c r="F330" s="287"/>
    </row>
    <row r="331" spans="1:11" x14ac:dyDescent="0.2">
      <c r="A331" s="331"/>
      <c r="B331" s="331"/>
      <c r="C331" s="331"/>
      <c r="D331" s="331"/>
      <c r="E331" s="331"/>
      <c r="F331" s="287"/>
    </row>
    <row r="332" spans="1:11" x14ac:dyDescent="0.2">
      <c r="A332" s="331"/>
      <c r="B332" s="331"/>
      <c r="C332" s="331"/>
      <c r="D332" s="331"/>
      <c r="E332" s="331"/>
      <c r="F332" s="287"/>
    </row>
    <row r="333" spans="1:11" x14ac:dyDescent="0.2">
      <c r="A333" s="331"/>
      <c r="B333" s="331"/>
      <c r="C333" s="331"/>
      <c r="D333" s="331"/>
      <c r="E333" s="331"/>
      <c r="F333" s="287"/>
    </row>
    <row r="334" spans="1:11" x14ac:dyDescent="0.2">
      <c r="A334" s="331"/>
      <c r="B334" s="331"/>
      <c r="C334" s="331"/>
      <c r="D334" s="331"/>
      <c r="E334" s="331"/>
      <c r="F334" s="287"/>
    </row>
    <row r="335" spans="1:11" x14ac:dyDescent="0.2">
      <c r="A335" s="331"/>
      <c r="B335" s="331"/>
      <c r="C335" s="331"/>
      <c r="D335" s="331"/>
      <c r="E335" s="331"/>
      <c r="F335" s="287"/>
    </row>
    <row r="336" spans="1:11" x14ac:dyDescent="0.2">
      <c r="A336" s="331"/>
      <c r="B336" s="331"/>
      <c r="C336" s="331"/>
      <c r="D336" s="331"/>
      <c r="E336" s="331"/>
      <c r="F336" s="287"/>
    </row>
    <row r="337" spans="1:6" x14ac:dyDescent="0.2">
      <c r="A337" s="331"/>
      <c r="B337" s="331"/>
      <c r="C337" s="331"/>
      <c r="D337" s="331"/>
      <c r="E337" s="331"/>
      <c r="F337" s="287"/>
    </row>
    <row r="338" spans="1:6" x14ac:dyDescent="0.2">
      <c r="A338" s="331"/>
      <c r="B338" s="331"/>
      <c r="C338" s="331"/>
      <c r="D338" s="331"/>
      <c r="E338" s="331"/>
      <c r="F338" s="287"/>
    </row>
    <row r="339" spans="1:6" x14ac:dyDescent="0.2">
      <c r="A339" s="331"/>
      <c r="B339" s="331"/>
      <c r="C339" s="331"/>
      <c r="D339" s="331"/>
      <c r="E339" s="331"/>
      <c r="F339" s="287"/>
    </row>
    <row r="340" spans="1:6" x14ac:dyDescent="0.2">
      <c r="A340" s="331"/>
      <c r="B340" s="331"/>
      <c r="C340" s="331"/>
      <c r="D340" s="331"/>
      <c r="E340" s="331"/>
      <c r="F340" s="287"/>
    </row>
    <row r="341" spans="1:6" x14ac:dyDescent="0.2">
      <c r="A341" s="331"/>
      <c r="B341" s="331"/>
      <c r="C341" s="331"/>
      <c r="D341" s="331"/>
      <c r="E341" s="331"/>
      <c r="F341" s="287"/>
    </row>
    <row r="342" spans="1:6" x14ac:dyDescent="0.2">
      <c r="A342" s="331"/>
      <c r="B342" s="331"/>
      <c r="C342" s="331"/>
      <c r="D342" s="331"/>
      <c r="E342" s="331"/>
      <c r="F342" s="287"/>
    </row>
    <row r="343" spans="1:6" x14ac:dyDescent="0.2">
      <c r="A343" s="331"/>
      <c r="B343" s="331"/>
      <c r="C343" s="331"/>
      <c r="D343" s="331"/>
      <c r="E343" s="331"/>
      <c r="F343" s="287"/>
    </row>
    <row r="344" spans="1:6" x14ac:dyDescent="0.2">
      <c r="A344" s="331"/>
      <c r="B344" s="331"/>
      <c r="C344" s="331"/>
      <c r="D344" s="331"/>
      <c r="E344" s="331"/>
      <c r="F344" s="287"/>
    </row>
    <row r="345" spans="1:6" x14ac:dyDescent="0.2">
      <c r="A345" s="331"/>
      <c r="B345" s="331"/>
      <c r="C345" s="331"/>
      <c r="D345" s="331"/>
      <c r="E345" s="331"/>
      <c r="F345" s="287"/>
    </row>
    <row r="346" spans="1:6" x14ac:dyDescent="0.2">
      <c r="A346" s="331"/>
      <c r="B346" s="331"/>
      <c r="C346" s="331"/>
      <c r="D346" s="331"/>
      <c r="E346" s="331"/>
      <c r="F346" s="287"/>
    </row>
    <row r="347" spans="1:6" x14ac:dyDescent="0.2">
      <c r="A347" s="331"/>
      <c r="B347" s="331"/>
      <c r="C347" s="331"/>
      <c r="D347" s="331"/>
      <c r="E347" s="331"/>
      <c r="F347" s="287"/>
    </row>
    <row r="348" spans="1:6" x14ac:dyDescent="0.2">
      <c r="A348" s="331"/>
      <c r="B348" s="331"/>
      <c r="C348" s="331"/>
      <c r="D348" s="331"/>
      <c r="E348" s="331"/>
      <c r="F348" s="287"/>
    </row>
    <row r="349" spans="1:6" x14ac:dyDescent="0.2">
      <c r="A349" s="331"/>
      <c r="B349" s="331"/>
      <c r="C349" s="331"/>
      <c r="D349" s="331"/>
      <c r="E349" s="331"/>
      <c r="F349" s="287"/>
    </row>
    <row r="350" spans="1:6" x14ac:dyDescent="0.2">
      <c r="A350" s="331"/>
      <c r="B350" s="331"/>
      <c r="C350" s="331"/>
      <c r="D350" s="331"/>
      <c r="E350" s="331"/>
      <c r="F350" s="287"/>
    </row>
    <row r="351" spans="1:6" x14ac:dyDescent="0.2">
      <c r="A351" s="331"/>
      <c r="B351" s="331"/>
      <c r="C351" s="331"/>
      <c r="D351" s="331"/>
      <c r="E351" s="331"/>
      <c r="F351" s="287"/>
    </row>
    <row r="352" spans="1:6" x14ac:dyDescent="0.2">
      <c r="A352" s="331"/>
      <c r="B352" s="331"/>
      <c r="C352" s="331"/>
      <c r="D352" s="331"/>
      <c r="E352" s="331"/>
      <c r="F352" s="287"/>
    </row>
    <row r="353" spans="1:6" x14ac:dyDescent="0.2">
      <c r="A353" s="331"/>
      <c r="B353" s="331"/>
      <c r="C353" s="331"/>
      <c r="D353" s="331"/>
      <c r="E353" s="331"/>
      <c r="F353" s="287"/>
    </row>
    <row r="354" spans="1:6" x14ac:dyDescent="0.2">
      <c r="A354" s="331"/>
      <c r="B354" s="331"/>
      <c r="C354" s="331"/>
      <c r="D354" s="331"/>
      <c r="E354" s="331"/>
      <c r="F354" s="287"/>
    </row>
    <row r="355" spans="1:6" x14ac:dyDescent="0.2">
      <c r="A355" s="331"/>
      <c r="B355" s="331"/>
      <c r="C355" s="331"/>
      <c r="D355" s="331"/>
      <c r="E355" s="331"/>
      <c r="F355" s="287"/>
    </row>
    <row r="356" spans="1:6" x14ac:dyDescent="0.2">
      <c r="A356" s="331"/>
      <c r="B356" s="331"/>
      <c r="C356" s="331"/>
      <c r="D356" s="331"/>
      <c r="E356" s="331"/>
      <c r="F356" s="287"/>
    </row>
    <row r="357" spans="1:6" x14ac:dyDescent="0.2">
      <c r="A357" s="331"/>
      <c r="B357" s="331"/>
      <c r="C357" s="331"/>
      <c r="D357" s="331"/>
      <c r="E357" s="331"/>
      <c r="F357" s="287"/>
    </row>
    <row r="358" spans="1:6" x14ac:dyDescent="0.2">
      <c r="A358" s="331"/>
      <c r="B358" s="331"/>
      <c r="C358" s="331"/>
      <c r="D358" s="331"/>
      <c r="E358" s="331"/>
      <c r="F358" s="287"/>
    </row>
    <row r="359" spans="1:6" x14ac:dyDescent="0.2">
      <c r="A359" s="331"/>
      <c r="B359" s="331"/>
      <c r="C359" s="331"/>
      <c r="D359" s="331"/>
      <c r="E359" s="331"/>
      <c r="F359" s="287"/>
    </row>
    <row r="360" spans="1:6" x14ac:dyDescent="0.2">
      <c r="A360" s="331"/>
      <c r="B360" s="331"/>
      <c r="C360" s="331"/>
      <c r="D360" s="331"/>
      <c r="E360" s="331"/>
      <c r="F360" s="287"/>
    </row>
    <row r="361" spans="1:6" x14ac:dyDescent="0.2">
      <c r="A361" s="331"/>
      <c r="B361" s="331"/>
      <c r="C361" s="331"/>
      <c r="D361" s="331"/>
      <c r="E361" s="331"/>
      <c r="F361" s="287"/>
    </row>
    <row r="362" spans="1:6" x14ac:dyDescent="0.2">
      <c r="A362" s="331"/>
      <c r="B362" s="331"/>
      <c r="C362" s="331"/>
      <c r="D362" s="331"/>
      <c r="E362" s="331"/>
      <c r="F362" s="287"/>
    </row>
    <row r="363" spans="1:6" x14ac:dyDescent="0.2">
      <c r="A363" s="331"/>
      <c r="B363" s="331"/>
      <c r="C363" s="331"/>
      <c r="D363" s="331"/>
      <c r="E363" s="331"/>
      <c r="F363" s="287"/>
    </row>
    <row r="364" spans="1:6" x14ac:dyDescent="0.2">
      <c r="A364" s="331"/>
      <c r="B364" s="331"/>
      <c r="C364" s="331"/>
      <c r="D364" s="331"/>
      <c r="E364" s="331"/>
      <c r="F364" s="287"/>
    </row>
    <row r="365" spans="1:6" x14ac:dyDescent="0.2">
      <c r="A365" s="331"/>
      <c r="B365" s="331"/>
      <c r="C365" s="331"/>
      <c r="D365" s="331"/>
      <c r="E365" s="331"/>
      <c r="F365" s="287"/>
    </row>
    <row r="366" spans="1:6" x14ac:dyDescent="0.2">
      <c r="A366" s="331"/>
      <c r="B366" s="331"/>
      <c r="C366" s="331"/>
      <c r="D366" s="331"/>
      <c r="E366" s="331"/>
      <c r="F366" s="287"/>
    </row>
    <row r="367" spans="1:6" x14ac:dyDescent="0.2">
      <c r="A367" s="331"/>
      <c r="B367" s="331"/>
      <c r="C367" s="331"/>
      <c r="D367" s="331"/>
      <c r="E367" s="331"/>
      <c r="F367" s="287"/>
    </row>
    <row r="368" spans="1:6" x14ac:dyDescent="0.2">
      <c r="A368" s="331"/>
      <c r="B368" s="331"/>
      <c r="C368" s="331"/>
      <c r="D368" s="331"/>
      <c r="E368" s="331"/>
      <c r="F368" s="287"/>
    </row>
    <row r="369" spans="1:6" x14ac:dyDescent="0.2">
      <c r="A369" s="331"/>
      <c r="B369" s="331"/>
      <c r="C369" s="331"/>
      <c r="D369" s="331"/>
      <c r="E369" s="331"/>
      <c r="F369" s="287"/>
    </row>
    <row r="370" spans="1:6" x14ac:dyDescent="0.2">
      <c r="A370" s="331"/>
      <c r="B370" s="331"/>
      <c r="C370" s="331"/>
      <c r="D370" s="331"/>
      <c r="E370" s="331"/>
      <c r="F370" s="287"/>
    </row>
    <row r="371" spans="1:6" x14ac:dyDescent="0.2">
      <c r="A371" s="331"/>
      <c r="B371" s="331"/>
      <c r="C371" s="331"/>
      <c r="D371" s="331"/>
      <c r="E371" s="331"/>
      <c r="F371" s="287"/>
    </row>
    <row r="372" spans="1:6" x14ac:dyDescent="0.2">
      <c r="A372" s="331"/>
      <c r="B372" s="331"/>
      <c r="C372" s="331"/>
      <c r="D372" s="331"/>
      <c r="E372" s="331"/>
      <c r="F372" s="287"/>
    </row>
    <row r="373" spans="1:6" x14ac:dyDescent="0.2">
      <c r="A373" s="331"/>
      <c r="B373" s="331"/>
      <c r="C373" s="331"/>
      <c r="D373" s="331"/>
      <c r="E373" s="331"/>
      <c r="F373" s="287"/>
    </row>
    <row r="374" spans="1:6" x14ac:dyDescent="0.2">
      <c r="A374" s="331"/>
      <c r="B374" s="331"/>
      <c r="C374" s="331"/>
      <c r="D374" s="331"/>
      <c r="E374" s="331"/>
      <c r="F374" s="287"/>
    </row>
    <row r="375" spans="1:6" x14ac:dyDescent="0.2">
      <c r="A375" s="331"/>
      <c r="B375" s="331"/>
      <c r="C375" s="331"/>
      <c r="D375" s="331"/>
      <c r="E375" s="331"/>
      <c r="F375" s="287"/>
    </row>
    <row r="376" spans="1:6" x14ac:dyDescent="0.2">
      <c r="A376" s="331"/>
      <c r="B376" s="331"/>
      <c r="C376" s="331"/>
      <c r="D376" s="331"/>
      <c r="E376" s="331"/>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5B22B72BDA5246BF0CFDC84A97EFBB" ma:contentTypeVersion="12" ma:contentTypeDescription="Create a new document." ma:contentTypeScope="" ma:versionID="7310c7082acd1856d6b1a46e3de51a17">
  <xsd:schema xmlns:xsd="http://www.w3.org/2001/XMLSchema" xmlns:xs="http://www.w3.org/2001/XMLSchema" xmlns:p="http://schemas.microsoft.com/office/2006/metadata/properties" xmlns:ns1="http://schemas.microsoft.com/sharepoint/v3" xmlns:ns2="86161344-e70c-4b40-a606-940b20161c66" xmlns:ns3="85adda8a-f750-48e0-b64f-d9c72bb7b55e" targetNamespace="http://schemas.microsoft.com/office/2006/metadata/properties" ma:root="true" ma:fieldsID="bf098be22595bdaf2abae81ea4504e60" ns1:_="" ns2:_="" ns3:_="">
    <xsd:import namespace="http://schemas.microsoft.com/sharepoint/v3"/>
    <xsd:import namespace="86161344-e70c-4b40-a606-940b20161c66"/>
    <xsd:import namespace="85adda8a-f750-48e0-b64f-d9c72bb7b55e"/>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161344-e70c-4b40-a606-940b20161c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dda8a-f750-48e0-b64f-d9c72bb7b5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E8B15A-5825-426D-9986-3DA8300001B5}">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BE88DFA-9F4A-4231-97AB-25C0477638E4}">
  <ds:schemaRefs>
    <ds:schemaRef ds:uri="http://schemas.microsoft.com/sharepoint/v3/contenttype/forms"/>
  </ds:schemaRefs>
</ds:datastoreItem>
</file>

<file path=customXml/itemProps3.xml><?xml version="1.0" encoding="utf-8"?>
<ds:datastoreItem xmlns:ds="http://schemas.openxmlformats.org/officeDocument/2006/customXml" ds:itemID="{40F27D2C-48AA-4106-8501-482C71B832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6161344-e70c-4b40-a606-940b20161c66"/>
    <ds:schemaRef ds:uri="85adda8a-f750-48e0-b64f-d9c72bb7b5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2022-12-19T19:32:01Z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0x010100EA5B22B72BDA5246BF0CFDC84A97EFBB</vt:lpwstr>
  </property>
</Properties>
</file>