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3871D77-248D-4C70-9B01-925E94CE02CD}"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1">'ESEA OTHER TITLE PROGRAMS'!$B$2:$G$25</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H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H24" i="2" s="1"/>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H80" i="2" s="1"/>
  <c r="E80" i="2"/>
  <c r="C85" i="2"/>
  <c r="F85" i="2"/>
  <c r="C87" i="2"/>
  <c r="H87" i="2" s="1"/>
  <c r="E87" i="2"/>
  <c r="F87" i="2"/>
  <c r="C89" i="2"/>
  <c r="D89" i="2"/>
  <c r="E89" i="2"/>
  <c r="F89" i="2"/>
  <c r="C90" i="2"/>
  <c r="H90" i="2" s="1"/>
  <c r="C93" i="2"/>
  <c r="F93" i="2"/>
  <c r="H93" i="2" s="1"/>
  <c r="C94" i="2"/>
  <c r="F94" i="2"/>
  <c r="D96" i="2"/>
  <c r="E96" i="2"/>
  <c r="F96" i="2"/>
  <c r="G96" i="2"/>
  <c r="C97" i="2"/>
  <c r="D97" i="2"/>
  <c r="E97" i="2"/>
  <c r="F97" i="2"/>
  <c r="G97" i="2"/>
  <c r="C98" i="2"/>
  <c r="D98" i="2"/>
  <c r="E98" i="2"/>
  <c r="G98" i="2"/>
  <c r="C99" i="2"/>
  <c r="D99" i="2"/>
  <c r="E99" i="2"/>
  <c r="F99" i="2"/>
  <c r="C100" i="2"/>
  <c r="H100" i="2" s="1"/>
  <c r="D100" i="2"/>
  <c r="E100" i="2"/>
  <c r="F100" i="2"/>
  <c r="C101" i="2"/>
  <c r="H101" i="2" s="1"/>
  <c r="D101" i="2"/>
  <c r="E101" i="2"/>
  <c r="F101" i="2"/>
  <c r="C102" i="2"/>
  <c r="H102" i="2" s="1"/>
  <c r="D102" i="2"/>
  <c r="E102" i="2"/>
  <c r="F102" i="2"/>
  <c r="D115" i="2"/>
  <c r="F115" i="2"/>
  <c r="G11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H99" i="2" l="1"/>
  <c r="H98" i="2"/>
  <c r="H89" i="2"/>
  <c r="H26" i="2"/>
  <c r="H97" i="2"/>
  <c r="H96" i="2"/>
  <c r="H35" i="2"/>
  <c r="H34" i="2"/>
  <c r="H17" i="2"/>
  <c r="H13" i="2"/>
  <c r="H9" i="2"/>
  <c r="H132" i="2"/>
  <c r="H36" i="2"/>
  <c r="H38" i="2"/>
  <c r="H43" i="2"/>
  <c r="H47" i="2"/>
  <c r="H48" i="2"/>
  <c r="H72" i="2"/>
  <c r="H59" i="2"/>
  <c r="H30" i="2"/>
  <c r="H28" i="2"/>
  <c r="H27" i="2"/>
  <c r="H25" i="2"/>
  <c r="H22" i="2"/>
  <c r="H15" i="2"/>
  <c r="H12" i="2"/>
  <c r="H143" i="2"/>
  <c r="H94" i="2"/>
  <c r="H69" i="2"/>
  <c r="H23" i="2"/>
  <c r="I409" i="1"/>
  <c r="E125" i="2"/>
  <c r="G62" i="2"/>
  <c r="G63" i="2" s="1"/>
  <c r="H61" i="2"/>
  <c r="J652" i="1"/>
  <c r="G477" i="1"/>
  <c r="H624" i="1" s="1"/>
  <c r="J624" i="1" s="1"/>
  <c r="H477" i="1"/>
  <c r="H625" i="1" s="1"/>
  <c r="H11" i="2"/>
  <c r="G662" i="1"/>
  <c r="E121" i="2"/>
  <c r="H121" i="2" s="1"/>
  <c r="E120" i="2"/>
  <c r="H120" i="2" s="1"/>
  <c r="E124" i="2"/>
  <c r="E111" i="2"/>
  <c r="E112" i="2"/>
  <c r="D15" i="13"/>
  <c r="C15" i="13" s="1"/>
  <c r="C112" i="2"/>
  <c r="H112" i="2" s="1"/>
  <c r="C110" i="2"/>
  <c r="C12" i="10"/>
  <c r="C125" i="2"/>
  <c r="E13" i="13"/>
  <c r="C13" i="13" s="1"/>
  <c r="C119" i="2"/>
  <c r="D6" i="13"/>
  <c r="C6" i="13" s="1"/>
  <c r="C13" i="10"/>
  <c r="A40" i="12"/>
  <c r="I112" i="1"/>
  <c r="D78" i="2"/>
  <c r="D81" i="2" s="1"/>
  <c r="H77" i="2"/>
  <c r="H29" i="2"/>
  <c r="H8"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J619" i="1"/>
  <c r="G42" i="2"/>
  <c r="G50" i="2" s="1"/>
  <c r="J51" i="1"/>
  <c r="G16" i="2"/>
  <c r="G18" i="2" s="1"/>
  <c r="J19" i="1"/>
  <c r="G622" i="1" s="1"/>
  <c r="F546" i="1"/>
  <c r="H435" i="1"/>
  <c r="D103" i="2"/>
  <c r="I140" i="1"/>
  <c r="A22" i="12"/>
  <c r="J653" i="1"/>
  <c r="G572" i="1"/>
  <c r="I435" i="1"/>
  <c r="G435" i="1"/>
  <c r="I664" i="1"/>
  <c r="H125" i="2" l="1"/>
  <c r="H103" i="2"/>
  <c r="H57" i="2"/>
  <c r="H16" i="2"/>
  <c r="H85" i="2"/>
  <c r="H21" i="2"/>
  <c r="H42" i="2"/>
  <c r="H134" i="2"/>
  <c r="H62" i="2"/>
  <c r="L572" i="1"/>
  <c r="B33" i="16"/>
  <c r="D128" i="2"/>
  <c r="D145" i="2" s="1"/>
  <c r="H127" i="2"/>
  <c r="H111" i="2"/>
  <c r="H124" i="2"/>
  <c r="H119" i="2"/>
  <c r="H123" i="2"/>
  <c r="H122" i="2"/>
  <c r="E128" i="2"/>
  <c r="H118" i="2"/>
  <c r="F661" i="1"/>
  <c r="F665" i="1" s="1"/>
  <c r="F668" i="1" s="1"/>
  <c r="H110" i="2"/>
  <c r="E115" i="2"/>
  <c r="H109" i="2"/>
  <c r="I663" i="1"/>
  <c r="H50" i="2"/>
  <c r="D51" i="2"/>
  <c r="H91" i="2"/>
  <c r="H78" i="2"/>
  <c r="C81" i="2"/>
  <c r="H81" i="2" s="1"/>
  <c r="H3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44" i="2" l="1"/>
  <c r="H144" i="2" s="1"/>
  <c r="H141" i="2"/>
  <c r="E145" i="2"/>
  <c r="H673" i="1"/>
  <c r="C6" i="10" s="1"/>
  <c r="H128" i="2"/>
  <c r="H115" i="2"/>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<sst xmlns="http://schemas.openxmlformats.org/spreadsheetml/2006/main" count="6540" uniqueCount="1811">
  <si>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</si>
  <si>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</si>
  <si>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</si>
  <si>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</si>
  <si>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</si>
  <si>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</si>
  <si>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</si>
  <si>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</si>
  <si>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</si>
  <si>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</si>
  <si>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</si>
  <si>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</si>
  <si>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</si>
  <si>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</si>
  <si>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</si>
  <si>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</si>
  <si>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</si>
  <si>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</si>
  <si>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</si>
  <si>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</si>
  <si>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</si>
  <si>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</si>
  <si>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</si>
  <si>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</si>
  <si>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</si>
  <si>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</si>
  <si>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</si>
  <si>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</si>
  <si>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</si>
  <si>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</si>
  <si>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</si>
  <si>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</si>
  <si>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</si>
  <si>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</si>
  <si>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</si>
  <si>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</si>
  <si>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</si>
  <si>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</si>
  <si>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</si>
  <si>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</si>
  <si>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</si>
  <si>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</si>
  <si>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</si>
  <si>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</si>
  <si>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</si>
  <si>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</si>
  <si>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</si>
  <si>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</si>
  <si>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</si>
  <si>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</si>
  <si>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</si>
  <si>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</si>
  <si>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</si>
  <si>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</si>
  <si>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</si>
  <si>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</si>
  <si>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</si>
  <si>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</si>
  <si>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</si>
  <si>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</si>
  <si>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</si>
  <si>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</si>
  <si>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</si>
  <si>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</si>
  <si>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</si>
  <si>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</si>
  <si>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</si>
  <si>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</si>
  <si>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</si>
  <si>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</si>
  <si>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</si>
  <si>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</si>
  <si>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</si>
  <si>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</si>
  <si>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</si>
  <si>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</si>
  <si>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</si>
  <si>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</si>
  <si>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</si>
  <si>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</si>
  <si>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</si>
  <si>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</si>
  <si>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</si>
  <si>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</si>
  <si>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</si>
  <si>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</si>
  <si>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</si>
  <si>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</si>
  <si>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</si>
  <si>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</si>
  <si>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</si>
  <si>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</si>
  <si>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</si>
  <si>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</si>
  <si>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</si>
  <si>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</si>
  <si>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</si>
  <si>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</si>
  <si>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</si>
  <si>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</si>
  <si>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</si>
  <si>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</si>
  <si>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</si>
  <si>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</si>
  <si>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</si>
  <si>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</si>
  <si>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</si>
  <si>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</si>
  <si>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</si>
  <si>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</si>
  <si>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</si>
  <si>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</si>
  <si>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</si>
  <si>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</si>
  <si>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</si>
  <si>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</si>
  <si>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</si>
  <si>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</si>
  <si>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</si>
  <si>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</si>
  <si>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</si>
  <si>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</si>
  <si>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</si>
  <si>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</si>
  <si>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</si>
  <si>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</si>
  <si>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</si>
  <si>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</si>
  <si>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</si>
  <si>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</si>
  <si>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</si>
  <si>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</si>
  <si>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</si>
  <si>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</si>
  <si>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</si>
  <si>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</si>
  <si>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</si>
  <si>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</si>
  <si>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</si>
  <si>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</si>
  <si>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</si>
  <si>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</si>
  <si>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</si>
  <si>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</si>
  <si>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</si>
  <si>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</si>
  <si>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</si>
  <si>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</si>
  <si>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</si>
  <si>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</si>
  <si>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</si>
  <si>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</si>
  <si>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</si>
  <si>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</si>
  <si>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</si>
  <si>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</si>
  <si>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</si>
  <si>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</si>
  <si>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</si>
  <si>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</si>
  <si>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</si>
  <si>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</si>
  <si>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</si>
  <si>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</si>
  <si>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</si>
  <si>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</si>
  <si>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</si>
  <si>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</si>
  <si>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</si>
  <si>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</si>
  <si>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</si>
  <si>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</si>
  <si>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</si>
  <si>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</si>
  <si>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</si>
  <si>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</si>
  <si>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</si>
  <si>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</si>
  <si>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</si>
  <si>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</si>
  <si>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</si>
  <si>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</si>
  <si>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</si>
  <si>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</si>
  <si>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</si>
  <si>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</si>
  <si>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</si>
  <si>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</si>
  <si>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</si>
  <si>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</si>
  <si>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</si>
  <si>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</si>
  <si>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</si>
  <si>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</si>
  <si>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</si>
  <si>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</si>
  <si>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</si>
  <si>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</si>
  <si>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</si>
  <si>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</si>
  <si>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</si>
  <si>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</si>
  <si>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</si>
  <si>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</si>
  <si>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</si>
  <si>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</si>
  <si>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</si>
  <si>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</si>
  <si>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</si>
  <si>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</si>
  <si>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</si>
  <si>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</si>
  <si>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</si>
  <si>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</si>
  <si>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</si>
  <si>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</si>
  <si>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</si>
  <si>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</si>
  <si>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</si>
  <si>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</si>
  <si>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</si>
  <si>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</si>
  <si>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</si>
  <si>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</si>
  <si>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</si>
  <si>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</si>
  <si>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</si>
  <si>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</si>
  <si>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</si>
  <si>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</si>
  <si>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</si>
  <si>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</si>
  <si>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</si>
  <si>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</si>
  <si>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</si>
  <si>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</si>
  <si>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</si>
  <si>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</si>
  <si>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</si>
  <si>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</si>
  <si>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</si>
  <si>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</si>
  <si>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</si>
  <si>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</si>
  <si>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</si>
  <si>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</si>
  <si>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</si>
  <si>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</si>
  <si>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</si>
  <si>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</si>
  <si>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</si>
  <si>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</si>
  <si>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</si>
  <si>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</si>
  <si>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</si>
  <si>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</si>
  <si>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</si>
  <si>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</si>
  <si>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</si>
  <si>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</si>
  <si>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</si>
  <si>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</si>
  <si>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</si>
  <si>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</si>
  <si>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</si>
  <si>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</si>
  <si>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</si>
  <si>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</si>
  <si>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</si>
  <si>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</si>
  <si>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</si>
  <si>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</si>
  <si>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</si>
  <si>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</si>
  <si>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</si>
  <si>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</si>
  <si>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</si>
  <si>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</si>
  <si>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</si>
  <si>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</si>
  <si>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</si>
  <si>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</si>
  <si>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</si>
  <si>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</si>
  <si>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</si>
  <si>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</si>
  <si>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</si>
  <si>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</si>
  <si>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</si>
  <si>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</si>
  <si>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</si>
  <si>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</si>
  <si>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</si>
  <si>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</si>
  <si>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</si>
  <si>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</si>
  <si>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</si>
  <si>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</si>
  <si>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</si>
  <si>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</si>
  <si>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</si>
  <si>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</si>
  <si>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</si>
  <si>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</si>
  <si>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</si>
  <si>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</si>
  <si>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</si>
  <si>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</si>
  <si>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</si>
  <si>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</si>
  <si>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</si>
  <si>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</si>
  <si>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</si>
  <si>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</si>
  <si>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</si>
  <si>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</si>
  <si>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</si>
  <si>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</si>
  <si>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</si>
  <si>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</si>
  <si>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</si>
  <si>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</si>
  <si>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</si>
  <si>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</si>
  <si>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</si>
  <si>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</si>
  <si>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</si>
  <si>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</si>
  <si>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</si>
  <si>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</si>
  <si>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</si>
  <si>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</si>
  <si>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</si>
  <si>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</si>
  <si>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</si>
  <si>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</si>
  <si>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</si>
  <si>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</si>
  <si>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</si>
  <si>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</si>
  <si>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</si>
  <si>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</si>
  <si>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</si>
  <si>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</si>
  <si>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</si>
  <si>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</si>
  <si>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</si>
  <si>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</si>
  <si>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</si>
  <si>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</si>
  <si>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</si>
  <si>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</si>
  <si>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</si>
  <si>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</si>
  <si>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</si>
  <si>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</si>
  <si>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</si>
  <si>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</si>
  <si>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</si>
  <si>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</si>
  <si>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</si>
  <si>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</si>
  <si>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</si>
  <si>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</si>
  <si>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</si>
  <si>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</si>
  <si>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</si>
  <si>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</si>
  <si>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</si>
  <si>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</si>
  <si>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</si>
  <si>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</si>
  <si>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</si>
  <si>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</si>
  <si>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</si>
  <si>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</si>
  <si>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</si>
  <si>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</si>
  <si>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</si>
  <si>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</si>
  <si>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</si>
  <si>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</si>
  <si>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</si>
  <si>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</si>
  <si>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</si>
  <si>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</si>
  <si>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</si>
  <si>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</si>
  <si>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</si>
  <si>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</si>
  <si>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</si>
  <si>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</si>
  <si>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</si>
  <si>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</si>
  <si>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</si>
  <si>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</si>
  <si>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</si>
  <si>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</si>
  <si>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</si>
  <si>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</si>
  <si>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</si>
  <si>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</si>
  <si>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</si>
  <si>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</si>
  <si>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</si>
  <si>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</si>
  <si>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</si>
  <si>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</si>
  <si>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</si>
  <si>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</si>
  <si>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</si>
  <si>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</si>
  <si>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</si>
  <si>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</si>
  <si>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</si>
  <si>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</si>
  <si>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</si>
  <si>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</si>
  <si>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</si>
  <si>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</si>
  <si>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</si>
  <si>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</si>
  <si>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</si>
  <si>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</si>
  <si>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</si>
  <si>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</si>
  <si>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</si>
  <si>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</si>
  <si>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</si>
  <si>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</si>
  <si>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</si>
  <si>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</si>
  <si>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</si>
  <si>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</si>
  <si>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</si>
  <si>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</si>
  <si>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</si>
  <si>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</si>
  <si>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</si>
  <si>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</si>
  <si>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</si>
  <si>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</si>
  <si>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</si>
  <si>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</si>
  <si>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</si>
  <si>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</si>
  <si>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</si>
  <si>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</si>
  <si>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</si>
  <si>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</si>
  <si>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</si>
  <si>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</si>
  <si>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</si>
  <si>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</si>
  <si>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</si>
  <si>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</si>
  <si>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</si>
  <si>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</si>
  <si>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</si>
  <si>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</si>
  <si>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</si>
  <si>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</si>
  <si>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</si>
  <si>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</si>
  <si>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</si>
  <si>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</si>
  <si>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</si>
  <si>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</si>
  <si>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</si>
  <si>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</si>
  <si>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</si>
  <si>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</si>
  <si>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</si>
  <si>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</si>
  <si>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</si>
  <si>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</si>
  <si>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</si>
  <si>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</si>
  <si>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</si>
  <si>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</si>
  <si>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</si>
  <si>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</si>
  <si>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</si>
  <si>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</si>
  <si>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</si>
  <si>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</si>
  <si>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</si>
  <si>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</si>
  <si>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</si>
  <si>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</si>
  <si>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</si>
  <si>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</si>
  <si>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</si>
  <si>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</si>
  <si>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</si>
  <si>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</si>
  <si>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</si>
  <si>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</si>
  <si>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</si>
  <si>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</si>
  <si>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</si>
  <si>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</si>
  <si>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</si>
  <si>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</si>
  <si>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</si>
  <si>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</si>
  <si>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</si>
  <si>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</si>
  <si>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</si>
  <si>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</si>
  <si>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</si>
  <si>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</si>
  <si>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</si>
  <si>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</si>
  <si>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</si>
  <si>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</si>
  <si>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</si>
  <si>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</si>
  <si>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</si>
  <si>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</si>
  <si>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</si>
  <si>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</si>
  <si>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</si>
  <si>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</si>
  <si>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</si>
  <si>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</si>
  <si>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</si>
  <si>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</si>
  <si>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</si>
  <si>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</si>
  <si>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</si>
  <si>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</si>
  <si>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</si>
  <si>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</si>
  <si>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</si>
  <si>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</si>
  <si>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</si>
  <si>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</si>
  <si>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</si>
  <si>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</si>
  <si>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</si>
  <si>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</si>
  <si>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</si>
  <si>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</si>
  <si>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</si>
  <si>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</si>
  <si>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</si>
  <si>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</si>
  <si>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</si>
  <si>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</si>
  <si>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</si>
  <si>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</si>
  <si>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</si>
  <si>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</si>
  <si>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</si>
  <si>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</si>
  <si>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</si>
  <si>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</si>
  <si>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</si>
  <si>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</si>
  <si>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</si>
  <si>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</si>
  <si>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</si>
  <si>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</si>
  <si>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</si>
  <si>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</si>
  <si>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</si>
  <si>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</si>
  <si>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</si>
  <si>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</si>
  <si>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</si>
  <si>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</si>
  <si>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</si>
  <si>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</si>
  <si>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</si>
  <si>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</si>
  <si>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</si>
  <si>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</si>
  <si>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</si>
  <si>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</si>
  <si>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</si>
  <si>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</si>
  <si>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</si>
  <si>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</si>
  <si>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</si>
  <si>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</si>
  <si>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</si>
  <si>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</si>
  <si>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</si>
  <si>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</si>
  <si>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</si>
  <si>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</si>
  <si>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</si>
  <si>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</si>
  <si>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</si>
  <si>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</si>
  <si>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</si>
  <si>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</si>
  <si>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</si>
  <si>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</si>
  <si>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</si>
  <si>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</si>
  <si>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</si>
  <si>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</si>
  <si>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</si>
  <si>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</si>
  <si>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</si>
  <si>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</si>
  <si>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</si>
  <si>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</si>
  <si>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</si>
  <si>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</si>
  <si>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</si>
  <si>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</si>
  <si>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</si>
  <si>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</si>
  <si>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</si>
  <si>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</si>
  <si>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</si>
  <si>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</si>
  <si>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</si>
  <si>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</si>
  <si>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</si>
  <si>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</si>
  <si>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</si>
  <si>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</si>
  <si>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</si>
  <si>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</si>
  <si>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</si>
  <si>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</si>
  <si>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</si>
  <si>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</si>
  <si>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</si>
  <si>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</si>
  <si>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</si>
  <si>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</si>
  <si>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</si>
  <si>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</si>
  <si>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</si>
  <si>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</si>
  <si>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</si>
  <si>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</si>
  <si>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</si>
  <si>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</si>
  <si>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</si>
  <si>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</si>
  <si>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</si>
  <si>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</si>
  <si>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</si>
  <si>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</si>
  <si>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</si>
  <si>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</si>
  <si>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</si>
  <si>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</si>
  <si>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</si>
  <si>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</si>
  <si>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</si>
  <si>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</si>
  <si>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</si>
  <si>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</si>
  <si>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</si>
  <si>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</si>
  <si>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</si>
  <si>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</si>
  <si>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</si>
  <si>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</si>
  <si>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</si>
  <si>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</si>
  <si>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</si>
  <si>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</si>
  <si>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</si>
  <si>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</si>
  <si>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</si>
  <si>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</si>
  <si>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</si>
  <si>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</si>
  <si>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</si>
  <si>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</si>
  <si>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</si>
  <si>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</si>
  <si>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</si>
  <si>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</si>
  <si>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</si>
  <si>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</si>
  <si>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</si>
  <si>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</si>
  <si>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</si>
  <si>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</si>
  <si>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</si>
  <si>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</si>
  <si>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</si>
  <si>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</si>
  <si>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</si>
  <si>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</si>
  <si>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</si>
  <si>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</si>
  <si>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</si>
  <si>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</si>
  <si>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</si>
  <si>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</si>
  <si>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</si>
  <si>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</si>
  <si>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</si>
  <si>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</si>
  <si>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</si>
  <si>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</si>
  <si>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</si>
  <si>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</si>
  <si>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</si>
  <si>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</si>
  <si>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</si>
  <si>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</si>
  <si>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</si>
  <si>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</si>
  <si>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</si>
  <si>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</si>
  <si>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</si>
  <si>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</si>
  <si>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</si>
  <si>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</si>
  <si>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</si>
  <si>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</si>
  <si>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</si>
  <si>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</si>
  <si>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</si>
  <si>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</si>
  <si>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</si>
  <si>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</si>
  <si>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</si>
  <si>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</si>
  <si>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</si>
  <si>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</si>
  <si>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</si>
  <si>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</si>
  <si>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</si>
  <si>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</si>
  <si>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</si>
  <si>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</si>
  <si>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</si>
  <si>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</si>
  <si>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</si>
  <si>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</si>
  <si>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</si>
  <si>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</si>
  <si>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</si>
  <si>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</si>
  <si>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</si>
  <si>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</si>
  <si>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</si>
  <si>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</si>
  <si>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</si>
  <si>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</si>
  <si>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</si>
  <si>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</si>
  <si>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</si>
  <si>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</si>
  <si>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</si>
  <si>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</si>
  <si>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</si>
  <si>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</si>
  <si>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</si>
  <si>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</si>
  <si>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</si>
  <si>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</si>
  <si>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</si>
  <si>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</si>
  <si>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</si>
  <si>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</si>
  <si>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</si>
  <si>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</si>
  <si>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</si>
  <si>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</si>
  <si>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</si>
  <si>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</si>
  <si>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</si>
  <si>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</si>
  <si>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</si>
  <si>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</si>
  <si>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</si>
  <si>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</si>
  <si>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</si>
  <si>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</si>
  <si>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</si>
  <si>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</si>
  <si>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</si>
  <si>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</si>
  <si>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</si>
  <si>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</si>
  <si>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</si>
  <si>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</si>
  <si>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</si>
  <si>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</si>
  <si>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</si>
  <si>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</si>
  <si>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</si>
  <si>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</si>
  <si>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</si>
  <si>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</si>
  <si>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</si>
  <si>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</si>
  <si>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</si>
  <si>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</si>
  <si>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</si>
  <si>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</si>
  <si>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</si>
  <si>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</si>
  <si>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</si>
  <si>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</si>
  <si>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</si>
  <si>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</si>
  <si>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</si>
  <si>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</si>
  <si>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</si>
  <si>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</si>
  <si>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</si>
  <si>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</si>
  <si>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</si>
  <si>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</si>
  <si>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</si>
  <si>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</si>
  <si>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</si>
  <si>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</si>
  <si>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</si>
  <si>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</si>
  <si>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</si>
  <si>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</si>
  <si>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</si>
  <si>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</si>
  <si>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</si>
  <si>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</si>
  <si>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</si>
  <si>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</si>
  <si>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</si>
  <si>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</si>
  <si>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</si>
  <si>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</si>
  <si>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</si>
  <si>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</si>
  <si>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</si>
  <si>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</si>
  <si>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</si>
  <si>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</si>
  <si>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</si>
  <si>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</si>
  <si>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</si>
  <si>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</si>
  <si>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</si>
  <si>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</si>
  <si>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</si>
  <si>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</si>
  <si>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</si>
  <si>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</si>
  <si>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</si>
  <si>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</si>
  <si>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</si>
  <si>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</si>
  <si>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</si>
  <si>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</si>
  <si>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</si>
  <si>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</si>
  <si>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</si>
  <si>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</si>
  <si>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</si>
  <si>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</si>
  <si>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</si>
  <si>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</si>
  <si>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</si>
  <si>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</si>
  <si>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</si>
  <si>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</si>
  <si>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</si>
  <si>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</si>
  <si>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</si>
  <si>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</si>
  <si>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</si>
  <si>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</si>
  <si>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</si>
  <si>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</si>
  <si>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</si>
  <si>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</si>
  <si>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</si>
  <si>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</si>
  <si>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</si>
  <si>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</si>
  <si>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</si>
  <si>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</si>
  <si>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</si>
  <si>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</si>
  <si>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</si>
  <si>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</si>
  <si>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</si>
  <si>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</si>
  <si>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</si>
  <si>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</si>
  <si>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</si>
  <si>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</si>
  <si>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</si>
  <si>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</si>
  <si>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</si>
  <si>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</si>
  <si>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</si>
  <si>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</si>
  <si>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</si>
  <si>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</si>
  <si>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</si>
  <si>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</si>
  <si>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</si>
  <si>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</si>
  <si>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</si>
  <si>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</si>
  <si>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</si>
  <si>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</si>
  <si>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</si>
  <si>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</si>
  <si>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</si>
  <si>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</si>
  <si>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</si>
  <si>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</si>
  <si>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</si>
  <si>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</si>
  <si>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</si>
  <si>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</si>
  <si>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</si>
  <si>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</si>
  <si>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</si>
  <si>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</si>
  <si>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</si>
  <si>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</si>
  <si>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</si>
  <si>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</si>
  <si>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</si>
  <si>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</si>
  <si>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</si>
  <si>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</si>
  <si>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</si>
  <si>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</si>
  <si>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</si>
  <si>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</si>
  <si>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</si>
  <si>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</si>
  <si>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</si>
  <si>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</si>
  <si>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</si>
  <si>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</si>
  <si>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</si>
  <si>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</si>
  <si>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</si>
  <si>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</si>
  <si>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</si>
  <si>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</si>
  <si>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</si>
  <si>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</si>
  <si>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</si>
  <si>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</si>
  <si>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</si>
  <si>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</si>
  <si>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</si>
  <si>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</si>
  <si>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</si>
  <si>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</si>
  <si>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</si>
  <si>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</si>
  <si>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</si>
  <si>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</si>
  <si>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</si>
  <si>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</si>
  <si>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</si>
  <si>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</si>
  <si>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</si>
  <si>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</si>
  <si>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</si>
  <si>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</si>
  <si>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</si>
  <si>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</si>
  <si>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</si>
  <si>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</si>
  <si>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</si>
  <si>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</si>
  <si>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</si>
  <si>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</si>
  <si>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</si>
  <si>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</si>
  <si>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</si>
  <si>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</si>
  <si>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</si>
  <si>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</si>
  <si>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</si>
  <si>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</si>
  <si>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</si>
  <si>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</si>
  <si>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</si>
  <si>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</si>
  <si>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</si>
  <si>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</si>
  <si>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</si>
  <si>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</si>
  <si>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</si>
  <si>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</si>
  <si>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</si>
  <si>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</si>
  <si>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</si>
  <si>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</si>
  <si>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</si>
  <si>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</si>
  <si>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</si>
  <si>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</si>
  <si>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</si>
  <si>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</si>
  <si>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</si>
  <si>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</si>
  <si>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</si>
  <si>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</si>
  <si>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</si>
  <si>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</si>
  <si>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</si>
  <si>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</si>
  <si>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</si>
  <si>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</si>
  <si>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</si>
  <si>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</si>
  <si>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</si>
  <si>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</si>
  <si>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</si>
  <si>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</si>
  <si>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</si>
  <si>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</si>
  <si>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</si>
  <si>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</si>
  <si>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</si>
  <si>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</si>
  <si>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</si>
  <si>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</si>
  <si>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</si>
  <si>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</si>
  <si>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</si>
  <si>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</si>
  <si>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</si>
  <si>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</si>
  <si>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</si>
  <si>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</si>
  <si>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</si>
  <si>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</si>
  <si>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</si>
  <si>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</si>
  <si>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</si>
  <si>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</si>
  <si>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</si>
  <si>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</si>
  <si>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</si>
  <si>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</si>
  <si>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</si>
  <si>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</si>
  <si>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</si>
  <si>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</si>
  <si>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</si>
  <si>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</si>
  <si>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</si>
  <si>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</si>
  <si>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</si>
  <si>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</si>
  <si>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</si>
  <si>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</si>
  <si>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</si>
  <si>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</si>
  <si>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</si>
  <si>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</si>
  <si>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</si>
  <si>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</si>
  <si>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</si>
  <si>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</si>
  <si>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</si>
  <si>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</si>
  <si>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</si>
  <si>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</si>
  <si>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</si>
  <si>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</si>
  <si>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</si>
  <si>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</si>
  <si>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</si>
  <si>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</si>
  <si>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</si>
  <si>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</si>
  <si>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</si>
  <si>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</si>
  <si>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</si>
  <si>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</si>
  <si>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</si>
  <si>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</si>
  <si>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</si>
  <si>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</si>
  <si>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</si>
  <si>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</si>
  <si>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</si>
  <si>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</si>
  <si>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</si>
  <si>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</si>
  <si>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</si>
  <si>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</si>
  <si>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</si>
  <si>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</si>
  <si>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</si>
  <si>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</si>
  <si>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</si>
  <si>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</si>
  <si>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</si>
  <si>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</si>
  <si>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</si>
  <si>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</si>
  <si>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</si>
  <si>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</si>
  <si>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</si>
  <si>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</si>
  <si>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</si>
  <si>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</si>
  <si>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</si>
  <si>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</si>
  <si>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</si>
  <si>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</si>
  <si>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</si>
  <si>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</si>
  <si>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</si>
  <si>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</si>
  <si>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</si>
  <si>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</si>
  <si>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</si>
  <si>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</si>
  <si>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</si>
  <si>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</si>
  <si>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</si>
  <si>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</si>
  <si>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</si>
  <si>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</si>
  <si>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</si>
  <si>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</si>
  <si>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</si>
  <si>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</si>
  <si>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</si>
  <si>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</si>
  <si>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</si>
  <si>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</si>
  <si>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</si>
  <si>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</si>
  <si>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</si>
  <si>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</si>
  <si>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</si>
  <si>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</si>
  <si>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</si>
  <si>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</si>
  <si>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</si>
  <si>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</si>
  <si>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</si>
  <si>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</si>
  <si>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</si>
  <si>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</si>
  <si>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</si>
  <si>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</si>
  <si>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</si>
  <si>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</si>
  <si>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</si>
  <si>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</si>
  <si>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</si>
  <si>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</si>
  <si>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</si>
  <si>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</si>
  <si>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</si>
  <si>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</si>
  <si>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</si>
  <si>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</si>
  <si>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</si>
  <si>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</si>
  <si>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</si>
  <si>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</si>
  <si>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</si>
  <si>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</si>
  <si>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</si>
  <si>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</si>
  <si>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</si>
  <si>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</si>
  <si>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</si>
  <si>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</si>
  <si>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</si>
  <si>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</si>
  <si>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</si>
  <si>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</si>
  <si>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</si>
  <si>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</si>
  <si>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</si>
  <si>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</si>
  <si>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</si>
  <si>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</si>
  <si>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</si>
  <si>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</si>
  <si>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</si>
  <si>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</si>
  <si>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</si>
  <si>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</si>
  <si>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</si>
  <si>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</si>
  <si>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</si>
  <si>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</si>
  <si>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</si>
  <si>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</si>
  <si>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</si>
  <si>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</si>
  <si>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</si>
  <si>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</si>
  <si>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</si>
  <si>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</si>
  <si>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</si>
  <si>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</si>
  <si>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</si>
  <si>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</si>
  <si>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</si>
  <si>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</si>
  <si>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</si>
  <si>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</si>
  <si>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</si>
  <si>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</si>
  <si>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</si>
  <si>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</si>
  <si>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</si>
  <si>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</si>
  <si>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</si>
  <si>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</si>
  <si>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</si>
  <si>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</si>
  <si>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</si>
  <si>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</si>
  <si>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</si>
  <si>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</si>
  <si>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</si>
  <si>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</si>
  <si>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</si>
  <si>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</si>
  <si>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</si>
  <si>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</si>
  <si>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</si>
  <si>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</si>
  <si>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</si>
  <si>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</si>
  <si>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</si>
  <si>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</si>
  <si>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</si>
  <si>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</si>
  <si>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</si>
  <si>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</si>
  <si>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</si>
  <si>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</si>
  <si>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</si>
  <si>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</si>
  <si>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</si>
  <si>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</si>
  <si>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</si>
  <si>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</si>
  <si>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</si>
  <si>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</si>
  <si>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</si>
  <si>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</si>
  <si>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</si>
  <si>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</si>
  <si>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</si>
  <si>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</si>
  <si>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</si>
  <si>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</si>
  <si>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</si>
  <si>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</si>
  <si>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</si>
  <si>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</si>
  <si>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</si>
  <si>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</si>
  <si>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</si>
  <si>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</si>
  <si>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</si>
  <si>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</si>
  <si>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</si>
  <si>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</si>
  <si>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</si>
  <si>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</si>
  <si>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</si>
  <si>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</si>
  <si>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</si>
  <si>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</si>
  <si>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</si>
  <si>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</si>
  <si>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</si>
  <si>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</si>
  <si>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</si>
  <si>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</si>
  <si>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</si>
  <si>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</si>
  <si>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</si>
  <si>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</si>
  <si>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</si>
  <si>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</si>
  <si>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</si>
  <si>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</si>
  <si>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</si>
  <si>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</si>
  <si>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</si>
  <si>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</si>
  <si>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</si>
  <si>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</si>
  <si>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</si>
  <si>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</si>
  <si>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</si>
  <si>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</si>
  <si>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</si>
  <si>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</si>
  <si>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</si>
  <si>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</si>
  <si>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</si>
  <si>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</si>
  <si>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</si>
  <si>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</si>
  <si>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</si>
  <si>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</si>
  <si>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</si>
  <si>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</si>
  <si>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</si>
  <si>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</si>
  <si>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</si>
  <si>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</si>
  <si>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</si>
  <si>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</si>
  <si>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</si>
  <si>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</si>
  <si>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</si>
  <si>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</si>
  <si>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</si>
  <si>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</si>
  <si>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</si>
  <si>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</si>
  <si>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</si>
  <si>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</si>
  <si>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</si>
  <si>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</si>
  <si>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</si>
  <si>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</si>
  <si>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</si>
  <si>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</si>
  <si>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</si>
  <si>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</si>
  <si>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</si>
  <si>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</si>
  <si>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</si>
  <si>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</si>
  <si>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</si>
  <si>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</si>
  <si>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</si>
  <si>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</si>
  <si>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</si>
  <si>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</si>
  <si>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</si>
  <si>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</si>
  <si>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</si>
  <si>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</si>
  <si>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</si>
  <si>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</si>
  <si>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</si>
  <si>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</si>
  <si>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</si>
  <si>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</si>
  <si>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</si>
  <si>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</si>
  <si>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</si>
  <si>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</si>
  <si>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</si>
  <si>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</si>
  <si>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</si>
  <si>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</si>
  <si>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</si>
  <si>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</si>
  <si>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</si>
  <si>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</si>
  <si>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</si>
  <si>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</si>
  <si>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</si>
  <si>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</si>
  <si>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</si>
  <si>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</si>
  <si>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</si>
  <si>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</si>
  <si>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</si>
  <si>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</si>
  <si>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</si>
  <si>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</si>
  <si>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</si>
  <si>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</si>
  <si>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</si>
  <si>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</si>
  <si>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</si>
  <si>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</si>
  <si>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</si>
  <si>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</si>
  <si>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</si>
  <si>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</si>
  <si>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</si>
  <si>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</si>
  <si>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</si>
  <si>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</si>
  <si>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</si>
  <si>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</si>
  <si>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</si>
  <si>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</si>
  <si>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</si>
  <si>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</si>
  <si>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</si>
  <si>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</si>
  <si>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</si>
  <si>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</si>
  <si>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</si>
  <si>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</si>
  <si>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</si>
  <si>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</si>
  <si>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</si>
  <si>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</si>
  <si>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</si>
  <si>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</si>
  <si>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</si>
  <si>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</si>
  <si>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</si>
  <si>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</si>
  <si>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</si>
  <si>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</si>
  <si>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</si>
  <si>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</si>
  <si>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</si>
  <si>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</si>
  <si>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</si>
  <si>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</si>
  <si>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</si>
  <si>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</si>
  <si>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</si>
  <si>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</si>
  <si>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</si>
  <si>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</si>
  <si>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</si>
  <si>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</si>
  <si>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</si>
  <si>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</si>
  <si>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</si>
  <si>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</si>
  <si>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</si>
  <si>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</si>
  <si>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</si>
  <si>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</si>
  <si>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</si>
  <si>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</si>
  <si>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</si>
  <si>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</si>
  <si>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</si>
  <si>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</si>
  <si>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</si>
  <si>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</si>
  <si>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</si>
  <si>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</si>
  <si>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</si>
  <si>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</si>
  <si>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</si>
  <si>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</si>
  <si>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</si>
  <si>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</si>
  <si>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</si>
  <si>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</si>
  <si>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</si>
  <si>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</si>
  <si>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</si>
  <si>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</si>
  <si>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</si>
  <si>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</si>
  <si>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</si>
  <si>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</si>
  <si>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</si>
  <si>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</si>
  <si>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</si>
  <si>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</si>
  <si>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</si>
  <si>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</si>
  <si>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</si>
  <si>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</si>
  <si>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</si>
  <si>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</si>
  <si>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</si>
  <si>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</si>
  <si>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</si>
  <si>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</si>
  <si>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</si>
  <si>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</si>
  <si>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</si>
  <si>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</si>
  <si>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</si>
  <si>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</si>
  <si>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</si>
  <si>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</si>
  <si>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</si>
  <si>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</si>
  <si>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</si>
  <si>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</si>
  <si>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</si>
  <si>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</si>
  <si>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</si>
  <si>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</si>
  <si>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</si>
  <si>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</si>
  <si>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</si>
  <si>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</si>
  <si>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</si>
  <si>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</si>
  <si>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</si>
  <si>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</si>
  <si>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</si>
  <si>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</si>
  <si>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</si>
  <si>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</si>
  <si>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</si>
  <si>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</si>
  <si>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</si>
  <si>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</si>
  <si>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</si>
  <si>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</si>
  <si>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</si>
  <si>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</si>
  <si>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</si>
  <si>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</si>
  <si>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</si>
  <si>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</si>
  <si>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</si>
  <si>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</si>
  <si>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</si>
  <si>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</si>
  <si>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</si>
  <si>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</si>
  <si>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</si>
  <si>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</si>
  <si>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</si>
  <si>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</si>
  <si>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</si>
  <si>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</si>
  <si>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</si>
  <si>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</si>
  <si>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</si>
  <si>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</si>
  <si>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</si>
  <si>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</si>
  <si>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</si>
  <si>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</si>
  <si>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</si>
  <si>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</si>
  <si>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</si>
  <si>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</si>
  <si>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</si>
  <si>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</si>
  <si>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</si>
  <si>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</si>
  <si>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</si>
  <si>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</si>
  <si>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</si>
  <si>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</si>
  <si>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</si>
  <si>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</si>
  <si>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</si>
  <si>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</si>
  <si>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</si>
  <si>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</si>
  <si>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</si>
  <si>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</si>
  <si>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</si>
  <si>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</si>
  <si>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</si>
  <si>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</si>
  <si>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</si>
  <si>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</si>
  <si>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</si>
  <si>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</si>
  <si>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</si>
  <si>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</si>
  <si>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</si>
  <si>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</si>
  <si>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</si>
  <si>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</si>
  <si>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</si>
  <si>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</si>
  <si>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</si>
  <si>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</si>
  <si>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</si>
  <si>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</si>
  <si>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</si>
  <si>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</si>
  <si>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</si>
  <si>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</si>
  <si>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</si>
  <si>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</si>
  <si>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</si>
  <si>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</si>
  <si>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</si>
  <si>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</si>
  <si>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</si>
  <si>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</si>
  <si>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</si>
  <si>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</si>
  <si>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</si>
  <si>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</si>
  <si>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</si>
  <si>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</si>
  <si>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</si>
  <si>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</si>
  <si>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</si>
  <si>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</si>
  <si>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</si>
  <si>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</si>
  <si>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</si>
  <si>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</si>
  <si>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</si>
  <si>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</si>
  <si>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</si>
  <si>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</si>
  <si>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</si>
  <si>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</si>
  <si>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</si>
  <si>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</si>
  <si>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</si>
  <si>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</si>
  <si>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</si>
  <si>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</si>
  <si>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</si>
  <si>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</si>
  <si>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</si>
  <si>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</si>
  <si>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</si>
  <si>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</si>
  <si>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</si>
  <si>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</si>
  <si>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</si>
  <si>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</si>
  <si>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</si>
  <si>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</si>
  <si>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</si>
  <si>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</si>
  <si>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</si>
  <si>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</si>
  <si>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</si>
  <si>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</si>
  <si>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</si>
  <si>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</si>
  <si>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</si>
  <si>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</si>
  <si>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</si>
  <si>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</si>
  <si>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</si>
  <si>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</si>
  <si>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</si>
  <si>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</si>
  <si>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</si>
  <si>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</si>
  <si>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</si>
  <si>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</si>
  <si>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</si>
  <si>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</si>
  <si>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</si>
  <si>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</si>
  <si>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</si>
  <si>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</si>
  <si>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</si>
  <si>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</si>
  <si>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</si>
  <si>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</si>
  <si>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</si>
  <si>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</si>
  <si>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</si>
  <si>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</si>
  <si>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</si>
  <si>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</si>
  <si>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</si>
  <si>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</si>
  <si>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</si>
  <si>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</si>
  <si>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</si>
  <si>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</si>
  <si>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</si>
  <si>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</si>
  <si>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</si>
  <si>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</si>
  <si>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</si>
  <si>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</si>
  <si>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</si>
  <si>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</si>
  <si>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</si>
  <si>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</si>
  <si>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</si>
  <si>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</si>
  <si>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</si>
  <si>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</si>
  <si>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</si>
  <si>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</si>
  <si>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</si>
  <si>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</si>
  <si>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</si>
  <si>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</si>
  <si>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</si>
  <si>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</si>
  <si>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</si>
  <si>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</si>
  <si>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</si>
  <si>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</si>
  <si>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</si>
  <si>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</si>
  <si>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</si>
  <si>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</si>
  <si>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</si>
  <si>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</si>
  <si>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</si>
  <si>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</si>
  <si>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</si>
  <si>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</si>
  <si>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</si>
  <si>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</si>
  <si>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</si>
  <si>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</si>
  <si>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</si>
  <si>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</si>
  <si>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</si>
  <si>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</si>
  <si>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</si>
  <si>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</si>
  <si>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</si>
  <si>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</si>
  <si>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</si>
  <si>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</si>
  <si>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</si>
  <si>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</si>
  <si>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</si>
  <si>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</si>
  <si>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</si>
  <si>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</si>
  <si>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</si>
  <si>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</si>
  <si>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</si>
  <si>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</si>
  <si>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</si>
  <si>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</si>
  <si>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</si>
  <si>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</si>
  <si>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</si>
  <si>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</si>
  <si>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</si>
  <si>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</si>
  <si>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</si>
  <si>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</si>
  <si>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</si>
  <si>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</si>
  <si>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</si>
  <si>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</si>
  <si>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</si>
  <si>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</si>
  <si>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</si>
  <si>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</si>
  <si>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</si>
  <si>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</si>
  <si>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</si>
  <si>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</si>
  <si>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</si>
  <si>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</si>
  <si>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</si>
  <si>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</si>
  <si>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</si>
  <si>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</si>
  <si>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</si>
  <si>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</si>
  <si>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</si>
  <si>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</si>
  <si>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</si>
  <si>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</si>
  <si>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</si>
  <si>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</si>
  <si>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</si>
  <si>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</si>
  <si>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</si>
  <si>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</si>
  <si>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</si>
  <si>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</si>
  <si>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</si>
  <si>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</si>
  <si>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</si>
  <si>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</si>
  <si>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</si>
  <si>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</si>
  <si>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</si>
  <si>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</si>
  <si>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</si>
  <si>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</si>
  <si>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</si>
  <si>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</si>
  <si>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</si>
  <si>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</si>
  <si>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</si>
  <si>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</si>
  <si>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</si>
  <si>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</si>
  <si>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</si>
  <si>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</si>
  <si>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</si>
  <si>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</si>
  <si>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7/2014</t>
  </si>
  <si>
    <t>8/2034</t>
  </si>
  <si>
    <t>7/2018</t>
  </si>
  <si>
    <t>7/2023</t>
  </si>
  <si>
    <t>TENNIS COURTS</t>
  </si>
  <si>
    <t>6/2022</t>
  </si>
  <si>
    <t>6/2033</t>
  </si>
  <si>
    <t>8/2021</t>
  </si>
  <si>
    <t>8/2041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</si>
</sst>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38" fontId="7" fillId="0" borderId="0" xfId="0" quotePrefix="1" applyNumberFormat="1" applyFont="1" applyAlignment="1" applyProtection="1">
      <alignment horizontal="center"/>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1340</v>
      </c>
      <c r="B2" s="126">
        <f>INDEX('School Tables'!$AH$3:$AH$208,MATCH('DOE25'!A2,'School Tables'!$AJ$3:$AJ$208,0))</f>
        <v>425</v>
      </c>
      <c r="C2" s="126">
        <f>INDEX('School Tables'!$AI$3:$AI$208,MATCH('DOE25'!A2,'School Tables'!$AJ$3:$AJ$208,0))</f>
        <v>425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3918989.28</v>
      </c>
      <c r="G9" s="18">
        <v>19535.560000000001</v>
      </c>
      <c r="H9" s="18">
        <v>170103.7</v>
      </c>
      <c r="I9" s="18">
        <v>24985568.91</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400594</v>
      </c>
      <c r="G12" s="18"/>
      <c r="H12" s="18"/>
      <c r="I12" s="18"/>
      <c r="J12" s="67">
        <f>SUM(I442)</f>
        <v>644356.88</v>
      </c>
      <c r="K12" s="24" t="s">
        <v>288</v>
      </c>
      <c r="L12" s="24" t="s">
        <v>288</v>
      </c>
      <c r="M12" s="8"/>
      <c r="N12" s="265"/>
    </row>
    <row r="13" spans="1:14" s="3" customFormat="1" ht="12.2" customHeight="1" x14ac:dyDescent="0.15">
      <c r="A13" s="1" t="s">
        <v>604</v>
      </c>
      <c r="B13" s="2" t="s">
        <v>289</v>
      </c>
      <c r="C13" s="6">
        <v>5</v>
      </c>
      <c r="D13" s="2" t="s">
        <v>428</v>
      </c>
      <c r="E13" s="6">
        <v>140</v>
      </c>
      <c r="F13" s="18">
        <v>9626.5400000000009</v>
      </c>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8003.37</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33227.53</v>
      </c>
      <c r="G17" s="18">
        <v>250902.75</v>
      </c>
      <c r="H17" s="18">
        <v>400594</v>
      </c>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v>631.44000000000005</v>
      </c>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4370440.72</v>
      </c>
      <c r="G19" s="41">
        <f>SUM(G9:G18)</f>
        <v>271069.75</v>
      </c>
      <c r="H19" s="41">
        <f>SUM(H9:H18)</f>
        <v>570697.69999999995</v>
      </c>
      <c r="I19" s="41">
        <f>SUM(I9:I18)</f>
        <v>24985568.91</v>
      </c>
      <c r="J19" s="41">
        <f>SUM(J9:J18)</f>
        <v>644356.88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400594</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3196.42</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v>724373.32</v>
      </c>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59683.75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624512.30000000005</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55263.519999999997</v>
      </c>
      <c r="H30" s="18">
        <v>170103.7</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687392.47000000009</v>
      </c>
      <c r="G32" s="41">
        <f>SUM(G22:G31)</f>
        <v>55263.519999999997</v>
      </c>
      <c r="H32" s="41">
        <f>SUM(H22:H31)</f>
        <v>570697.69999999995</v>
      </c>
      <c r="I32" s="41">
        <f>SUM(I22:I31)</f>
        <v>724373.32</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33227.53</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215806.23</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24261195.59</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644356.88</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v>341809.85</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3308010.87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3683048.25</v>
      </c>
      <c r="G51" s="41">
        <f>SUM(G35:G50)</f>
        <v>215806.23</v>
      </c>
      <c r="H51" s="41">
        <f>SUM(H35:H50)</f>
        <v>0</v>
      </c>
      <c r="I51" s="41">
        <f>SUM(I35:I50)</f>
        <v>24261195.59</v>
      </c>
      <c r="J51" s="41">
        <f>SUM(J35:J50)</f>
        <v>644356.88</v>
      </c>
      <c r="K51" s="45" t="s">
        <v>288</v>
      </c>
      <c r="L51" s="45" t="s">
        <v>288</v>
      </c>
      <c r="N51" s="263"/>
    </row>
    <row r="52" spans="1:14" s="3" customFormat="1" ht="12.2" customHeight="1" thickTop="1" x14ac:dyDescent="0.15">
      <c r="A52" s="38" t="s">
        <v>455</v>
      </c>
      <c r="B52" s="39" t="s">
        <v>289</v>
      </c>
      <c r="C52" s="6">
        <v>37</v>
      </c>
      <c r="D52" s="39" t="s">
        <v>653</v>
      </c>
      <c r="E52" s="39"/>
      <c r="F52" s="41">
        <f>F51+F32</f>
        <v>4370440.72</v>
      </c>
      <c r="G52" s="41">
        <f>G51+G32</f>
        <v>271069.75</v>
      </c>
      <c r="H52" s="41">
        <f>H51+H32</f>
        <v>570697.69999999995</v>
      </c>
      <c r="I52" s="41">
        <f>I51+I32</f>
        <v>24985568.91</v>
      </c>
      <c r="J52" s="41">
        <f>J51+J32</f>
        <v>644356.88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23666078</v>
      </c>
      <c r="G57" s="18"/>
      <c r="H57" s="18"/>
      <c r="I57" s="18">
        <v>0</v>
      </c>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23666078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54555</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29008.55</v>
      </c>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83563.55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748.48</v>
      </c>
      <c r="G96" s="18"/>
      <c r="H96" s="18"/>
      <c r="I96" s="18"/>
      <c r="J96" s="18">
        <v>4123.92</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120894.16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16726.37</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671.22</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610241.42000000004</v>
      </c>
      <c r="G110" s="18"/>
      <c r="H110" s="18"/>
      <c r="I110" s="18"/>
      <c r="J110" s="18">
        <v>-68085.820000000007</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627716.27</v>
      </c>
      <c r="G111" s="41">
        <f>SUM(G96:G110)</f>
        <v>120894.16</v>
      </c>
      <c r="H111" s="41">
        <f>SUM(H96:H110)</f>
        <v>671.22</v>
      </c>
      <c r="I111" s="41">
        <f>SUM(I96:I110)</f>
        <v>0</v>
      </c>
      <c r="J111" s="41">
        <f>SUM(J96:J110)</f>
        <v>-63961.900000000009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24377357.82</v>
      </c>
      <c r="G112" s="41">
        <f>G60+G111</f>
        <v>120894.16</v>
      </c>
      <c r="H112" s="41">
        <f>H60+H79+H94+H111</f>
        <v>671.22</v>
      </c>
      <c r="I112" s="41">
        <f>I60+I111</f>
        <v>0</v>
      </c>
      <c r="J112" s="41">
        <f>J60+J111</f>
        <v>-63961.900000000009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3856709.3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3624639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32414.98</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7513763.2800000003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183869.58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10166.4</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22702.15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194035.97999999998</v>
      </c>
      <c r="G136" s="41">
        <f>SUM(G123:G135)</f>
        <v>22702.15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7707799.2599999998</v>
      </c>
      <c r="G140" s="41">
        <f>G121+SUM(G136:G137)</f>
        <v>22702.15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46076.47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131956.01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903043.5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398596.92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454.06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499871.7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454.06</v>
      </c>
      <c r="G163" s="41">
        <f>SUM(G150:G162)</f>
        <v>903043.5</v>
      </c>
      <c r="H163" s="41">
        <f>SUM(H150:H162)</f>
        <v>1076501.1000000001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454.06</v>
      </c>
      <c r="G170" s="41">
        <f>G147+G163+SUM(G164:G169)</f>
        <v>903043.5</v>
      </c>
      <c r="H170" s="41">
        <f>H147+H163+SUM(H164:H169)</f>
        <v>1076501.1000000001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v>27517975</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v>4462025</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v>21641.279999999999</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32001641.280000001</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32001641.280000001</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32085611.139999997</v>
      </c>
      <c r="G194" s="47">
        <f>G112+G140+G170+G193</f>
        <v>1046639.81</v>
      </c>
      <c r="H194" s="47">
        <f>H112+H140+H170+H193</f>
        <v>1077172.32</v>
      </c>
      <c r="I194" s="47">
        <f>I112+I140+I170+I193</f>
        <v>32001641.280000001</v>
      </c>
      <c r="J194" s="47">
        <f>J112+J140+J193</f>
        <v>-63961.900000000009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4136045.7096000002</v>
      </c>
      <c r="G198" s="18">
        <v>2387776.409</v>
      </c>
      <c r="H198" s="18">
        <v>51811.6</v>
      </c>
      <c r="I198" s="18">
        <v>139060.61799999999</v>
      </c>
      <c r="J198" s="18">
        <v>99136.36</v>
      </c>
      <c r="K198" s="18">
        <v>8857.52</v>
      </c>
      <c r="L198" s="19">
        <f>SUM(F198:K198)</f>
        <v>6822688.216599999</v>
      </c>
      <c r="M198" s="8"/>
      <c r="N198" s="265"/>
    </row>
    <row r="199" spans="1:14" s="3" customFormat="1" ht="12.2" customHeight="1" x14ac:dyDescent="0.15">
      <c r="A199" s="1" t="s">
        <v>439</v>
      </c>
      <c r="B199" s="2" t="s">
        <v>341</v>
      </c>
      <c r="C199" s="2" t="s">
        <v>291</v>
      </c>
      <c r="D199" s="2" t="s">
        <v>431</v>
      </c>
      <c r="E199" s="6">
        <v>1200</v>
      </c>
      <c r="F199" s="18">
        <v>1926913.9331999999</v>
      </c>
      <c r="G199" s="18">
        <v>756008.63959999999</v>
      </c>
      <c r="H199" s="18">
        <v>817667.16119999997</v>
      </c>
      <c r="I199" s="18">
        <v>21799.2804</v>
      </c>
      <c r="J199" s="18">
        <v>9485.1448</v>
      </c>
      <c r="K199" s="18">
        <v>2370.0320000000002</v>
      </c>
      <c r="L199" s="19">
        <f>SUM(F199:K199)</f>
        <v>3534244.1911999998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79936.639999999999</v>
      </c>
      <c r="G201" s="18">
        <v>20010.36</v>
      </c>
      <c r="H201" s="18">
        <v>5900</v>
      </c>
      <c r="I201" s="18">
        <v>7144.37</v>
      </c>
      <c r="J201" s="18">
        <v>0</v>
      </c>
      <c r="K201" s="18">
        <v>2680.11</v>
      </c>
      <c r="L201" s="19">
        <f>SUM(F201:K201)</f>
        <v>115671.48</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833799.05340000009</v>
      </c>
      <c r="G203" s="18">
        <v>533815.23439999996</v>
      </c>
      <c r="H203" s="18">
        <v>441144.04179999995</v>
      </c>
      <c r="I203" s="18">
        <v>13645.138800000001</v>
      </c>
      <c r="J203" s="18">
        <v>3041.98</v>
      </c>
      <c r="K203" s="18">
        <v>858</v>
      </c>
      <c r="L203" s="19">
        <f t="shared" ref="L203:L209" si="0">SUM(F203:K203)</f>
        <v>1826303.4484000001</v>
      </c>
      <c r="M203" s="8"/>
      <c r="N203" s="265"/>
    </row>
    <row r="204" spans="1:14" s="3" customFormat="1" ht="12.2" customHeight="1" x14ac:dyDescent="0.15">
      <c r="A204" s="1" t="s">
        <v>443</v>
      </c>
      <c r="B204" s="2" t="s">
        <v>341</v>
      </c>
      <c r="C204" s="2" t="s">
        <v>295</v>
      </c>
      <c r="D204" s="2" t="s">
        <v>431</v>
      </c>
      <c r="E204" s="6">
        <v>2200</v>
      </c>
      <c r="F204" s="18">
        <v>288534.02999999997</v>
      </c>
      <c r="G204" s="18">
        <v>188327.34599999999</v>
      </c>
      <c r="H204" s="18">
        <v>95674.466000000015</v>
      </c>
      <c r="I204" s="18">
        <v>29057.648000000001</v>
      </c>
      <c r="J204" s="18">
        <v>91714.61</v>
      </c>
      <c r="K204" s="18">
        <v>4811.2335000000003</v>
      </c>
      <c r="L204" s="19">
        <f t="shared" si="0"/>
        <v>698119.33349999995</v>
      </c>
      <c r="M204" s="8"/>
      <c r="N204" s="265"/>
    </row>
    <row r="205" spans="1:14" s="3" customFormat="1" ht="12.2" customHeight="1" x14ac:dyDescent="0.15">
      <c r="A205" s="1" t="s">
        <v>444</v>
      </c>
      <c r="B205" s="2" t="s">
        <v>341</v>
      </c>
      <c r="C205" s="2" t="s">
        <v>296</v>
      </c>
      <c r="D205" s="2" t="s">
        <v>431</v>
      </c>
      <c r="E205" s="6">
        <v>2300</v>
      </c>
      <c r="F205" s="18">
        <v>319727.54379999998</v>
      </c>
      <c r="G205" s="18">
        <v>154320.3714</v>
      </c>
      <c r="H205" s="18">
        <v>51438.984599999996</v>
      </c>
      <c r="I205" s="18">
        <v>2670.1736000000001</v>
      </c>
      <c r="J205" s="18">
        <v>-83.813399999999987</v>
      </c>
      <c r="K205" s="18">
        <v>15573.054399999999</v>
      </c>
      <c r="L205" s="19">
        <f t="shared" si="0"/>
        <v>543646.31440000003</v>
      </c>
      <c r="M205" s="8"/>
      <c r="N205" s="265"/>
    </row>
    <row r="206" spans="1:14" s="3" customFormat="1" ht="12.2" customHeight="1" x14ac:dyDescent="0.15">
      <c r="A206" s="1" t="s">
        <v>445</v>
      </c>
      <c r="B206" s="2" t="s">
        <v>341</v>
      </c>
      <c r="C206" s="2" t="s">
        <v>297</v>
      </c>
      <c r="D206" s="2" t="s">
        <v>431</v>
      </c>
      <c r="E206" s="6">
        <v>2400</v>
      </c>
      <c r="F206" s="18">
        <v>679138.47</v>
      </c>
      <c r="G206" s="18">
        <v>380253.18</v>
      </c>
      <c r="H206" s="18">
        <v>61659.08</v>
      </c>
      <c r="I206" s="18">
        <v>5139.1000000000004</v>
      </c>
      <c r="J206" s="18">
        <v>0</v>
      </c>
      <c r="K206" s="18">
        <v>6355</v>
      </c>
      <c r="L206" s="19">
        <f t="shared" si="0"/>
        <v>1132544.83</v>
      </c>
      <c r="M206" s="8"/>
      <c r="N206" s="265"/>
    </row>
    <row r="207" spans="1:14" s="3" customFormat="1" ht="12.2" customHeight="1" x14ac:dyDescent="0.15">
      <c r="A207" s="1" t="s">
        <v>446</v>
      </c>
      <c r="B207" s="2" t="s">
        <v>341</v>
      </c>
      <c r="C207" s="2" t="s">
        <v>298</v>
      </c>
      <c r="D207" s="2" t="s">
        <v>431</v>
      </c>
      <c r="E207" s="6">
        <v>2500</v>
      </c>
      <c r="F207" s="18">
        <v>153172.15549999999</v>
      </c>
      <c r="G207" s="18">
        <v>82676.743499999997</v>
      </c>
      <c r="H207" s="18">
        <v>38151.113000000005</v>
      </c>
      <c r="I207" s="18">
        <v>6509.2885000000006</v>
      </c>
      <c r="J207" s="18">
        <v>464.19099999999997</v>
      </c>
      <c r="K207" s="18">
        <v>3162.0159999999996</v>
      </c>
      <c r="L207" s="19">
        <f t="shared" si="0"/>
        <v>284135.50750000001</v>
      </c>
      <c r="M207" s="8"/>
      <c r="N207" s="265"/>
    </row>
    <row r="208" spans="1:14" s="3" customFormat="1" ht="12.2" customHeight="1" x14ac:dyDescent="0.15">
      <c r="A208" s="1" t="s">
        <v>447</v>
      </c>
      <c r="B208" s="2" t="s">
        <v>341</v>
      </c>
      <c r="C208" s="2" t="s">
        <v>299</v>
      </c>
      <c r="D208" s="2" t="s">
        <v>431</v>
      </c>
      <c r="E208" s="6">
        <v>2600</v>
      </c>
      <c r="F208" s="18">
        <v>451492.85599999997</v>
      </c>
      <c r="G208" s="18">
        <v>216490.41399999996</v>
      </c>
      <c r="H208" s="18">
        <v>481634.00599999999</v>
      </c>
      <c r="I208" s="18">
        <v>284396.74199999997</v>
      </c>
      <c r="J208" s="18">
        <v>1822.12</v>
      </c>
      <c r="K208" s="18">
        <v>31.8</v>
      </c>
      <c r="L208" s="19">
        <f t="shared" si="0"/>
        <v>1435867.9379999998</v>
      </c>
      <c r="M208" s="8"/>
      <c r="N208" s="265"/>
    </row>
    <row r="209" spans="1:14" s="3" customFormat="1" ht="12.2" customHeight="1" x14ac:dyDescent="0.15">
      <c r="A209" s="1" t="s">
        <v>448</v>
      </c>
      <c r="B209" s="2" t="s">
        <v>341</v>
      </c>
      <c r="C209" s="2" t="s">
        <v>300</v>
      </c>
      <c r="D209" s="2" t="s">
        <v>431</v>
      </c>
      <c r="E209" s="6">
        <v>2700</v>
      </c>
      <c r="F209" s="18">
        <v>0</v>
      </c>
      <c r="G209" s="18">
        <v>0</v>
      </c>
      <c r="H209" s="18">
        <v>935744.62</v>
      </c>
      <c r="I209" s="18">
        <v>0</v>
      </c>
      <c r="J209" s="18">
        <v>0</v>
      </c>
      <c r="K209" s="18">
        <v>0</v>
      </c>
      <c r="L209" s="19">
        <f t="shared" si="0"/>
        <v>935744.62</v>
      </c>
      <c r="M209" s="8"/>
      <c r="N209" s="265"/>
    </row>
    <row r="210" spans="1:14" s="3" customFormat="1" ht="12.2" customHeight="1" x14ac:dyDescent="0.15">
      <c r="A210" s="1" t="s">
        <v>449</v>
      </c>
      <c r="B210" s="2" t="s">
        <v>341</v>
      </c>
      <c r="C210" s="2" t="s">
        <v>343</v>
      </c>
      <c r="D210" s="2" t="s">
        <v>431</v>
      </c>
      <c r="E210" s="6">
        <v>2800</v>
      </c>
      <c r="F210" s="18">
        <v>315496.77060000005</v>
      </c>
      <c r="G210" s="18">
        <v>244914.68099999998</v>
      </c>
      <c r="H210" s="18">
        <v>89854.901400000002</v>
      </c>
      <c r="I210" s="18">
        <v>63808.073999999993</v>
      </c>
      <c r="J210" s="18">
        <v>87274.954800000007</v>
      </c>
      <c r="K210" s="18">
        <v>905.38</v>
      </c>
      <c r="L210" s="19">
        <f>SUM(F210:K210)</f>
        <v>802254.76180000009</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9184257.1621000003</v>
      </c>
      <c r="G212" s="41">
        <f t="shared" si="1"/>
        <v>4964593.378899999</v>
      </c>
      <c r="H212" s="41">
        <f t="shared" si="1"/>
        <v>3070679.9739999999</v>
      </c>
      <c r="I212" s="41">
        <f t="shared" si="1"/>
        <v>573230.43329999992</v>
      </c>
      <c r="J212" s="41">
        <f t="shared" si="1"/>
        <v>292855.54719999997</v>
      </c>
      <c r="K212" s="41">
        <f t="shared" si="1"/>
        <v>45604.145899999996</v>
      </c>
      <c r="L212" s="41">
        <f t="shared" si="1"/>
        <v>18131220.641399998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5"/>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2746769.32</v>
      </c>
      <c r="G234" s="18">
        <v>1569335.7</v>
      </c>
      <c r="H234" s="18">
        <v>14064.62</v>
      </c>
      <c r="I234" s="18">
        <v>117416.05</v>
      </c>
      <c r="J234" s="18">
        <v>83835.070000000007</v>
      </c>
      <c r="K234" s="18">
        <v>0</v>
      </c>
      <c r="L234" s="19">
        <f>SUM(F234:K234)</f>
        <v>4531420.76</v>
      </c>
      <c r="M234" s="8"/>
      <c r="N234" s="265"/>
    </row>
    <row r="235" spans="1:14" s="3" customFormat="1" ht="12.2" customHeight="1" x14ac:dyDescent="0.15">
      <c r="A235" s="1" t="s">
        <v>439</v>
      </c>
      <c r="B235" s="2" t="s">
        <v>350</v>
      </c>
      <c r="C235" s="2" t="s">
        <v>291</v>
      </c>
      <c r="D235" s="2" t="s">
        <v>431</v>
      </c>
      <c r="E235" s="6">
        <v>1200</v>
      </c>
      <c r="F235" s="18">
        <v>784629.07</v>
      </c>
      <c r="G235" s="18">
        <v>326283.46999999997</v>
      </c>
      <c r="H235" s="18">
        <v>383988.84</v>
      </c>
      <c r="I235" s="18">
        <v>10895.94</v>
      </c>
      <c r="J235" s="18">
        <v>1961.75</v>
      </c>
      <c r="K235" s="18">
        <v>973.36</v>
      </c>
      <c r="L235" s="19">
        <f>SUM(F235:K235)</f>
        <v>1508732.4300000002</v>
      </c>
      <c r="M235" s="8"/>
      <c r="N235" s="265"/>
    </row>
    <row r="236" spans="1:14" s="3" customFormat="1" ht="12.2" customHeight="1" x14ac:dyDescent="0.15">
      <c r="A236" s="1" t="s">
        <v>440</v>
      </c>
      <c r="B236" s="2" t="s">
        <v>350</v>
      </c>
      <c r="C236" s="2" t="s">
        <v>292</v>
      </c>
      <c r="D236" s="2" t="s">
        <v>431</v>
      </c>
      <c r="E236" s="6">
        <v>1300</v>
      </c>
      <c r="F236" s="18">
        <v>0</v>
      </c>
      <c r="G236" s="18">
        <v>0</v>
      </c>
      <c r="H236" s="18">
        <v>103723.64</v>
      </c>
      <c r="I236" s="18">
        <v>0</v>
      </c>
      <c r="J236" s="18">
        <v>0</v>
      </c>
      <c r="K236" s="18">
        <v>0</v>
      </c>
      <c r="L236" s="19">
        <f>SUM(F236:K236)</f>
        <v>103723.64</v>
      </c>
      <c r="M236" s="8"/>
      <c r="N236" s="265"/>
    </row>
    <row r="237" spans="1:14" s="3" customFormat="1" ht="12.2" customHeight="1" x14ac:dyDescent="0.15">
      <c r="A237" s="1" t="s">
        <v>441</v>
      </c>
      <c r="B237" s="2" t="s">
        <v>350</v>
      </c>
      <c r="C237" s="2" t="s">
        <v>293</v>
      </c>
      <c r="D237" s="2" t="s">
        <v>431</v>
      </c>
      <c r="E237" s="6">
        <v>1400</v>
      </c>
      <c r="F237" s="18">
        <v>281325.2</v>
      </c>
      <c r="G237" s="18">
        <v>115402.77</v>
      </c>
      <c r="H237" s="18">
        <v>72108.34</v>
      </c>
      <c r="I237" s="18">
        <v>28109.39</v>
      </c>
      <c r="J237" s="18">
        <v>38663.910000000003</v>
      </c>
      <c r="K237" s="18">
        <v>25770.51</v>
      </c>
      <c r="L237" s="19">
        <f>SUM(F237:K237)</f>
        <v>561380.12000000011</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559113.39659999998</v>
      </c>
      <c r="G239" s="18">
        <v>366852.87559999997</v>
      </c>
      <c r="H239" s="18">
        <v>227292.14820000003</v>
      </c>
      <c r="I239" s="18">
        <v>16377.4812</v>
      </c>
      <c r="J239" s="18">
        <v>1281.26</v>
      </c>
      <c r="K239" s="18">
        <v>2542.83</v>
      </c>
      <c r="L239" s="19">
        <f t="shared" ref="L239:L245" si="4">SUM(F239:K239)</f>
        <v>1173459.9916000001</v>
      </c>
      <c r="M239" s="8"/>
      <c r="N239" s="265"/>
    </row>
    <row r="240" spans="1:14" s="3" customFormat="1" ht="12.2" customHeight="1" x14ac:dyDescent="0.15">
      <c r="A240" s="1" t="s">
        <v>443</v>
      </c>
      <c r="B240" s="2" t="s">
        <v>350</v>
      </c>
      <c r="C240" s="2" t="s">
        <v>295</v>
      </c>
      <c r="D240" s="2" t="s">
        <v>431</v>
      </c>
      <c r="E240" s="6">
        <v>2200</v>
      </c>
      <c r="F240" s="18">
        <v>133940.07999999999</v>
      </c>
      <c r="G240" s="18">
        <v>88341.253999999986</v>
      </c>
      <c r="H240" s="18">
        <v>52426.174000000014</v>
      </c>
      <c r="I240" s="18">
        <v>39804.502000000008</v>
      </c>
      <c r="J240" s="18">
        <v>12740.559999999998</v>
      </c>
      <c r="K240" s="18">
        <v>1849.3964999999998</v>
      </c>
      <c r="L240" s="19">
        <f t="shared" si="4"/>
        <v>329101.96649999998</v>
      </c>
      <c r="M240" s="8"/>
      <c r="N240" s="265"/>
    </row>
    <row r="241" spans="1:14" s="3" customFormat="1" ht="12.2" customHeight="1" x14ac:dyDescent="0.15">
      <c r="A241" s="1" t="s">
        <v>444</v>
      </c>
      <c r="B241" s="2" t="s">
        <v>350</v>
      </c>
      <c r="C241" s="2" t="s">
        <v>296</v>
      </c>
      <c r="D241" s="2" t="s">
        <v>431</v>
      </c>
      <c r="E241" s="6">
        <v>2300</v>
      </c>
      <c r="F241" s="18">
        <v>157889.36620000005</v>
      </c>
      <c r="G241" s="18">
        <v>76056.338600000017</v>
      </c>
      <c r="H241" s="18">
        <v>25726.185400000006</v>
      </c>
      <c r="I241" s="18">
        <v>1339.8964000000001</v>
      </c>
      <c r="J241" s="18">
        <v>-43.176600000000001</v>
      </c>
      <c r="K241" s="18">
        <v>7570.49</v>
      </c>
      <c r="L241" s="19">
        <f t="shared" si="4"/>
        <v>268539.10000000009</v>
      </c>
      <c r="M241" s="8"/>
      <c r="N241" s="265"/>
    </row>
    <row r="242" spans="1:14" s="3" customFormat="1" ht="12.2" customHeight="1" x14ac:dyDescent="0.15">
      <c r="A242" s="1" t="s">
        <v>445</v>
      </c>
      <c r="B242" s="2" t="s">
        <v>350</v>
      </c>
      <c r="C242" s="2" t="s">
        <v>297</v>
      </c>
      <c r="D242" s="2" t="s">
        <v>431</v>
      </c>
      <c r="E242" s="6">
        <v>2400</v>
      </c>
      <c r="F242" s="18">
        <v>312122.51</v>
      </c>
      <c r="G242" s="18">
        <v>184001.33</v>
      </c>
      <c r="H242" s="18">
        <v>18274.669999999998</v>
      </c>
      <c r="I242" s="18">
        <v>1361.71</v>
      </c>
      <c r="J242" s="18">
        <v>2056.4299999999998</v>
      </c>
      <c r="K242" s="18">
        <v>18488.580000000002</v>
      </c>
      <c r="L242" s="19">
        <f t="shared" si="4"/>
        <v>536305.23</v>
      </c>
      <c r="M242" s="8"/>
      <c r="N242" s="265"/>
    </row>
    <row r="243" spans="1:14" s="3" customFormat="1" ht="12.2" customHeight="1" x14ac:dyDescent="0.15">
      <c r="A243" s="1" t="s">
        <v>446</v>
      </c>
      <c r="B243" s="2" t="s">
        <v>350</v>
      </c>
      <c r="C243" s="2" t="s">
        <v>298</v>
      </c>
      <c r="D243" s="2" t="s">
        <v>431</v>
      </c>
      <c r="E243" s="6">
        <v>2500</v>
      </c>
      <c r="F243" s="18">
        <v>82477.314500000008</v>
      </c>
      <c r="G243" s="18">
        <v>44518.246500000008</v>
      </c>
      <c r="H243" s="18">
        <v>20542.906999999999</v>
      </c>
      <c r="I243" s="18">
        <v>3505.0015000000003</v>
      </c>
      <c r="J243" s="18">
        <v>249.94900000000001</v>
      </c>
      <c r="K243" s="18">
        <v>1702.65</v>
      </c>
      <c r="L243" s="19">
        <f t="shared" si="4"/>
        <v>152996.06850000002</v>
      </c>
      <c r="M243" s="8"/>
      <c r="N243" s="265"/>
    </row>
    <row r="244" spans="1:14" s="3" customFormat="1" ht="12.2" customHeight="1" x14ac:dyDescent="0.15">
      <c r="A244" s="1" t="s">
        <v>447</v>
      </c>
      <c r="B244" s="2" t="s">
        <v>350</v>
      </c>
      <c r="C244" s="2" t="s">
        <v>299</v>
      </c>
      <c r="D244" s="2" t="s">
        <v>431</v>
      </c>
      <c r="E244" s="6">
        <v>2600</v>
      </c>
      <c r="F244" s="18">
        <v>259282.97399999999</v>
      </c>
      <c r="G244" s="18">
        <v>142690.37599999999</v>
      </c>
      <c r="H244" s="18">
        <v>245576.81400000001</v>
      </c>
      <c r="I244" s="18">
        <v>327348.71799999999</v>
      </c>
      <c r="J244" s="18">
        <v>2454.92</v>
      </c>
      <c r="K244" s="18">
        <v>21.2</v>
      </c>
      <c r="L244" s="19">
        <f t="shared" si="4"/>
        <v>977375.00199999998</v>
      </c>
      <c r="M244" s="8"/>
      <c r="N244" s="265"/>
    </row>
    <row r="245" spans="1:14" s="3" customFormat="1" ht="12.2" customHeight="1" x14ac:dyDescent="0.15">
      <c r="A245" s="1" t="s">
        <v>448</v>
      </c>
      <c r="B245" s="2" t="s">
        <v>350</v>
      </c>
      <c r="C245" s="2" t="s">
        <v>300</v>
      </c>
      <c r="D245" s="2" t="s">
        <v>431</v>
      </c>
      <c r="E245" s="6">
        <v>2700</v>
      </c>
      <c r="F245" s="18">
        <v>0</v>
      </c>
      <c r="G245" s="18">
        <v>0</v>
      </c>
      <c r="H245" s="18">
        <v>796774.07</v>
      </c>
      <c r="I245" s="18">
        <v>0</v>
      </c>
      <c r="J245" s="18">
        <v>0</v>
      </c>
      <c r="K245" s="18">
        <v>0</v>
      </c>
      <c r="L245" s="19">
        <f t="shared" si="4"/>
        <v>796774.07</v>
      </c>
      <c r="M245" s="8"/>
      <c r="N245" s="265"/>
    </row>
    <row r="246" spans="1:14" s="3" customFormat="1" ht="12.2" customHeight="1" x14ac:dyDescent="0.15">
      <c r="A246" s="1" t="s">
        <v>449</v>
      </c>
      <c r="B246" s="2" t="s">
        <v>350</v>
      </c>
      <c r="C246" s="2" t="s">
        <v>343</v>
      </c>
      <c r="D246" s="2" t="s">
        <v>431</v>
      </c>
      <c r="E246" s="6">
        <v>2800</v>
      </c>
      <c r="F246" s="18">
        <v>162528.63939999999</v>
      </c>
      <c r="G246" s="18">
        <v>126168.16899999997</v>
      </c>
      <c r="H246" s="18">
        <v>46288.888599999998</v>
      </c>
      <c r="I246" s="18">
        <v>32870.825999999994</v>
      </c>
      <c r="J246" s="18">
        <v>44959.825199999992</v>
      </c>
      <c r="K246" s="18">
        <v>315.04000000000002</v>
      </c>
      <c r="L246" s="19">
        <f>SUM(F246:K246)</f>
        <v>413131.38819999999</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5480077.8706999999</v>
      </c>
      <c r="G248" s="41">
        <f t="shared" si="5"/>
        <v>3039650.5296999998</v>
      </c>
      <c r="H248" s="41">
        <f t="shared" si="5"/>
        <v>2006787.2972000001</v>
      </c>
      <c r="I248" s="41">
        <f t="shared" si="5"/>
        <v>579029.51510000008</v>
      </c>
      <c r="J248" s="41">
        <f t="shared" si="5"/>
        <v>188160.49759999997</v>
      </c>
      <c r="K248" s="41">
        <f t="shared" si="5"/>
        <v>59234.056499999999</v>
      </c>
      <c r="L248" s="41">
        <f t="shared" si="5"/>
        <v>11352939.766799999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300095.24</v>
      </c>
      <c r="I256" s="18"/>
      <c r="J256" s="18"/>
      <c r="K256" s="18"/>
      <c r="L256" s="19">
        <f t="shared" si="6"/>
        <v>300095.24</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300095.24</v>
      </c>
      <c r="I257" s="41">
        <f t="shared" si="7"/>
        <v>0</v>
      </c>
      <c r="J257" s="41">
        <f t="shared" si="7"/>
        <v>0</v>
      </c>
      <c r="K257" s="41">
        <f t="shared" si="7"/>
        <v>0</v>
      </c>
      <c r="L257" s="41">
        <f>SUM(F257:K257)</f>
        <v>300095.24</v>
      </c>
      <c r="M257" s="8"/>
      <c r="N257" s="265"/>
    </row>
    <row r="258" spans="1:14" s="3" customFormat="1" ht="12.2" customHeight="1" thickTop="1" x14ac:dyDescent="0.15">
      <c r="A258" s="38" t="s">
        <v>462</v>
      </c>
      <c r="B258" s="40">
        <v>10</v>
      </c>
      <c r="C258" s="40">
        <v>8</v>
      </c>
      <c r="D258" s="39" t="s">
        <v>431</v>
      </c>
      <c r="E258" s="40"/>
      <c r="F258" s="41">
        <f t="shared" ref="F258:L258" si="8">F212+F230+F248+F257</f>
        <v>14664335.0328</v>
      </c>
      <c r="G258" s="41">
        <f t="shared" si="8"/>
        <v>8004243.9085999988</v>
      </c>
      <c r="H258" s="41">
        <f t="shared" si="8"/>
        <v>5377562.5112000005</v>
      </c>
      <c r="I258" s="41">
        <f t="shared" si="8"/>
        <v>1152259.9484000001</v>
      </c>
      <c r="J258" s="41">
        <f t="shared" si="8"/>
        <v>481016.04479999992</v>
      </c>
      <c r="K258" s="41">
        <f t="shared" si="8"/>
        <v>104838.20239999999</v>
      </c>
      <c r="L258" s="41">
        <f t="shared" si="8"/>
        <v>29784255.648199994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1040000</v>
      </c>
      <c r="L261" s="19">
        <f>SUM(F261:K261)</f>
        <v>1040000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1158906.8799999999</v>
      </c>
      <c r="L262" s="19">
        <f>SUM(F262:K262)</f>
        <v>1158906.8799999999</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2198906.8799999999</v>
      </c>
      <c r="L271" s="41">
        <f t="shared" si="9"/>
        <v>2198906.8799999999</v>
      </c>
      <c r="M271" s="8"/>
      <c r="N271" s="265"/>
    </row>
    <row r="272" spans="1:14" s="34" customFormat="1" ht="12.2" customHeight="1" thickTop="1" x14ac:dyDescent="0.2">
      <c r="A272" s="43" t="s">
        <v>464</v>
      </c>
      <c r="B272" s="40">
        <v>10</v>
      </c>
      <c r="C272" s="40">
        <v>18</v>
      </c>
      <c r="D272" s="39" t="s">
        <v>431</v>
      </c>
      <c r="E272" s="40"/>
      <c r="F272" s="42">
        <f t="shared" ref="F272:L272" si="11">F258+F271</f>
        <v>14664335.0328</v>
      </c>
      <c r="G272" s="42">
        <f t="shared" si="11"/>
        <v>8004243.9085999988</v>
      </c>
      <c r="H272" s="42">
        <f t="shared" si="11"/>
        <v>5377562.5112000005</v>
      </c>
      <c r="I272" s="42">
        <f t="shared" si="11"/>
        <v>1152259.9484000001</v>
      </c>
      <c r="J272" s="42">
        <f t="shared" si="11"/>
        <v>481016.04479999992</v>
      </c>
      <c r="K272" s="42">
        <f t="shared" si="11"/>
        <v>2303745.0823999997</v>
      </c>
      <c r="L272" s="42">
        <f t="shared" si="11"/>
        <v>31983162.528199993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64287.179999999993</v>
      </c>
      <c r="G277" s="18">
        <v>11634.768</v>
      </c>
      <c r="H277" s="18">
        <v>396</v>
      </c>
      <c r="I277" s="18">
        <v>8873.4147999999986</v>
      </c>
      <c r="J277" s="18">
        <v>0</v>
      </c>
      <c r="K277" s="18">
        <v>0</v>
      </c>
      <c r="L277" s="19">
        <f>SUM(F277:K277)</f>
        <v>85191.362799999988</v>
      </c>
      <c r="M277" s="8"/>
      <c r="N277" s="265"/>
    </row>
    <row r="278" spans="1:14" s="3" customFormat="1" ht="12.2" customHeight="1" x14ac:dyDescent="0.15">
      <c r="A278" s="1" t="s">
        <v>439</v>
      </c>
      <c r="B278" s="2" t="s">
        <v>357</v>
      </c>
      <c r="C278" s="2" t="s">
        <v>291</v>
      </c>
      <c r="D278" s="2" t="s">
        <v>431</v>
      </c>
      <c r="E278" s="6">
        <v>1200</v>
      </c>
      <c r="F278" s="18">
        <v>164136.3192</v>
      </c>
      <c r="G278" s="18">
        <v>74133.593200000003</v>
      </c>
      <c r="H278" s="18">
        <v>17004.556</v>
      </c>
      <c r="I278" s="18">
        <v>9004.73</v>
      </c>
      <c r="J278" s="18">
        <v>6524.4911999999995</v>
      </c>
      <c r="K278" s="18">
        <v>0</v>
      </c>
      <c r="L278" s="19">
        <f>SUM(F278:K278)</f>
        <v>270803.68959999998</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19511.7</v>
      </c>
      <c r="G283" s="18">
        <v>5443.0869999999995</v>
      </c>
      <c r="H283" s="18">
        <v>43469.172500000001</v>
      </c>
      <c r="I283" s="18">
        <v>17877.989999999998</v>
      </c>
      <c r="J283" s="18">
        <v>0</v>
      </c>
      <c r="K283" s="18">
        <v>0</v>
      </c>
      <c r="L283" s="19">
        <f t="shared" si="12"/>
        <v>86301.949499999988</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6493.427999999999</v>
      </c>
      <c r="J287" s="18">
        <v>0</v>
      </c>
      <c r="K287" s="18">
        <v>0</v>
      </c>
      <c r="L287" s="19">
        <f t="shared" si="12"/>
        <v>6493.427999999999</v>
      </c>
      <c r="M287" s="8"/>
      <c r="N287" s="265"/>
    </row>
    <row r="288" spans="1:14" s="3" customFormat="1" ht="12.2" customHeight="1" x14ac:dyDescent="0.15">
      <c r="A288" s="1" t="s">
        <v>448</v>
      </c>
      <c r="B288" s="2" t="s">
        <v>357</v>
      </c>
      <c r="C288" s="2" t="s">
        <v>300</v>
      </c>
      <c r="D288" s="2" t="s">
        <v>431</v>
      </c>
      <c r="E288" s="6">
        <v>2700</v>
      </c>
      <c r="F288" s="18">
        <v>0</v>
      </c>
      <c r="G288" s="18">
        <v>0</v>
      </c>
      <c r="H288" s="18">
        <v>10474.464</v>
      </c>
      <c r="I288" s="18">
        <v>0</v>
      </c>
      <c r="J288" s="18">
        <v>0</v>
      </c>
      <c r="K288" s="18">
        <v>0</v>
      </c>
      <c r="L288" s="19">
        <f t="shared" si="12"/>
        <v>10474.464</v>
      </c>
      <c r="M288" s="8"/>
      <c r="N288" s="265"/>
    </row>
    <row r="289" spans="1:14" s="3" customFormat="1" ht="12.2" customHeight="1" x14ac:dyDescent="0.15">
      <c r="A289" s="1" t="s">
        <v>449</v>
      </c>
      <c r="B289" s="2" t="s">
        <v>357</v>
      </c>
      <c r="C289" s="2" t="s">
        <v>343</v>
      </c>
      <c r="D289" s="2" t="s">
        <v>431</v>
      </c>
      <c r="E289" s="6">
        <v>2800</v>
      </c>
      <c r="F289" s="18">
        <v>0</v>
      </c>
      <c r="G289" s="18">
        <v>0</v>
      </c>
      <c r="H289" s="18">
        <v>2361.125</v>
      </c>
      <c r="I289" s="18">
        <v>4895</v>
      </c>
      <c r="J289" s="18">
        <v>0</v>
      </c>
      <c r="K289" s="18">
        <v>0</v>
      </c>
      <c r="L289" s="19">
        <f>SUM(F289:K289)</f>
        <v>7256.125</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247935.1992</v>
      </c>
      <c r="G291" s="42">
        <f t="shared" si="13"/>
        <v>91211.448199999999</v>
      </c>
      <c r="H291" s="42">
        <f t="shared" si="13"/>
        <v>73705.317500000005</v>
      </c>
      <c r="I291" s="42">
        <f t="shared" si="13"/>
        <v>47144.5628</v>
      </c>
      <c r="J291" s="42">
        <f t="shared" si="13"/>
        <v>6524.4911999999995</v>
      </c>
      <c r="K291" s="42">
        <f t="shared" si="13"/>
        <v>0</v>
      </c>
      <c r="L291" s="41">
        <f t="shared" si="13"/>
        <v>466521.01889999997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14664.2</v>
      </c>
      <c r="G315" s="18">
        <v>4186.1819999999989</v>
      </c>
      <c r="H315" s="18">
        <v>204.00000000000003</v>
      </c>
      <c r="I315" s="18">
        <v>1404.8052000000002</v>
      </c>
      <c r="J315" s="18">
        <v>0</v>
      </c>
      <c r="K315" s="18">
        <v>0</v>
      </c>
      <c r="L315" s="19">
        <f>SUM(F315:K315)</f>
        <v>20459.187199999997</v>
      </c>
      <c r="M315" s="8"/>
      <c r="N315" s="265"/>
    </row>
    <row r="316" spans="1:14" s="3" customFormat="1" ht="12.2" customHeight="1" x14ac:dyDescent="0.15">
      <c r="A316" s="1" t="s">
        <v>439</v>
      </c>
      <c r="B316" s="2" t="s">
        <v>359</v>
      </c>
      <c r="C316" s="2" t="s">
        <v>291</v>
      </c>
      <c r="D316" s="2" t="s">
        <v>431</v>
      </c>
      <c r="E316" s="6">
        <v>1200</v>
      </c>
      <c r="F316" s="18">
        <v>77240.620800000004</v>
      </c>
      <c r="G316" s="18">
        <v>34886.39680000001</v>
      </c>
      <c r="H316" s="18">
        <v>8002.1440000000021</v>
      </c>
      <c r="I316" s="18">
        <v>4237.5200000000004</v>
      </c>
      <c r="J316" s="18">
        <v>3070.3488000000007</v>
      </c>
      <c r="K316" s="18">
        <v>0</v>
      </c>
      <c r="L316" s="19">
        <f>SUM(F316:K316)</f>
        <v>127437.03040000003</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10506.300000000001</v>
      </c>
      <c r="G321" s="18">
        <v>2930.8929999999996</v>
      </c>
      <c r="H321" s="18">
        <v>23406.477499999997</v>
      </c>
      <c r="I321" s="18">
        <v>9626.6099999999988</v>
      </c>
      <c r="J321" s="18">
        <v>0</v>
      </c>
      <c r="K321" s="18">
        <v>0</v>
      </c>
      <c r="L321" s="19">
        <f t="shared" si="16"/>
        <v>46470.280500000001</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4328.9519999999993</v>
      </c>
      <c r="J325" s="18">
        <v>0</v>
      </c>
      <c r="K325" s="18">
        <v>0</v>
      </c>
      <c r="L325" s="19">
        <f t="shared" si="16"/>
        <v>4328.9519999999993</v>
      </c>
      <c r="M325" s="8"/>
      <c r="N325" s="265"/>
    </row>
    <row r="326" spans="1:14" s="3" customFormat="1" ht="12.2" customHeight="1" x14ac:dyDescent="0.15">
      <c r="A326" s="1" t="s">
        <v>448</v>
      </c>
      <c r="B326" s="2" t="s">
        <v>359</v>
      </c>
      <c r="C326" s="2" t="s">
        <v>300</v>
      </c>
      <c r="D326" s="2" t="s">
        <v>431</v>
      </c>
      <c r="E326" s="6">
        <v>2700</v>
      </c>
      <c r="F326" s="18">
        <v>0</v>
      </c>
      <c r="G326" s="18">
        <v>0</v>
      </c>
      <c r="H326" s="18">
        <v>5395.9359999999997</v>
      </c>
      <c r="I326" s="18">
        <v>0</v>
      </c>
      <c r="J326" s="18">
        <v>0</v>
      </c>
      <c r="K326" s="18">
        <v>0</v>
      </c>
      <c r="L326" s="19">
        <f t="shared" si="16"/>
        <v>5395.9359999999997</v>
      </c>
      <c r="M326" s="8"/>
      <c r="N326" s="265"/>
    </row>
    <row r="327" spans="1:14" s="3" customFormat="1" ht="12.2" customHeight="1" x14ac:dyDescent="0.15">
      <c r="A327" s="1" t="s">
        <v>449</v>
      </c>
      <c r="B327" s="2" t="s">
        <v>359</v>
      </c>
      <c r="C327" s="2" t="s">
        <v>343</v>
      </c>
      <c r="D327" s="2" t="s">
        <v>431</v>
      </c>
      <c r="E327" s="6">
        <v>2800</v>
      </c>
      <c r="F327" s="18">
        <v>0</v>
      </c>
      <c r="G327" s="18">
        <v>0</v>
      </c>
      <c r="H327" s="18">
        <v>1271.3750000000002</v>
      </c>
      <c r="I327" s="18">
        <v>2575.2199999999998</v>
      </c>
      <c r="J327" s="18">
        <v>0</v>
      </c>
      <c r="K327" s="18">
        <v>0</v>
      </c>
      <c r="L327" s="19">
        <f>SUM(F327:K327)</f>
        <v>3846.5950000000003</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102411.1208</v>
      </c>
      <c r="G329" s="42">
        <f t="shared" si="17"/>
        <v>42003.471800000007</v>
      </c>
      <c r="H329" s="42">
        <f t="shared" si="17"/>
        <v>38279.932500000003</v>
      </c>
      <c r="I329" s="42">
        <f t="shared" si="17"/>
        <v>22173.107199999999</v>
      </c>
      <c r="J329" s="42">
        <f t="shared" si="17"/>
        <v>3070.3488000000007</v>
      </c>
      <c r="K329" s="42">
        <f t="shared" si="17"/>
        <v>0</v>
      </c>
      <c r="L329" s="41">
        <f t="shared" si="17"/>
        <v>207937.9811</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402713.32</v>
      </c>
      <c r="I337" s="18"/>
      <c r="J337" s="18"/>
      <c r="K337" s="18">
        <v>0</v>
      </c>
      <c r="L337" s="19">
        <f t="shared" si="18"/>
        <v>402713.32</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402713.32</v>
      </c>
      <c r="I338" s="41">
        <f t="shared" si="19"/>
        <v>0</v>
      </c>
      <c r="J338" s="41">
        <f t="shared" si="19"/>
        <v>0</v>
      </c>
      <c r="K338" s="41">
        <f t="shared" si="19"/>
        <v>0</v>
      </c>
      <c r="L338" s="41">
        <f t="shared" si="18"/>
        <v>402713.32</v>
      </c>
      <c r="M338" s="8"/>
      <c r="N338" s="265"/>
    </row>
    <row r="339" spans="1:43" s="3" customFormat="1" ht="12.2" customHeight="1" thickTop="1" x14ac:dyDescent="0.15">
      <c r="A339" s="38" t="s">
        <v>468</v>
      </c>
      <c r="B339" s="40">
        <v>14</v>
      </c>
      <c r="C339" s="40">
        <v>7</v>
      </c>
      <c r="D339" s="39" t="s">
        <v>431</v>
      </c>
      <c r="E339" s="40"/>
      <c r="F339" s="41">
        <f t="shared" ref="F339:L339" si="20">F291+F310+F329+F338</f>
        <v>350346.32</v>
      </c>
      <c r="G339" s="41">
        <f t="shared" si="20"/>
        <v>133214.92000000001</v>
      </c>
      <c r="H339" s="41">
        <f t="shared" si="20"/>
        <v>514698.57</v>
      </c>
      <c r="I339" s="41">
        <f t="shared" si="20"/>
        <v>69317.67</v>
      </c>
      <c r="J339" s="41">
        <f t="shared" si="20"/>
        <v>9594.84</v>
      </c>
      <c r="K339" s="41">
        <f t="shared" si="20"/>
        <v>0</v>
      </c>
      <c r="L339" s="41">
        <f t="shared" si="20"/>
        <v>1077172.32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350346.32</v>
      </c>
      <c r="G353" s="41">
        <f>G339</f>
        <v>133214.92000000001</v>
      </c>
      <c r="H353" s="41">
        <f>H339</f>
        <v>514698.57</v>
      </c>
      <c r="I353" s="41">
        <f>I339</f>
        <v>69317.67</v>
      </c>
      <c r="J353" s="41">
        <f>J339</f>
        <v>9594.84</v>
      </c>
      <c r="K353" s="47">
        <f>K339+K352</f>
        <v>0</v>
      </c>
      <c r="L353" s="41">
        <f>L339+L352</f>
        <v>1077172.32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235500.7</v>
      </c>
      <c r="G359" s="18">
        <v>96600.23</v>
      </c>
      <c r="H359" s="18">
        <v>25417.71</v>
      </c>
      <c r="I359" s="18">
        <v>254786.6</v>
      </c>
      <c r="J359" s="18">
        <v>1060.22</v>
      </c>
      <c r="K359" s="18">
        <v>708.89</v>
      </c>
      <c r="L359" s="13">
        <f>SUM(F359:K359)</f>
        <v>614074.35</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122557.4</v>
      </c>
      <c r="G361" s="18">
        <v>44089.88</v>
      </c>
      <c r="H361" s="18">
        <v>7192.21</v>
      </c>
      <c r="I361" s="18">
        <v>129381.09</v>
      </c>
      <c r="J361" s="18">
        <v>0</v>
      </c>
      <c r="K361" s="18">
        <v>365.19</v>
      </c>
      <c r="L361" s="19">
        <f>SUM(F361:K361)</f>
        <v>303585.76999999996</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358058.1</v>
      </c>
      <c r="G363" s="47">
        <f t="shared" si="22"/>
        <v>140690.10999999999</v>
      </c>
      <c r="H363" s="47">
        <f t="shared" si="22"/>
        <v>32609.919999999998</v>
      </c>
      <c r="I363" s="47">
        <f t="shared" si="22"/>
        <v>384167.69</v>
      </c>
      <c r="J363" s="47">
        <f t="shared" si="22"/>
        <v>1060.22</v>
      </c>
      <c r="K363" s="47">
        <f t="shared" si="22"/>
        <v>1074.08</v>
      </c>
      <c r="L363" s="47">
        <f t="shared" si="22"/>
        <v>917660.11999999988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228952.52</v>
      </c>
      <c r="G368" s="18">
        <v>0</v>
      </c>
      <c r="H368" s="18">
        <v>118865.58</v>
      </c>
      <c r="I368" s="56">
        <f>SUM(F368:H368)</f>
        <v>347818.1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25834.080000000002</v>
      </c>
      <c r="G369" s="63">
        <v>0</v>
      </c>
      <c r="H369" s="63">
        <v>10515.51</v>
      </c>
      <c r="I369" s="56">
        <f>SUM(F369:H369)</f>
        <v>36349.590000000004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254786.59999999998</v>
      </c>
      <c r="G370" s="47">
        <f>SUM(G368:G369)</f>
        <v>0</v>
      </c>
      <c r="H370" s="47">
        <f>SUM(H368:H369)</f>
        <v>129381.09</v>
      </c>
      <c r="I370" s="47">
        <f>SUM(I368:I369)</f>
        <v>384167.69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2134441.4300000002</v>
      </c>
      <c r="I376" s="18">
        <v>0</v>
      </c>
      <c r="J376" s="18">
        <v>0</v>
      </c>
      <c r="K376" s="18">
        <v>0</v>
      </c>
      <c r="L376" s="13">
        <f t="shared" ref="L376:L382" si="23">SUM(F376:K376)</f>
        <v>2134441.4300000002</v>
      </c>
      <c r="M376" s="8"/>
      <c r="N376" s="265"/>
    </row>
    <row r="377" spans="1:14" s="3" customFormat="1" ht="12.2" customHeight="1" x14ac:dyDescent="0.15">
      <c r="A377" s="1" t="s">
        <v>546</v>
      </c>
      <c r="B377" s="2" t="s">
        <v>366</v>
      </c>
      <c r="C377" s="2" t="s">
        <v>300</v>
      </c>
      <c r="D377" s="2" t="s">
        <v>431</v>
      </c>
      <c r="E377" s="6">
        <v>4300</v>
      </c>
      <c r="F377" s="18">
        <v>0</v>
      </c>
      <c r="G377" s="18">
        <v>0</v>
      </c>
      <c r="H377" s="18">
        <v>1352426.01</v>
      </c>
      <c r="I377" s="18">
        <v>0</v>
      </c>
      <c r="J377" s="18">
        <v>0</v>
      </c>
      <c r="K377" s="18">
        <v>0</v>
      </c>
      <c r="L377" s="13">
        <f t="shared" si="23"/>
        <v>1352426.01</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4212466.16</v>
      </c>
      <c r="I379" s="18">
        <v>0</v>
      </c>
      <c r="J379" s="18">
        <v>0</v>
      </c>
      <c r="K379" s="18">
        <v>41112.089999999997</v>
      </c>
      <c r="L379" s="13">
        <f t="shared" si="23"/>
        <v>4253578.25</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7699333.6000000006</v>
      </c>
      <c r="I383" s="41">
        <f t="shared" si="24"/>
        <v>0</v>
      </c>
      <c r="J383" s="47">
        <f t="shared" si="24"/>
        <v>0</v>
      </c>
      <c r="K383" s="47">
        <f t="shared" si="24"/>
        <v>41112.089999999997</v>
      </c>
      <c r="L383" s="47">
        <f t="shared" si="24"/>
        <v>7740445.6900000004</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v>593.63</v>
      </c>
      <c r="I390" s="18">
        <v>-192.16</v>
      </c>
      <c r="J390" s="24" t="s">
        <v>288</v>
      </c>
      <c r="K390" s="24" t="s">
        <v>288</v>
      </c>
      <c r="L390" s="56">
        <f t="shared" si="25"/>
        <v>401.47</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593.63</v>
      </c>
      <c r="I394" s="65">
        <f>SUM(I388:I393)</f>
        <v>-192.16</v>
      </c>
      <c r="J394" s="45" t="s">
        <v>288</v>
      </c>
      <c r="K394" s="45" t="s">
        <v>288</v>
      </c>
      <c r="L394" s="47">
        <f>SUM(L388:L393)</f>
        <v>401.47</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1705.44</v>
      </c>
      <c r="I397" s="18">
        <v>-60226.48</v>
      </c>
      <c r="J397" s="24" t="s">
        <v>288</v>
      </c>
      <c r="K397" s="24" t="s">
        <v>288</v>
      </c>
      <c r="L397" s="56">
        <f t="shared" si="26"/>
        <v>-58521.04</v>
      </c>
      <c r="M397" s="8"/>
      <c r="N397" s="265"/>
    </row>
    <row r="398" spans="1:14" s="3" customFormat="1" ht="12.2" customHeight="1" x14ac:dyDescent="0.15">
      <c r="A398" s="79" t="s">
        <v>515</v>
      </c>
      <c r="B398" s="2" t="s">
        <v>381</v>
      </c>
      <c r="C398" s="6">
        <v>10</v>
      </c>
      <c r="D398" s="2" t="s">
        <v>432</v>
      </c>
      <c r="E398" s="6"/>
      <c r="F398" s="18"/>
      <c r="G398" s="18"/>
      <c r="H398" s="18">
        <v>1622.6</v>
      </c>
      <c r="I398" s="18">
        <v>-525.29999999999995</v>
      </c>
      <c r="J398" s="24" t="s">
        <v>288</v>
      </c>
      <c r="K398" s="24" t="s">
        <v>288</v>
      </c>
      <c r="L398" s="56">
        <f t="shared" si="26"/>
        <v>1097.3</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176.5</v>
      </c>
      <c r="I401" s="18">
        <v>-6232.42</v>
      </c>
      <c r="J401" s="24" t="s">
        <v>288</v>
      </c>
      <c r="K401" s="24" t="s">
        <v>288</v>
      </c>
      <c r="L401" s="56">
        <f t="shared" si="26"/>
        <v>-6055.92</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3504.54</v>
      </c>
      <c r="I402" s="47">
        <f>SUM(I396:I401)</f>
        <v>-66984.200000000012</v>
      </c>
      <c r="J402" s="45" t="s">
        <v>288</v>
      </c>
      <c r="K402" s="45" t="s">
        <v>288</v>
      </c>
      <c r="L402" s="47">
        <f>SUM(L396:L401)</f>
        <v>-63479.659999999996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t="s">
        <v>1806</v>
      </c>
      <c r="B404" s="2" t="s">
        <v>381</v>
      </c>
      <c r="C404" s="6">
        <v>15</v>
      </c>
      <c r="D404" s="2" t="s">
        <v>432</v>
      </c>
      <c r="E404" s="6"/>
      <c r="F404" s="18"/>
      <c r="G404" s="18"/>
      <c r="H404" s="18">
        <v>25.75</v>
      </c>
      <c r="I404" s="18">
        <v>-909.46</v>
      </c>
      <c r="J404" s="24" t="s">
        <v>288</v>
      </c>
      <c r="K404" s="24" t="s">
        <v>288</v>
      </c>
      <c r="L404" s="56">
        <f>SUM(F404:K404)</f>
        <v>-883.71</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25.75</v>
      </c>
      <c r="I408" s="47">
        <f>SUM(I404:I407)</f>
        <v>-909.46</v>
      </c>
      <c r="J408" s="49" t="s">
        <v>288</v>
      </c>
      <c r="K408" s="49" t="s">
        <v>288</v>
      </c>
      <c r="L408" s="47">
        <f>SUM(L404:L407)</f>
        <v>-883.71</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4123.92</v>
      </c>
      <c r="I409" s="47">
        <f>I394+I402+I408</f>
        <v>-68085.820000000022</v>
      </c>
      <c r="J409" s="24" t="s">
        <v>288</v>
      </c>
      <c r="K409" s="24" t="s">
        <v>288</v>
      </c>
      <c r="L409" s="47">
        <f>L394+L402+L408</f>
        <v>-63961.899999999994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181.67</v>
      </c>
      <c r="I416" s="18"/>
      <c r="J416" s="18"/>
      <c r="K416" s="18"/>
      <c r="L416" s="56">
        <f t="shared" si="27"/>
        <v>181.67</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181.67</v>
      </c>
      <c r="I420" s="139">
        <f t="shared" si="28"/>
        <v>0</v>
      </c>
      <c r="J420" s="139">
        <f t="shared" si="28"/>
        <v>0</v>
      </c>
      <c r="K420" s="139">
        <f t="shared" si="28"/>
        <v>0</v>
      </c>
      <c r="L420" s="47">
        <f t="shared" si="28"/>
        <v>181.67</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1329.98</v>
      </c>
      <c r="I423" s="18"/>
      <c r="J423" s="18"/>
      <c r="K423" s="18"/>
      <c r="L423" s="56">
        <f t="shared" si="29"/>
        <v>1329.98</v>
      </c>
      <c r="M423" s="8"/>
      <c r="N423" s="265"/>
    </row>
    <row r="424" spans="1:21" s="3" customFormat="1" ht="12.2" customHeight="1" x14ac:dyDescent="0.15">
      <c r="A424" s="79" t="s">
        <v>515</v>
      </c>
      <c r="B424" s="6">
        <v>17</v>
      </c>
      <c r="C424" s="6">
        <v>10</v>
      </c>
      <c r="D424" s="2" t="s">
        <v>432</v>
      </c>
      <c r="E424" s="6"/>
      <c r="F424" s="18"/>
      <c r="G424" s="18"/>
      <c r="H424" s="18">
        <v>496.57</v>
      </c>
      <c r="I424" s="18"/>
      <c r="J424" s="18"/>
      <c r="K424" s="18"/>
      <c r="L424" s="56">
        <f t="shared" si="29"/>
        <v>496.57</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v>137.63</v>
      </c>
      <c r="I427" s="18"/>
      <c r="J427" s="18"/>
      <c r="K427" s="18"/>
      <c r="L427" s="56">
        <f t="shared" si="29"/>
        <v>137.63</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1964.1799999999998</v>
      </c>
      <c r="I428" s="47">
        <f t="shared" si="30"/>
        <v>0</v>
      </c>
      <c r="J428" s="47">
        <f t="shared" si="30"/>
        <v>0</v>
      </c>
      <c r="K428" s="47">
        <f t="shared" si="30"/>
        <v>0</v>
      </c>
      <c r="L428" s="47">
        <f t="shared" si="30"/>
        <v>1964.1799999999998</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t="s">
        <v>1806</v>
      </c>
      <c r="B430" s="6">
        <v>17</v>
      </c>
      <c r="C430" s="6">
        <v>15</v>
      </c>
      <c r="D430" s="2" t="s">
        <v>432</v>
      </c>
      <c r="E430" s="6"/>
      <c r="F430" s="18"/>
      <c r="G430" s="18"/>
      <c r="H430" s="18">
        <v>20.09</v>
      </c>
      <c r="I430" s="18"/>
      <c r="J430" s="18"/>
      <c r="K430" s="18"/>
      <c r="L430" s="56">
        <f>SUM(F430:K430)</f>
        <v>20.09</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20.09</v>
      </c>
      <c r="I434" s="47">
        <f t="shared" si="31"/>
        <v>0</v>
      </c>
      <c r="J434" s="47">
        <f t="shared" si="31"/>
        <v>0</v>
      </c>
      <c r="K434" s="47">
        <f t="shared" si="31"/>
        <v>0</v>
      </c>
      <c r="L434" s="47">
        <f t="shared" si="31"/>
        <v>20.09</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2165.94</v>
      </c>
      <c r="I435" s="47">
        <f t="shared" si="32"/>
        <v>0</v>
      </c>
      <c r="J435" s="47">
        <f t="shared" si="32"/>
        <v>0</v>
      </c>
      <c r="K435" s="47">
        <f t="shared" si="32"/>
        <v>0</v>
      </c>
      <c r="L435" s="47">
        <f t="shared" si="32"/>
        <v>2165.94</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297226.33</v>
      </c>
      <c r="G442" s="18">
        <v>347130.55</v>
      </c>
      <c r="H442" s="18"/>
      <c r="I442" s="56">
        <f t="shared" si="33"/>
        <v>644356.88</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297226.33</v>
      </c>
      <c r="G447" s="13">
        <f>SUM(G440:G446)</f>
        <v>347130.55</v>
      </c>
      <c r="H447" s="13">
        <f>SUM(H440:H446)</f>
        <v>0</v>
      </c>
      <c r="I447" s="13">
        <f>SUM(I440:I446)</f>
        <v>644356.88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297226.33</v>
      </c>
      <c r="G456" s="18">
        <v>347130.55</v>
      </c>
      <c r="H456" s="18"/>
      <c r="I456" s="56">
        <f t="shared" si="34"/>
        <v>644356.88</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297226.33</v>
      </c>
      <c r="G461" s="83">
        <f>SUM(G455:G460)</f>
        <v>347130.55</v>
      </c>
      <c r="H461" s="83">
        <f>SUM(H455:H460)</f>
        <v>0</v>
      </c>
      <c r="I461" s="83">
        <f>SUM(I455:I460)</f>
        <v>644356.88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297226.33</v>
      </c>
      <c r="G462" s="42">
        <f>G453+G461</f>
        <v>347130.55</v>
      </c>
      <c r="H462" s="42">
        <f>H453+H461</f>
        <v>0</v>
      </c>
      <c r="I462" s="42">
        <f>I453+I461</f>
        <v>644356.88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3580599.18</v>
      </c>
      <c r="G466" s="18">
        <v>86827.94</v>
      </c>
      <c r="H466" s="18">
        <v>0</v>
      </c>
      <c r="I466" s="18">
        <v>0</v>
      </c>
      <c r="J466" s="18">
        <v>710484.72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32085611.140000001</v>
      </c>
      <c r="G469" s="18">
        <v>1046639.81</v>
      </c>
      <c r="H469" s="18">
        <v>1077172.32</v>
      </c>
      <c r="I469" s="18">
        <v>32001641.280000001</v>
      </c>
      <c r="J469" s="18">
        <v>-63961.9</v>
      </c>
      <c r="K469" s="24" t="s">
        <v>288</v>
      </c>
      <c r="L469" s="24" t="s">
        <v>288</v>
      </c>
      <c r="N469" s="264"/>
    </row>
    <row r="470" spans="1:14" s="52" customFormat="1" ht="12.2" customHeight="1" x14ac:dyDescent="0.2">
      <c r="A470" s="93" t="s">
        <v>611</v>
      </c>
      <c r="B470" s="75">
        <v>19</v>
      </c>
      <c r="C470" s="80">
        <v>3</v>
      </c>
      <c r="D470" s="2" t="s">
        <v>432</v>
      </c>
      <c r="E470" s="80"/>
      <c r="F470" s="18">
        <v>0.46</v>
      </c>
      <c r="G470" s="18">
        <v>0.15</v>
      </c>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32085611.600000001</v>
      </c>
      <c r="G471" s="53">
        <f>SUM(G469:G470)</f>
        <v>1046639.9600000001</v>
      </c>
      <c r="H471" s="53">
        <f>SUM(H469:H470)</f>
        <v>1077172.32</v>
      </c>
      <c r="I471" s="53">
        <f>SUM(I469:I470)</f>
        <v>32001641.280000001</v>
      </c>
      <c r="J471" s="53">
        <f>SUM(J469:J470)</f>
        <v>-63961.9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31983162.530000001</v>
      </c>
      <c r="G473" s="18">
        <v>917660.12</v>
      </c>
      <c r="H473" s="18">
        <v>1077172.32</v>
      </c>
      <c r="I473" s="18">
        <v>7740445.6900000004</v>
      </c>
      <c r="J473" s="18">
        <v>2165.94</v>
      </c>
      <c r="K473" s="24" t="s">
        <v>288</v>
      </c>
      <c r="L473" s="24" t="s">
        <v>288</v>
      </c>
      <c r="N473" s="264"/>
    </row>
    <row r="474" spans="1:14" s="52" customFormat="1" ht="12.2" customHeight="1" x14ac:dyDescent="0.2">
      <c r="A474" s="93" t="s">
        <v>613</v>
      </c>
      <c r="B474" s="75">
        <v>19</v>
      </c>
      <c r="C474" s="80">
        <v>6</v>
      </c>
      <c r="D474" s="2" t="s">
        <v>432</v>
      </c>
      <c r="E474" s="80"/>
      <c r="F474" s="18">
        <v>0</v>
      </c>
      <c r="G474" s="18">
        <v>1.55</v>
      </c>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31983162.530000001</v>
      </c>
      <c r="G475" s="53">
        <f>SUM(G473:G474)</f>
        <v>917661.67</v>
      </c>
      <c r="H475" s="53">
        <f>SUM(H473:H474)</f>
        <v>1077172.32</v>
      </c>
      <c r="I475" s="53">
        <f>SUM(I473:I474)</f>
        <v>7740445.6900000004</v>
      </c>
      <c r="J475" s="53">
        <f>SUM(J473:J474)</f>
        <v>2165.94</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3683048.25</v>
      </c>
      <c r="G477" s="53">
        <f>(G466+G471)- G475</f>
        <v>215806.2300000001</v>
      </c>
      <c r="H477" s="53">
        <f>(H466+H471)- H475</f>
        <v>0</v>
      </c>
      <c r="I477" s="53">
        <f>(I466+I471)- I475</f>
        <v>24261195.59</v>
      </c>
      <c r="J477" s="53">
        <f>(J466+J471)- J475</f>
        <v>644356.88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6</v>
      </c>
      <c r="H491" s="154">
        <v>12</v>
      </c>
      <c r="I491" s="154">
        <v>20</v>
      </c>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1804</v>
      </c>
      <c r="H492" s="372" t="s">
        <v>1807</v>
      </c>
      <c r="I492" s="372" t="s">
        <v>1809</v>
      </c>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t="s">
        <v>1805</v>
      </c>
      <c r="H493" s="372" t="s">
        <v>1808</v>
      </c>
      <c r="I493" s="372" t="s">
        <v>1810</v>
      </c>
      <c r="J493" s="154"/>
      <c r="K493" s="24" t="s">
        <v>288</v>
      </c>
      <c r="L493" s="24" t="s">
        <v>288</v>
      </c>
      <c r="N493" s="264"/>
    </row>
    <row r="494" spans="1:14" s="52" customFormat="1" ht="12.2" customHeight="1" x14ac:dyDescent="0.2">
      <c r="A494" s="22" t="s">
        <v>617</v>
      </c>
      <c r="B494" s="75">
        <v>20</v>
      </c>
      <c r="C494" s="115">
        <v>4</v>
      </c>
      <c r="D494" s="2" t="s">
        <v>432</v>
      </c>
      <c r="E494" s="115"/>
      <c r="F494" s="18">
        <v>20745000</v>
      </c>
      <c r="G494" s="18">
        <v>245000</v>
      </c>
      <c r="H494" s="18">
        <v>1353481.91</v>
      </c>
      <c r="I494" s="18">
        <v>27517975</v>
      </c>
      <c r="J494" s="18"/>
      <c r="K494" s="24" t="s">
        <v>288</v>
      </c>
      <c r="L494" s="24" t="s">
        <v>288</v>
      </c>
      <c r="N494" s="264"/>
    </row>
    <row r="495" spans="1:14" s="52" customFormat="1" ht="12.2" customHeight="1" x14ac:dyDescent="0.2">
      <c r="A495" s="22" t="s">
        <v>618</v>
      </c>
      <c r="B495" s="75">
        <v>20</v>
      </c>
      <c r="C495" s="115">
        <v>5</v>
      </c>
      <c r="D495" s="2" t="s">
        <v>432</v>
      </c>
      <c r="E495" s="115"/>
      <c r="F495" s="18">
        <v>3.2</v>
      </c>
      <c r="G495" s="18">
        <v>3.71</v>
      </c>
      <c r="H495" s="18">
        <v>2.7269999999999999</v>
      </c>
      <c r="I495" s="18">
        <v>1.74</v>
      </c>
      <c r="J495" s="18"/>
      <c r="K495" s="24" t="s">
        <v>288</v>
      </c>
      <c r="L495" s="24" t="s">
        <v>288</v>
      </c>
      <c r="N495" s="264"/>
    </row>
    <row r="496" spans="1:14" s="52" customFormat="1" ht="12.2" customHeight="1" x14ac:dyDescent="0.2">
      <c r="A496" s="22" t="s">
        <v>619</v>
      </c>
      <c r="B496" s="75">
        <v>20</v>
      </c>
      <c r="C496" s="115">
        <v>6</v>
      </c>
      <c r="D496" s="2" t="s">
        <v>432</v>
      </c>
      <c r="E496" s="115"/>
      <c r="F496" s="18">
        <v>14505000</v>
      </c>
      <c r="G496" s="18">
        <v>84921.49</v>
      </c>
      <c r="H496" s="18">
        <v>1353481.91</v>
      </c>
      <c r="I496" s="18">
        <v>0</v>
      </c>
      <c r="J496" s="18"/>
      <c r="K496" s="53">
        <f>SUM(F496:J496)</f>
        <v>15943403.4</v>
      </c>
      <c r="L496" s="24" t="s">
        <v>288</v>
      </c>
      <c r="N496" s="264"/>
    </row>
    <row r="497" spans="1:14" s="52" customFormat="1" ht="12.2" customHeight="1" x14ac:dyDescent="0.2">
      <c r="A497" s="22" t="s">
        <v>620</v>
      </c>
      <c r="B497" s="75">
        <v>20</v>
      </c>
      <c r="C497" s="115">
        <v>7</v>
      </c>
      <c r="D497" s="2" t="s">
        <v>432</v>
      </c>
      <c r="E497" s="115"/>
      <c r="F497" s="18">
        <v>0</v>
      </c>
      <c r="G497" s="18">
        <v>0</v>
      </c>
      <c r="H497" s="18">
        <v>1353481.91</v>
      </c>
      <c r="I497" s="18">
        <v>27517975</v>
      </c>
      <c r="J497" s="18"/>
      <c r="K497" s="53">
        <f t="shared" ref="K497:K504" si="35">SUM(F497:J497)</f>
        <v>28871456.91</v>
      </c>
      <c r="L497" s="24" t="s">
        <v>288</v>
      </c>
      <c r="N497" s="264"/>
    </row>
    <row r="498" spans="1:14" s="52" customFormat="1" ht="12.2" customHeight="1" x14ac:dyDescent="0.2">
      <c r="A498" s="22" t="s">
        <v>621</v>
      </c>
      <c r="B498" s="75">
        <v>20</v>
      </c>
      <c r="C498" s="115">
        <v>8</v>
      </c>
      <c r="D498" s="2" t="s">
        <v>432</v>
      </c>
      <c r="E498" s="115"/>
      <c r="F498" s="18">
        <v>1040000</v>
      </c>
      <c r="G498" s="18">
        <v>40196.17</v>
      </c>
      <c r="H498" s="18">
        <v>96857.75</v>
      </c>
      <c r="I498" s="18">
        <v>0</v>
      </c>
      <c r="J498" s="18"/>
      <c r="K498" s="53">
        <f t="shared" si="35"/>
        <v>1177053.92</v>
      </c>
      <c r="L498" s="24" t="s">
        <v>288</v>
      </c>
      <c r="N498" s="264"/>
    </row>
    <row r="499" spans="1:14" s="52" customFormat="1" ht="12.2" customHeight="1" x14ac:dyDescent="0.2">
      <c r="A499" s="199" t="s">
        <v>622</v>
      </c>
      <c r="B499" s="200">
        <v>20</v>
      </c>
      <c r="C499" s="201">
        <v>9</v>
      </c>
      <c r="D499" s="202" t="s">
        <v>432</v>
      </c>
      <c r="E499" s="201"/>
      <c r="F499" s="203">
        <v>13465000</v>
      </c>
      <c r="G499" s="203">
        <v>84921.49</v>
      </c>
      <c r="H499" s="203">
        <v>1256624.1599999999</v>
      </c>
      <c r="I499" s="203">
        <v>27517975</v>
      </c>
      <c r="J499" s="203"/>
      <c r="K499" s="204">
        <f t="shared" si="35"/>
        <v>42324520.649999999</v>
      </c>
      <c r="L499" s="205" t="s">
        <v>288</v>
      </c>
      <c r="N499" s="264"/>
    </row>
    <row r="500" spans="1:14" s="52" customFormat="1" ht="12.2" customHeight="1" thickBot="1" x14ac:dyDescent="0.25">
      <c r="A500" s="22" t="s">
        <v>623</v>
      </c>
      <c r="B500" s="75">
        <v>20</v>
      </c>
      <c r="C500" s="115">
        <v>10</v>
      </c>
      <c r="D500" s="2" t="s">
        <v>432</v>
      </c>
      <c r="E500" s="115"/>
      <c r="F500" s="18">
        <v>3550042.5</v>
      </c>
      <c r="G500" s="18">
        <v>4754.59</v>
      </c>
      <c r="H500" s="18">
        <v>214815.04</v>
      </c>
      <c r="I500" s="18">
        <v>9353598.3599999994</v>
      </c>
      <c r="J500" s="18"/>
      <c r="K500" s="53">
        <f t="shared" si="35"/>
        <v>13123210.489999998</v>
      </c>
      <c r="L500" s="24" t="s">
        <v>288</v>
      </c>
      <c r="N500" s="264"/>
    </row>
    <row r="501" spans="1:14" s="52" customFormat="1" ht="12.2" customHeight="1" thickTop="1" x14ac:dyDescent="0.2">
      <c r="A501" s="139" t="s">
        <v>624</v>
      </c>
      <c r="B501" s="44">
        <v>20</v>
      </c>
      <c r="C501" s="194">
        <v>11</v>
      </c>
      <c r="D501" s="39" t="s">
        <v>432</v>
      </c>
      <c r="E501" s="194"/>
      <c r="F501" s="42">
        <f>SUM(F499:F500)</f>
        <v>17015042.5</v>
      </c>
      <c r="G501" s="42">
        <f>SUM(G499:G500)</f>
        <v>89676.08</v>
      </c>
      <c r="H501" s="42">
        <f>SUM(H499:H500)</f>
        <v>1471439.2</v>
      </c>
      <c r="I501" s="42">
        <f>SUM(I499:I500)</f>
        <v>36871573.359999999</v>
      </c>
      <c r="J501" s="42">
        <f>SUM(J499:J500)</f>
        <v>0</v>
      </c>
      <c r="K501" s="42">
        <f t="shared" si="35"/>
        <v>55447731.140000001</v>
      </c>
      <c r="L501" s="45" t="s">
        <v>288</v>
      </c>
      <c r="N501" s="264"/>
    </row>
    <row r="502" spans="1:14" s="52" customFormat="1" ht="12.2" customHeight="1" x14ac:dyDescent="0.2">
      <c r="A502" s="199" t="s">
        <v>651</v>
      </c>
      <c r="B502" s="200">
        <v>20</v>
      </c>
      <c r="C502" s="201">
        <v>12</v>
      </c>
      <c r="D502" s="202" t="s">
        <v>432</v>
      </c>
      <c r="E502" s="201"/>
      <c r="F502" s="203">
        <v>1040000</v>
      </c>
      <c r="G502" s="203">
        <v>41687.449999999997</v>
      </c>
      <c r="H502" s="203">
        <v>99499.06</v>
      </c>
      <c r="I502" s="203">
        <v>1402975</v>
      </c>
      <c r="J502" s="203"/>
      <c r="K502" s="204">
        <f t="shared" si="35"/>
        <v>2584161.5099999998</v>
      </c>
      <c r="L502" s="205" t="s">
        <v>288</v>
      </c>
      <c r="N502" s="264"/>
    </row>
    <row r="503" spans="1:14" s="52" customFormat="1" ht="12.2" customHeight="1" thickBot="1" x14ac:dyDescent="0.25">
      <c r="A503" s="22" t="s">
        <v>625</v>
      </c>
      <c r="B503" s="75">
        <v>20</v>
      </c>
      <c r="C503" s="115">
        <v>13</v>
      </c>
      <c r="D503" s="2" t="s">
        <v>432</v>
      </c>
      <c r="E503" s="115"/>
      <c r="F503" s="18">
        <v>535995</v>
      </c>
      <c r="G503" s="18">
        <v>3150.59</v>
      </c>
      <c r="H503" s="18">
        <v>34268.14</v>
      </c>
      <c r="I503" s="18">
        <v>1079190.8600000001</v>
      </c>
      <c r="J503" s="18"/>
      <c r="K503" s="53">
        <f t="shared" si="35"/>
        <v>1652604.59</v>
      </c>
      <c r="L503" s="24" t="s">
        <v>288</v>
      </c>
      <c r="N503" s="264"/>
    </row>
    <row r="504" spans="1:14" s="52" customFormat="1" ht="12.2" customHeight="1" thickTop="1" x14ac:dyDescent="0.2">
      <c r="A504" s="139" t="s">
        <v>626</v>
      </c>
      <c r="B504" s="44">
        <v>20</v>
      </c>
      <c r="C504" s="194">
        <v>14</v>
      </c>
      <c r="D504" s="39" t="s">
        <v>432</v>
      </c>
      <c r="E504" s="194"/>
      <c r="F504" s="42">
        <f>SUM(F502:F503)</f>
        <v>1575995</v>
      </c>
      <c r="G504" s="42">
        <f>SUM(G502:G503)</f>
        <v>44838.039999999994</v>
      </c>
      <c r="H504" s="42">
        <f>SUM(H502:H503)</f>
        <v>133767.20000000001</v>
      </c>
      <c r="I504" s="42">
        <f>SUM(I502:I503)</f>
        <v>2482165.8600000003</v>
      </c>
      <c r="J504" s="42">
        <f>SUM(J502:J503)</f>
        <v>0</v>
      </c>
      <c r="K504" s="42">
        <f t="shared" si="35"/>
        <v>4236766.1000000006</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841296.3</v>
      </c>
      <c r="G508" s="144">
        <v>0</v>
      </c>
      <c r="H508" s="144">
        <v>113168.36</v>
      </c>
      <c r="I508" s="144">
        <v>728127.94</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2046286.1924000001</v>
      </c>
      <c r="G522" s="18">
        <v>798707.36960000009</v>
      </c>
      <c r="H522" s="18">
        <v>812386.92719999992</v>
      </c>
      <c r="I522" s="18">
        <v>30463.364400000002</v>
      </c>
      <c r="J522" s="18">
        <v>16009.636</v>
      </c>
      <c r="K522" s="18">
        <v>2370.0320000000002</v>
      </c>
      <c r="L522" s="88">
        <f>SUM(F522:K522)</f>
        <v>3706223.5215999996</v>
      </c>
      <c r="N522" s="264"/>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4"/>
    </row>
    <row r="524" spans="1:14" s="52" customFormat="1" ht="12.2" customHeight="1" thickBot="1" x14ac:dyDescent="0.25">
      <c r="A524" s="22" t="s">
        <v>635</v>
      </c>
      <c r="B524" s="105">
        <v>21</v>
      </c>
      <c r="C524" s="115">
        <v>3</v>
      </c>
      <c r="D524" s="2" t="s">
        <v>432</v>
      </c>
      <c r="E524" s="115"/>
      <c r="F524" s="18">
        <v>840804.2476</v>
      </c>
      <c r="G524" s="18">
        <v>346376.99040000001</v>
      </c>
      <c r="H524" s="18">
        <v>381504.02279999992</v>
      </c>
      <c r="I524" s="18">
        <v>14973.1556</v>
      </c>
      <c r="J524" s="18">
        <v>5032.0940000000001</v>
      </c>
      <c r="K524" s="18">
        <v>973.36799999999994</v>
      </c>
      <c r="L524" s="88">
        <f>SUM(F524:K524)</f>
        <v>1589663.8783999998</v>
      </c>
      <c r="N524" s="264"/>
    </row>
    <row r="525" spans="1:14" s="52" customFormat="1" ht="12.2" customHeight="1" thickTop="1" x14ac:dyDescent="0.2">
      <c r="A525" s="139" t="s">
        <v>63</v>
      </c>
      <c r="B525" s="107">
        <v>21</v>
      </c>
      <c r="C525" s="194">
        <v>4</v>
      </c>
      <c r="D525" s="195" t="s">
        <v>432</v>
      </c>
      <c r="E525" s="194"/>
      <c r="F525" s="108">
        <f>SUM(F522:F524)</f>
        <v>2887090.44</v>
      </c>
      <c r="G525" s="108">
        <f t="shared" ref="G525:L525" si="36">SUM(G522:G524)</f>
        <v>1145084.3600000001</v>
      </c>
      <c r="H525" s="108">
        <f t="shared" si="36"/>
        <v>1193890.9499999997</v>
      </c>
      <c r="I525" s="108">
        <f t="shared" si="36"/>
        <v>45436.520000000004</v>
      </c>
      <c r="J525" s="108">
        <f t="shared" si="36"/>
        <v>21041.73</v>
      </c>
      <c r="K525" s="108">
        <f t="shared" si="36"/>
        <v>3343.4</v>
      </c>
      <c r="L525" s="89">
        <f t="shared" si="36"/>
        <v>5295887.3999999994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322749.73499999999</v>
      </c>
      <c r="G527" s="18">
        <v>175339.96919999999</v>
      </c>
      <c r="H527" s="18">
        <v>436816.9118</v>
      </c>
      <c r="I527" s="18">
        <v>3968.2388000000001</v>
      </c>
      <c r="J527" s="18">
        <v>0</v>
      </c>
      <c r="K527" s="18">
        <v>0</v>
      </c>
      <c r="L527" s="88">
        <f>SUM(F527:K527)</f>
        <v>938874.85479999997</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166265.01500000001</v>
      </c>
      <c r="G529" s="18">
        <v>90326.650800000003</v>
      </c>
      <c r="H529" s="18">
        <v>222582.65819999998</v>
      </c>
      <c r="I529" s="18">
        <v>2299.1412</v>
      </c>
      <c r="J529" s="18">
        <v>0</v>
      </c>
      <c r="K529" s="18">
        <v>0</v>
      </c>
      <c r="L529" s="88">
        <f>SUM(F529:K529)</f>
        <v>481473.46520000004</v>
      </c>
      <c r="M529" s="8"/>
      <c r="N529" s="265"/>
    </row>
    <row r="530" spans="1:14" s="3" customFormat="1" ht="12.2" customHeight="1" thickTop="1" x14ac:dyDescent="0.15">
      <c r="A530" s="139" t="s">
        <v>65</v>
      </c>
      <c r="B530" s="107">
        <v>21</v>
      </c>
      <c r="C530" s="107">
        <v>8</v>
      </c>
      <c r="D530" s="158" t="s">
        <v>432</v>
      </c>
      <c r="E530" s="107"/>
      <c r="F530" s="89">
        <f>SUM(F527:F529)</f>
        <v>489014.75</v>
      </c>
      <c r="G530" s="89">
        <f t="shared" ref="G530:L530" si="37">SUM(G527:G529)</f>
        <v>265666.62</v>
      </c>
      <c r="H530" s="89">
        <f t="shared" si="37"/>
        <v>659399.56999999995</v>
      </c>
      <c r="I530" s="89">
        <f t="shared" si="37"/>
        <v>6267.38</v>
      </c>
      <c r="J530" s="89">
        <f t="shared" si="37"/>
        <v>0</v>
      </c>
      <c r="K530" s="89">
        <f t="shared" si="37"/>
        <v>0</v>
      </c>
      <c r="L530" s="89">
        <f t="shared" si="37"/>
        <v>1420348.32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161238.50599999999</v>
      </c>
      <c r="G532" s="18">
        <v>78442.753200000006</v>
      </c>
      <c r="H532" s="18">
        <v>1497.3804</v>
      </c>
      <c r="I532" s="18">
        <v>581.21640000000002</v>
      </c>
      <c r="J532" s="18">
        <v>-86.353200000000001</v>
      </c>
      <c r="K532" s="18">
        <v>1336.1999999999998</v>
      </c>
      <c r="L532" s="88">
        <f>SUM(F532:K532)</f>
        <v>243009.7028</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75876.944000000003</v>
      </c>
      <c r="G534" s="18">
        <v>36914.236799999999</v>
      </c>
      <c r="H534" s="18">
        <v>704.64959999999996</v>
      </c>
      <c r="I534" s="18">
        <v>273.5136</v>
      </c>
      <c r="J534" s="18">
        <v>-40.636800000000001</v>
      </c>
      <c r="K534" s="18">
        <v>628.79999999999995</v>
      </c>
      <c r="L534" s="88">
        <f>SUM(F534:K534)</f>
        <v>114357.50720000002</v>
      </c>
      <c r="M534" s="8"/>
      <c r="N534" s="265"/>
    </row>
    <row r="535" spans="1:14" s="3" customFormat="1" ht="12.2" customHeight="1" thickTop="1" x14ac:dyDescent="0.15">
      <c r="A535" s="139" t="s">
        <v>67</v>
      </c>
      <c r="B535" s="107">
        <v>21</v>
      </c>
      <c r="C535" s="107">
        <v>12</v>
      </c>
      <c r="D535" s="158" t="s">
        <v>432</v>
      </c>
      <c r="E535" s="107"/>
      <c r="F535" s="89">
        <f>SUM(F532:F534)</f>
        <v>237115.45</v>
      </c>
      <c r="G535" s="89">
        <f t="shared" ref="G535:L535" si="38">SUM(G532:G534)</f>
        <v>115356.99</v>
      </c>
      <c r="H535" s="89">
        <f t="shared" si="38"/>
        <v>2202.0299999999997</v>
      </c>
      <c r="I535" s="89">
        <f t="shared" si="38"/>
        <v>854.73</v>
      </c>
      <c r="J535" s="89">
        <f t="shared" si="38"/>
        <v>-126.99000000000001</v>
      </c>
      <c r="K535" s="89">
        <f t="shared" si="38"/>
        <v>1964.9999999999998</v>
      </c>
      <c r="L535" s="89">
        <f t="shared" si="38"/>
        <v>357367.21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22284.79</v>
      </c>
      <c r="I537" s="18">
        <v>0</v>
      </c>
      <c r="J537" s="18">
        <v>0</v>
      </c>
      <c r="K537" s="18">
        <v>0</v>
      </c>
      <c r="L537" s="88">
        <f>SUM(F537:K537)</f>
        <v>22284.79</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10486.96</v>
      </c>
      <c r="I539" s="18">
        <v>0</v>
      </c>
      <c r="J539" s="18">
        <v>0</v>
      </c>
      <c r="K539" s="18">
        <v>0</v>
      </c>
      <c r="L539" s="88">
        <f>SUM(F539:K539)</f>
        <v>10486.96</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32771.75</v>
      </c>
      <c r="I540" s="89">
        <f t="shared" si="39"/>
        <v>0</v>
      </c>
      <c r="J540" s="89">
        <f t="shared" si="39"/>
        <v>0</v>
      </c>
      <c r="K540" s="89">
        <f t="shared" si="39"/>
        <v>0</v>
      </c>
      <c r="L540" s="89">
        <f t="shared" si="39"/>
        <v>32771.75</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128939.0004</v>
      </c>
      <c r="I542" s="18">
        <v>0</v>
      </c>
      <c r="J542" s="18">
        <v>0</v>
      </c>
      <c r="K542" s="18">
        <v>0</v>
      </c>
      <c r="L542" s="88">
        <f>SUM(F542:K542)</f>
        <v>128939.0004</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229224.88959999999</v>
      </c>
      <c r="I544" s="18">
        <v>0</v>
      </c>
      <c r="J544" s="18">
        <v>0</v>
      </c>
      <c r="K544" s="18">
        <v>0</v>
      </c>
      <c r="L544" s="88">
        <f>SUM(F544:K544)</f>
        <v>229224.88959999999</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358163.89</v>
      </c>
      <c r="I545" s="192">
        <f t="shared" si="40"/>
        <v>0</v>
      </c>
      <c r="J545" s="192">
        <f t="shared" si="40"/>
        <v>0</v>
      </c>
      <c r="K545" s="192">
        <f t="shared" si="40"/>
        <v>0</v>
      </c>
      <c r="L545" s="192">
        <f t="shared" si="40"/>
        <v>358163.89</v>
      </c>
      <c r="M545" s="8"/>
      <c r="N545" s="265"/>
    </row>
    <row r="546" spans="1:14" s="3" customFormat="1" ht="12.2" customHeight="1" thickTop="1" x14ac:dyDescent="0.15">
      <c r="A546" s="98" t="s">
        <v>72</v>
      </c>
      <c r="B546" s="107">
        <v>21</v>
      </c>
      <c r="C546" s="107">
        <v>21</v>
      </c>
      <c r="D546" s="158" t="s">
        <v>432</v>
      </c>
      <c r="E546" s="107"/>
      <c r="F546" s="89">
        <f>F525+F530+F535+F540+F545</f>
        <v>3613220.64</v>
      </c>
      <c r="G546" s="89">
        <f t="shared" ref="G546:L546" si="41">G525+G530+G535+G540+G545</f>
        <v>1526107.97</v>
      </c>
      <c r="H546" s="89">
        <f t="shared" si="41"/>
        <v>2246428.1899999995</v>
      </c>
      <c r="I546" s="89">
        <f t="shared" si="41"/>
        <v>52558.630000000005</v>
      </c>
      <c r="J546" s="89">
        <f t="shared" si="41"/>
        <v>20914.739999999998</v>
      </c>
      <c r="K546" s="89">
        <f t="shared" si="41"/>
        <v>5308.4</v>
      </c>
      <c r="L546" s="89">
        <f t="shared" si="41"/>
        <v>7464538.5699999994</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3706223.5215999996</v>
      </c>
      <c r="G550" s="87">
        <f>L527</f>
        <v>938874.85479999997</v>
      </c>
      <c r="H550" s="87">
        <f>L532</f>
        <v>243009.7028</v>
      </c>
      <c r="I550" s="87">
        <f>L537</f>
        <v>22284.79</v>
      </c>
      <c r="J550" s="87">
        <f>L542</f>
        <v>128939.0004</v>
      </c>
      <c r="K550" s="87">
        <f>SUM(F550:J550)</f>
        <v>5039331.8695999999</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1589663.8783999998</v>
      </c>
      <c r="G552" s="87">
        <f>L529</f>
        <v>481473.46520000004</v>
      </c>
      <c r="H552" s="87">
        <f>L534</f>
        <v>114357.50720000002</v>
      </c>
      <c r="I552" s="87">
        <f>L539</f>
        <v>10486.96</v>
      </c>
      <c r="J552" s="87">
        <f>L544</f>
        <v>229224.88959999999</v>
      </c>
      <c r="K552" s="87">
        <f>SUM(F552:J552)</f>
        <v>2425206.7003999995</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5295887.3999999994</v>
      </c>
      <c r="G553" s="89">
        <f t="shared" si="42"/>
        <v>1420348.32</v>
      </c>
      <c r="H553" s="89">
        <f t="shared" si="42"/>
        <v>357367.21</v>
      </c>
      <c r="I553" s="89">
        <f t="shared" si="42"/>
        <v>32771.75</v>
      </c>
      <c r="J553" s="89">
        <f t="shared" si="42"/>
        <v>358163.89</v>
      </c>
      <c r="K553" s="89">
        <f t="shared" si="42"/>
        <v>7464538.5699999994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v>0</v>
      </c>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v>0</v>
      </c>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43447.47</v>
      </c>
      <c r="G563" s="18">
        <v>30510.308400000002</v>
      </c>
      <c r="H563" s="18">
        <v>0</v>
      </c>
      <c r="I563" s="18">
        <v>330.62699999999995</v>
      </c>
      <c r="J563" s="18">
        <v>0</v>
      </c>
      <c r="K563" s="18">
        <v>0</v>
      </c>
      <c r="L563" s="88">
        <f>SUM(F563:K563)</f>
        <v>74288.405400000003</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22382.03</v>
      </c>
      <c r="G565" s="18">
        <v>15717.431600000004</v>
      </c>
      <c r="H565" s="18">
        <v>0</v>
      </c>
      <c r="I565" s="18">
        <v>170.32300000000001</v>
      </c>
      <c r="J565" s="18">
        <v>0</v>
      </c>
      <c r="K565" s="18">
        <v>0</v>
      </c>
      <c r="L565" s="88">
        <f>SUM(F565:K565)</f>
        <v>38269.784599999999</v>
      </c>
      <c r="M565" s="8"/>
      <c r="N565" s="265"/>
    </row>
    <row r="566" spans="1:14" s="3" customFormat="1" ht="12.2" customHeight="1" thickTop="1" x14ac:dyDescent="0.15">
      <c r="A566" s="139" t="s">
        <v>65</v>
      </c>
      <c r="B566" s="107">
        <v>22</v>
      </c>
      <c r="C566" s="107">
        <v>8</v>
      </c>
      <c r="D566" s="195" t="s">
        <v>432</v>
      </c>
      <c r="E566" s="107"/>
      <c r="F566" s="89">
        <f t="shared" ref="F566:L566" si="44">SUM(F563:F565)</f>
        <v>65829.5</v>
      </c>
      <c r="G566" s="89">
        <f t="shared" si="44"/>
        <v>46227.740000000005</v>
      </c>
      <c r="H566" s="89">
        <f t="shared" si="44"/>
        <v>0</v>
      </c>
      <c r="I566" s="89">
        <f t="shared" si="44"/>
        <v>500.94999999999993</v>
      </c>
      <c r="J566" s="89">
        <f t="shared" si="44"/>
        <v>0</v>
      </c>
      <c r="K566" s="89">
        <f t="shared" si="44"/>
        <v>0</v>
      </c>
      <c r="L566" s="89">
        <f t="shared" si="44"/>
        <v>112558.19</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v>0</v>
      </c>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v>0</v>
      </c>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65829.5</v>
      </c>
      <c r="G572" s="89">
        <f t="shared" ref="G572:L572" si="46">G561+G566+G571</f>
        <v>46227.740000000005</v>
      </c>
      <c r="H572" s="89">
        <f t="shared" si="46"/>
        <v>0</v>
      </c>
      <c r="I572" s="89">
        <f t="shared" si="46"/>
        <v>500.94999999999993</v>
      </c>
      <c r="J572" s="89">
        <f t="shared" si="46"/>
        <v>0</v>
      </c>
      <c r="K572" s="89">
        <f t="shared" si="46"/>
        <v>0</v>
      </c>
      <c r="L572" s="89">
        <f t="shared" si="46"/>
        <v>112558.19</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27817.93</v>
      </c>
      <c r="G580" s="18">
        <v>0</v>
      </c>
      <c r="H580" s="18">
        <v>0</v>
      </c>
      <c r="I580" s="87">
        <f t="shared" si="47"/>
        <v>27817.93</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407375.71</v>
      </c>
      <c r="G583" s="18">
        <v>0</v>
      </c>
      <c r="H583" s="18">
        <v>446766.48</v>
      </c>
      <c r="I583" s="87">
        <f t="shared" si="47"/>
        <v>854142.19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62699.42</v>
      </c>
      <c r="G584" s="18">
        <v>0</v>
      </c>
      <c r="H584" s="18">
        <v>8030.98</v>
      </c>
      <c r="I584" s="87">
        <f t="shared" si="47"/>
        <v>70730.399999999994</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103723.64</v>
      </c>
      <c r="I585" s="87">
        <f t="shared" si="47"/>
        <v>103723.64</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734353.32</v>
      </c>
      <c r="I592" s="18">
        <v>0</v>
      </c>
      <c r="J592" s="18">
        <v>378303.22</v>
      </c>
      <c r="K592" s="104">
        <f t="shared" ref="K592:K598" si="48">SUM(H592:J592)</f>
        <v>1112656.54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186245.22</v>
      </c>
      <c r="I593" s="18">
        <v>0</v>
      </c>
      <c r="J593" s="18">
        <v>171918.67</v>
      </c>
      <c r="K593" s="104">
        <f t="shared" si="48"/>
        <v>358163.89</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172781.14</v>
      </c>
      <c r="K594" s="104">
        <f t="shared" si="48"/>
        <v>172781.14</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15146.08</v>
      </c>
      <c r="I595" s="18">
        <v>0</v>
      </c>
      <c r="J595" s="18">
        <v>73771.039999999994</v>
      </c>
      <c r="K595" s="104">
        <f t="shared" si="48"/>
        <v>88917.119999999995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935744.61999999988</v>
      </c>
      <c r="I599" s="108">
        <f>SUM(I592:I598)</f>
        <v>0</v>
      </c>
      <c r="J599" s="108">
        <f>SUM(J592:J598)</f>
        <v>796774.07000000007</v>
      </c>
      <c r="K599" s="108">
        <f>SUM(K592:K598)</f>
        <v>1732518.6900000004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296450.23</v>
      </c>
      <c r="I605" s="18">
        <v>0</v>
      </c>
      <c r="J605" s="18">
        <v>194160.65</v>
      </c>
      <c r="K605" s="104">
        <f>SUM(H605:J605)</f>
        <v>490610.88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296450.23</v>
      </c>
      <c r="I606" s="108">
        <f>SUM(I603:I605)</f>
        <v>0</v>
      </c>
      <c r="J606" s="108">
        <f>SUM(J603:J605)</f>
        <v>194160.65</v>
      </c>
      <c r="K606" s="108">
        <f>SUM(K603:K605)</f>
        <v>490610.88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52241.285599999996</v>
      </c>
      <c r="G612" s="18">
        <v>11008.730799999999</v>
      </c>
      <c r="H612" s="18">
        <v>97699.176800000001</v>
      </c>
      <c r="I612" s="18">
        <v>416.69039999999995</v>
      </c>
      <c r="J612" s="18">
        <v>0</v>
      </c>
      <c r="K612" s="18">
        <v>97.138000000000005</v>
      </c>
      <c r="L612" s="88">
        <f>SUM(F612:K612)</f>
        <v>161463.02159999998</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24584.134399999999</v>
      </c>
      <c r="G614" s="18">
        <v>5180.5792000000001</v>
      </c>
      <c r="H614" s="18">
        <v>45976.083200000001</v>
      </c>
      <c r="I614" s="18">
        <v>196.08959999999999</v>
      </c>
      <c r="J614" s="18">
        <v>0</v>
      </c>
      <c r="K614" s="18">
        <v>45.712000000000003</v>
      </c>
      <c r="L614" s="88">
        <f>SUM(F614:K614)</f>
        <v>75982.598400000003</v>
      </c>
      <c r="M614" s="8"/>
      <c r="N614" s="265"/>
    </row>
    <row r="615" spans="1:14" s="3" customFormat="1" ht="12.2" customHeight="1" thickTop="1" x14ac:dyDescent="0.15">
      <c r="A615" s="98" t="s">
        <v>340</v>
      </c>
      <c r="B615" s="107">
        <v>23</v>
      </c>
      <c r="C615" s="107">
        <v>16</v>
      </c>
      <c r="D615" s="39" t="s">
        <v>432</v>
      </c>
      <c r="E615" s="107"/>
      <c r="F615" s="108">
        <f t="shared" ref="F615:L615" si="49">SUM(F612:F614)</f>
        <v>76825.42</v>
      </c>
      <c r="G615" s="108">
        <f t="shared" si="49"/>
        <v>16189.31</v>
      </c>
      <c r="H615" s="108">
        <f t="shared" si="49"/>
        <v>143675.26</v>
      </c>
      <c r="I615" s="108">
        <f t="shared" si="49"/>
        <v>612.78</v>
      </c>
      <c r="J615" s="108">
        <f t="shared" si="49"/>
        <v>0</v>
      </c>
      <c r="K615" s="108">
        <f t="shared" si="49"/>
        <v>142.85000000000002</v>
      </c>
      <c r="L615" s="89">
        <f t="shared" si="49"/>
        <v>237445.62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4370440.72</v>
      </c>
      <c r="H618" s="109">
        <f>SUM(F52)</f>
        <v>4370440.72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271069.75</v>
      </c>
      <c r="H619" s="109">
        <f>SUM(G52)</f>
        <v>271069.75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570697.69999999995</v>
      </c>
      <c r="H620" s="109">
        <f>SUM(H52)</f>
        <v>570697.69999999995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24985568.91</v>
      </c>
      <c r="H621" s="109">
        <f>SUM(I52)</f>
        <v>24985568.91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644356.88</v>
      </c>
      <c r="H622" s="109">
        <f>SUM(J52)</f>
        <v>644356.88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3683048.25</v>
      </c>
      <c r="H623" s="109">
        <f>F477</f>
        <v>3683048.25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215806.23</v>
      </c>
      <c r="H624" s="109">
        <f>G477</f>
        <v>215806.2300000001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24261195.59</v>
      </c>
      <c r="H626" s="109">
        <f>I477</f>
        <v>24261195.59</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644356.88</v>
      </c>
      <c r="H627" s="109">
        <f>J477</f>
        <v>644356.88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32085611.139999997</v>
      </c>
      <c r="H628" s="104">
        <f>SUM(F469)</f>
        <v>32085611.140000001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1046639.81</v>
      </c>
      <c r="H629" s="104">
        <f>SUM(G469)</f>
        <v>1046639.81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1077172.32</v>
      </c>
      <c r="H630" s="104">
        <f>SUM(H469)</f>
        <v>1077172.32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32001641.280000001</v>
      </c>
      <c r="H631" s="104">
        <f>SUM(I469)</f>
        <v>32001641.280000001</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-63961.900000000009</v>
      </c>
      <c r="H632" s="104">
        <f>SUM(J469)</f>
        <v>-63961.9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31983162.528199993</v>
      </c>
      <c r="H633" s="104">
        <f>SUM(F473)</f>
        <v>31983162.530000001</v>
      </c>
      <c r="I633" s="140" t="s">
        <v>111</v>
      </c>
      <c r="J633" s="109">
        <f t="shared" si="50"/>
        <v>-1.8000081181526184E-3</v>
      </c>
      <c r="K633" s="85"/>
      <c r="L633" s="88"/>
      <c r="M633" s="8"/>
    </row>
    <row r="634" spans="1:13" s="3" customFormat="1" ht="12.2" customHeight="1" x14ac:dyDescent="0.15">
      <c r="A634" s="22"/>
      <c r="B634" s="105"/>
      <c r="C634" s="105"/>
      <c r="D634" s="105"/>
      <c r="E634" s="105"/>
      <c r="F634" s="120" t="s">
        <v>395</v>
      </c>
      <c r="G634" s="109">
        <f>SUM(L353)</f>
        <v>1077172.32</v>
      </c>
      <c r="H634" s="104">
        <f>SUM(H473)</f>
        <v>1077172.32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384167.69</v>
      </c>
      <c r="H635" s="104">
        <f>I370</f>
        <v>384167.69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917660.11999999988</v>
      </c>
      <c r="H636" s="104">
        <f>SUM(G473)</f>
        <v>917660.12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7740445.6900000004</v>
      </c>
      <c r="H637" s="104">
        <f>SUM(I473)</f>
        <v>7740445.6900000004</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-63961.899999999994</v>
      </c>
      <c r="H638" s="164">
        <f>SUM(J469)</f>
        <v>-63961.9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2165.94</v>
      </c>
      <c r="H639" s="164">
        <f>SUM(J473)</f>
        <v>2165.94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297226.33</v>
      </c>
      <c r="H640" s="104">
        <f>SUM(F462)</f>
        <v>297226.33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347130.55</v>
      </c>
      <c r="H641" s="104">
        <f>SUM(G462)</f>
        <v>347130.55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644356.88</v>
      </c>
      <c r="H643" s="104">
        <f>SUM(I462)</f>
        <v>644356.88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4123.92</v>
      </c>
      <c r="H645" s="104">
        <f>H409</f>
        <v>4123.92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-63961.900000000009</v>
      </c>
      <c r="H647" s="104">
        <f>L409</f>
        <v>-63961.899999999994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1732518.6900000004</v>
      </c>
      <c r="H648" s="104">
        <f>L209+L227+L245</f>
        <v>1732518.69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490610.88</v>
      </c>
      <c r="H649" s="104">
        <f>(J258+J339)-(J256+J337)</f>
        <v>490610.88479999994</v>
      </c>
      <c r="I649" s="140" t="s">
        <v>699</v>
      </c>
      <c r="J649" s="109">
        <f t="shared" si="50"/>
        <v>-4.7999999369494617E-3</v>
      </c>
      <c r="K649" s="85"/>
      <c r="L649" s="88"/>
      <c r="M649" s="8"/>
    </row>
    <row r="650" spans="1:13" s="3" customFormat="1" ht="12.2" customHeight="1" x14ac:dyDescent="0.15">
      <c r="A650" s="22"/>
      <c r="B650" s="105"/>
      <c r="C650" s="105"/>
      <c r="D650" s="105"/>
      <c r="E650" s="105"/>
      <c r="F650" s="120" t="s">
        <v>387</v>
      </c>
      <c r="G650" s="109">
        <f>L209</f>
        <v>935744.62</v>
      </c>
      <c r="H650" s="104">
        <f>H599</f>
        <v>935744.61999999988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796774.07</v>
      </c>
      <c r="H652" s="104">
        <f>J599</f>
        <v>796774.07000000007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-6.5999925136566162E-3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19211816.010299999</v>
      </c>
      <c r="G661" s="19">
        <f>(L230+L310+L360)</f>
        <v>0</v>
      </c>
      <c r="H661" s="19">
        <f>(L248+L329+L361)</f>
        <v>11864463.517899999</v>
      </c>
      <c r="I661" s="19">
        <f>SUM(F661:H661)</f>
        <v>31076279.528200001</v>
      </c>
      <c r="J661" s="13"/>
      <c r="K661" s="13"/>
      <c r="L661" s="13"/>
      <c r="M661" s="9"/>
    </row>
    <row r="662" spans="1:13" s="3" customFormat="1" ht="12.2" customHeight="1" x14ac:dyDescent="0.2">
      <c r="A662" s="1" t="s">
        <v>127</v>
      </c>
      <c r="F662" s="19">
        <f>(L359/IF(SUM(L359:L361)=0,1,SUM(L359:L361))*(SUM(G97:G110)))</f>
        <v>80899.236114560597</v>
      </c>
      <c r="G662" s="19">
        <f>(L360/IF(SUM(L359:L361)=0,1,SUM(L359:L361))*(SUM(G97:G110)))</f>
        <v>0</v>
      </c>
      <c r="H662" s="19">
        <f>(L361/IF(SUM(L359:L361)=0,1,SUM(L359:L361))*(SUM(G97:G110)))</f>
        <v>39994.923885439421</v>
      </c>
      <c r="I662" s="19">
        <f>SUM(F662:H662)</f>
        <v>120894.16000000002</v>
      </c>
      <c r="J662"/>
      <c r="K662" s="13"/>
      <c r="L662" s="13"/>
      <c r="M662" s="8"/>
    </row>
    <row r="663" spans="1:13" s="3" customFormat="1" ht="12.2" customHeight="1" x14ac:dyDescent="0.2">
      <c r="A663" s="1" t="s">
        <v>128</v>
      </c>
      <c r="F663" s="19">
        <f>(L209+L288)-(J209+J288)</f>
        <v>946219.08400000003</v>
      </c>
      <c r="G663" s="19">
        <f>(L227+L307)-(J227+J307)</f>
        <v>0</v>
      </c>
      <c r="H663" s="19">
        <f>(L245+L326)-(J245+J326)</f>
        <v>802170.00599999994</v>
      </c>
      <c r="I663" s="19">
        <f>SUM(F663:H663)</f>
        <v>1748389.0899999999</v>
      </c>
      <c r="J663"/>
      <c r="K663" s="13"/>
      <c r="L663" s="13"/>
      <c r="M663" s="9"/>
    </row>
    <row r="664" spans="1:13" s="3" customFormat="1" ht="12.2" customHeight="1" x14ac:dyDescent="0.15">
      <c r="A664" s="197" t="s">
        <v>129</v>
      </c>
      <c r="B664" s="169"/>
      <c r="C664" s="169"/>
      <c r="D664" s="169"/>
      <c r="E664" s="169"/>
      <c r="F664" s="198">
        <f>SUM(F576:F588)+SUM(H603:H605)+SUM(L612)</f>
        <v>955806.31160000002</v>
      </c>
      <c r="G664" s="198">
        <f>SUM(G576:G588)+SUM(I603:I605)+L613</f>
        <v>0</v>
      </c>
      <c r="H664" s="198">
        <f>SUM(H576:H588)+SUM(J603:J605)+L614</f>
        <v>828664.34840000002</v>
      </c>
      <c r="I664" s="19">
        <f>SUM(F664:H664)</f>
        <v>1784470.6600000001</v>
      </c>
      <c r="J664" s="13"/>
      <c r="K664" s="13"/>
      <c r="L664" s="13"/>
      <c r="M664" s="9"/>
    </row>
    <row r="665" spans="1:13" s="3" customFormat="1" ht="12.2" customHeight="1" x14ac:dyDescent="0.15">
      <c r="A665" s="1" t="s">
        <v>130</v>
      </c>
      <c r="F665" s="19">
        <f>F661-SUM(F662:F664)</f>
        <v>17228891.378585439</v>
      </c>
      <c r="G665" s="19">
        <f>G661-SUM(G662:G664)</f>
        <v>0</v>
      </c>
      <c r="H665" s="19">
        <f>H661-SUM(H662:H664)</f>
        <v>10193634.239614559</v>
      </c>
      <c r="I665" s="19">
        <f>I661-SUM(I662:I664)</f>
        <v>27422525.6182</v>
      </c>
      <c r="J665" s="13"/>
      <c r="K665" s="13"/>
      <c r="L665" s="13"/>
      <c r="M665" s="8"/>
    </row>
    <row r="666" spans="1:13" s="3" customFormat="1" ht="12.2" customHeight="1" x14ac:dyDescent="0.2">
      <c r="A666" s="1" t="s">
        <v>131</v>
      </c>
      <c r="F666" s="245">
        <v>1038.98</v>
      </c>
      <c r="G666" s="246">
        <v>0</v>
      </c>
      <c r="H666" s="246">
        <v>574.98</v>
      </c>
      <c r="I666" s="19">
        <f>SUM(F666:H666)</f>
        <v>1613.96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16582.509999999998</v>
      </c>
      <c r="G668" s="19" t="e">
        <f>ROUND(G665/G666,2)</f>
        <v>#DIV/0!</v>
      </c>
      <c r="H668" s="19">
        <f>ROUND(H665/H666,2)</f>
        <v>17728.68</v>
      </c>
      <c r="I668" s="19">
        <f>ROUND(I665/I666,2)</f>
        <v>16990.830000000002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v>0</v>
      </c>
      <c r="G671" s="18">
        <v>0</v>
      </c>
      <c r="H671" s="18">
        <v>-17.989999999999998</v>
      </c>
      <c r="I671" s="19">
        <f>SUM(F671:H671)</f>
        <v>-17.989999999999998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16582.509999999998</v>
      </c>
      <c r="G673" s="19" t="e">
        <f>ROUND((G665+G670)/(G666+G671),2)</f>
        <v>#DIV/0!</v>
      </c>
      <c r="H673" s="19">
        <f>ROUND((H665+H670)/(H666+H671),2)</f>
        <v>18301.29</v>
      </c>
      <c r="I673" s="19">
        <f>ROUND((I665+I670)/(I666+I671),2)</f>
        <v>17182.36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131956.01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75074.5</v>
      </c>
      <c r="F9" s="349" t="s">
        <v>1644</v>
      </c>
    </row>
    <row r="10" spans="2:8" x14ac:dyDescent="0.25">
      <c r="B10" s="348"/>
      <c r="C10" s="348"/>
      <c r="D10" s="348"/>
      <c r="E10" s="348"/>
      <c r="F10" s="348"/>
    </row>
    <row r="11" spans="2:8" x14ac:dyDescent="0.25">
      <c r="B11" s="348"/>
      <c r="C11" s="352" t="s">
        <v>1648</v>
      </c>
      <c r="D11" s="349" t="s">
        <v>1651</v>
      </c>
      <c r="E11" s="336">
        <v>8535.7000000000007</v>
      </c>
      <c r="F11" s="349" t="s">
        <v>1645</v>
      </c>
    </row>
    <row r="12" spans="2:8" x14ac:dyDescent="0.25">
      <c r="B12" s="348"/>
      <c r="C12" s="348"/>
      <c r="D12" s="349"/>
      <c r="E12" s="348"/>
      <c r="F12" s="348"/>
    </row>
    <row r="13" spans="2:8" x14ac:dyDescent="0.25">
      <c r="B13" s="348"/>
      <c r="C13" s="349" t="s">
        <v>1638</v>
      </c>
      <c r="D13" s="349" t="s">
        <v>1652</v>
      </c>
      <c r="E13" s="336">
        <v>48345.81</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7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Pelham</v>
      </c>
      <c r="C5" s="376"/>
      <c r="D5" s="376"/>
      <c r="E5" s="376"/>
      <c r="F5" s="376"/>
    </row>
    <row r="8" spans="1:9" ht="18" x14ac:dyDescent="0.25">
      <c r="A8" s="312" t="s">
        <v>1568</v>
      </c>
      <c r="F8" s="319" t="s">
        <v>1586</v>
      </c>
    </row>
    <row r="9" spans="1:9" ht="15" x14ac:dyDescent="0.2">
      <c r="A9" s="310" t="s">
        <v>1569</v>
      </c>
      <c r="B9" s="313">
        <f>'DOE25'!G97</f>
        <v>120894.16</v>
      </c>
      <c r="F9" s="310" t="s">
        <v>1582</v>
      </c>
    </row>
    <row r="10" spans="1:9" ht="15" x14ac:dyDescent="0.2">
      <c r="A10" s="310" t="s">
        <v>1570</v>
      </c>
      <c r="B10" s="313">
        <f>'DOE25'!G112-'DOE25'!G97</f>
        <v>0</v>
      </c>
      <c r="F10" s="310" t="s">
        <v>1583</v>
      </c>
    </row>
    <row r="11" spans="1:9" ht="15" x14ac:dyDescent="0.2">
      <c r="A11" s="310" t="s">
        <v>1571</v>
      </c>
      <c r="B11" s="313">
        <f>'DOE25'!G140</f>
        <v>22702.15</v>
      </c>
      <c r="F11" s="310" t="s">
        <v>1584</v>
      </c>
    </row>
    <row r="12" spans="1:9" ht="15" x14ac:dyDescent="0.2">
      <c r="A12" s="310" t="s">
        <v>1572</v>
      </c>
      <c r="B12" s="313">
        <f>'DOE25'!G170</f>
        <v>903043.5</v>
      </c>
      <c r="F12" s="310" t="s">
        <v>1585</v>
      </c>
    </row>
    <row r="13" spans="1:9" ht="15" x14ac:dyDescent="0.2">
      <c r="A13" s="310" t="s">
        <v>1573</v>
      </c>
      <c r="B13" s="313">
        <f>'DOE25'!G193-'DOE25'!G180</f>
        <v>0</v>
      </c>
      <c r="F13" s="310" t="s">
        <v>1595</v>
      </c>
    </row>
    <row r="14" spans="1:9" ht="18" x14ac:dyDescent="0.25">
      <c r="A14" s="312" t="s">
        <v>732</v>
      </c>
      <c r="B14" s="314">
        <f>SUM(B9:B13)</f>
        <v>1046639.81</v>
      </c>
    </row>
    <row r="16" spans="1:9" ht="18" x14ac:dyDescent="0.25">
      <c r="A16" s="312" t="s">
        <v>786</v>
      </c>
      <c r="F16" s="319" t="s">
        <v>1587</v>
      </c>
    </row>
    <row r="17" spans="1:6" ht="15" x14ac:dyDescent="0.2">
      <c r="A17" s="310" t="s">
        <v>1574</v>
      </c>
      <c r="B17" s="313">
        <f>'DOE25'!L363-'DOE25'!L362</f>
        <v>917660.11999999988</v>
      </c>
      <c r="F17" s="310" t="s">
        <v>1588</v>
      </c>
    </row>
    <row r="18" spans="1:6" ht="15" x14ac:dyDescent="0.2">
      <c r="A18" s="310" t="s">
        <v>1575</v>
      </c>
      <c r="B18" s="323">
        <v>0</v>
      </c>
      <c r="F18" s="319" t="s">
        <v>1612</v>
      </c>
    </row>
    <row r="19" spans="1:6" ht="18" x14ac:dyDescent="0.25">
      <c r="A19" s="312" t="s">
        <v>725</v>
      </c>
      <c r="B19" s="314">
        <f>SUM(B17:B18)</f>
        <v>917660.11999999988</v>
      </c>
    </row>
    <row r="21" spans="1:6" ht="18.75" thickBot="1" x14ac:dyDescent="0.3">
      <c r="A21" s="312" t="s">
        <v>1576</v>
      </c>
    </row>
    <row r="22" spans="1:6" ht="18.75" thickTop="1" x14ac:dyDescent="0.25">
      <c r="A22" s="312" t="s">
        <v>1577</v>
      </c>
      <c r="B22" s="318">
        <f>B14-B19</f>
        <v>128979.69000000018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86827.94</v>
      </c>
      <c r="F31" s="310" t="s">
        <v>1592</v>
      </c>
    </row>
    <row r="33" spans="1:6" ht="15" x14ac:dyDescent="0.2">
      <c r="A33" s="310" t="s">
        <v>1635</v>
      </c>
      <c r="B33" s="313">
        <f>'DOE25'!G477</f>
        <v>215806.2300000001</v>
      </c>
      <c r="F33" s="310" t="s">
        <v>1593</v>
      </c>
    </row>
    <row r="36" spans="1:6" ht="15" x14ac:dyDescent="0.2">
      <c r="A36" s="310" t="s">
        <v>1579</v>
      </c>
      <c r="B36" s="324">
        <v>67270.7</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Pelham</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6961766.4095999999</v>
      </c>
      <c r="C9" s="228">
        <f>'DOE25'!G198+'DOE25'!G216+'DOE25'!G234+'DOE25'!G277+'DOE25'!G296+'DOE25'!G315</f>
        <v>3972933.0590000004</v>
      </c>
    </row>
    <row r="10" spans="1:3" x14ac:dyDescent="0.2">
      <c r="A10" t="s">
        <v>775</v>
      </c>
      <c r="B10" s="239">
        <v>6578418.2400000002</v>
      </c>
      <c r="C10" s="239">
        <v>3890056.8</v>
      </c>
    </row>
    <row r="11" spans="1:3" x14ac:dyDescent="0.2">
      <c r="A11" t="s">
        <v>776</v>
      </c>
      <c r="B11" s="239">
        <v>176480.14</v>
      </c>
      <c r="C11" s="239">
        <v>60362.55</v>
      </c>
    </row>
    <row r="12" spans="1:3" x14ac:dyDescent="0.2">
      <c r="A12" t="s">
        <v>777</v>
      </c>
      <c r="B12" s="239">
        <v>206868.03</v>
      </c>
      <c r="C12" s="239">
        <v>22513.71</v>
      </c>
    </row>
    <row r="13" spans="1:3" x14ac:dyDescent="0.2">
      <c r="A13" t="str">
        <f>IF(B9=B13,IF(C9=C13,"Check Total OK","Check Total Error"),"Check Total Error")</f>
        <v>Check Total Error</v>
      </c>
      <c r="B13" s="230">
        <f>SUM(B10:B12)</f>
        <v>6961766.4100000001</v>
      </c>
      <c r="C13" s="230">
        <f>SUM(C10:C12)</f>
        <v>3972933.0599999996</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2952919.9431999996</v>
      </c>
      <c r="C18" s="228">
        <f>'DOE25'!G199+'DOE25'!G217+'DOE25'!G235+'DOE25'!G278+'DOE25'!G297+'DOE25'!G316</f>
        <v>1191312.0996000001</v>
      </c>
    </row>
    <row r="19" spans="1:3" x14ac:dyDescent="0.2">
      <c r="A19" t="s">
        <v>775</v>
      </c>
      <c r="B19" s="239">
        <v>1629348.24</v>
      </c>
      <c r="C19" s="239">
        <v>894845.91</v>
      </c>
    </row>
    <row r="20" spans="1:3" x14ac:dyDescent="0.2">
      <c r="A20" t="s">
        <v>776</v>
      </c>
      <c r="B20" s="239">
        <v>914719.31</v>
      </c>
      <c r="C20" s="239">
        <v>150146.10999999999</v>
      </c>
    </row>
    <row r="21" spans="1:3" x14ac:dyDescent="0.2">
      <c r="A21" t="s">
        <v>777</v>
      </c>
      <c r="B21" s="239">
        <v>408852.39</v>
      </c>
      <c r="C21" s="239">
        <v>146320.07999999999</v>
      </c>
    </row>
    <row r="22" spans="1:3" x14ac:dyDescent="0.2">
      <c r="A22" t="str">
        <f>IF(B18=B22,IF(C18=C22,"Check Total OK","Check Total Error"),"Check Total Error")</f>
        <v>Check Total Error</v>
      </c>
      <c r="B22" s="230">
        <f>SUM(B19:B21)</f>
        <v>2952919.94</v>
      </c>
      <c r="C22" s="230">
        <f>SUM(C19:C21)</f>
        <v>1191312.1000000001</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361261.84</v>
      </c>
      <c r="C36" s="234">
        <f>'DOE25'!G201+'DOE25'!G219+'DOE25'!G237+'DOE25'!G280+'DOE25'!G299+'DOE25'!G318</f>
        <v>135413.13</v>
      </c>
    </row>
    <row r="37" spans="1:3" x14ac:dyDescent="0.2">
      <c r="A37" t="s">
        <v>775</v>
      </c>
      <c r="B37" s="239">
        <v>145606.87</v>
      </c>
      <c r="C37" s="239">
        <v>41585.65</v>
      </c>
    </row>
    <row r="38" spans="1:3" x14ac:dyDescent="0.2">
      <c r="A38" t="s">
        <v>776</v>
      </c>
      <c r="B38" s="239">
        <v>4550.45</v>
      </c>
      <c r="C38" s="239">
        <v>369.39</v>
      </c>
    </row>
    <row r="39" spans="1:3" x14ac:dyDescent="0.2">
      <c r="A39" t="s">
        <v>777</v>
      </c>
      <c r="B39" s="239">
        <v>211104.52</v>
      </c>
      <c r="C39" s="239">
        <v>93458.09</v>
      </c>
    </row>
    <row r="40" spans="1:3" x14ac:dyDescent="0.2">
      <c r="A40" t="str">
        <f>IF(B36=B40,IF(C36=C40,"Check Total OK","Check Total Error"),"Check Total Error")</f>
        <v>Check Total OK</v>
      </c>
      <c r="B40" s="230">
        <f>SUM(B37:B39)</f>
        <v>361261.83999999997</v>
      </c>
      <c r="C40" s="230">
        <f>SUM(C37:C39)</f>
        <v>135413.13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Pelham</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17177860.837799996</v>
      </c>
      <c r="D5" s="20">
        <f>SUM('DOE25'!L198:L201)+SUM('DOE25'!L216:L219)+SUM('DOE25'!L234:L237)-F5-G5-H5</f>
        <v>16844244.280999996</v>
      </c>
      <c r="E5" s="242"/>
      <c r="F5" s="243">
        <v>59882.79</v>
      </c>
      <c r="G5" s="53">
        <f>SUM('DOE25'!J198:J201)+SUM('DOE25'!J216:J219)+SUM('DOE25'!J234:J237)</f>
        <v>233082.23480000001</v>
      </c>
      <c r="H5" s="53">
        <f>SUM('DOE25'!K198:K201)+SUM('DOE25'!K216:K219)+SUM('DOE25'!K234:K237)</f>
        <v>40651.531999999999</v>
      </c>
      <c r="I5" s="255"/>
    </row>
    <row r="6" spans="1:9" x14ac:dyDescent="0.2">
      <c r="A6" s="32">
        <v>2100</v>
      </c>
      <c r="B6" t="s">
        <v>796</v>
      </c>
      <c r="C6" s="274">
        <f t="shared" si="0"/>
        <v>2999763.4400000004</v>
      </c>
      <c r="D6" s="20">
        <f>'DOE25'!L203+'DOE25'!L221+'DOE25'!L239-F6-G6-H6</f>
        <v>2588028.8000000003</v>
      </c>
      <c r="E6" s="242"/>
      <c r="F6" s="243">
        <v>404010.57</v>
      </c>
      <c r="G6" s="53">
        <f>'DOE25'!J203+'DOE25'!J221+'DOE25'!J239</f>
        <v>4323.24</v>
      </c>
      <c r="H6" s="53">
        <f>'DOE25'!K203+'DOE25'!K221+'DOE25'!K239</f>
        <v>3400.83</v>
      </c>
      <c r="I6" s="255"/>
    </row>
    <row r="7" spans="1:9" x14ac:dyDescent="0.2">
      <c r="A7" s="32">
        <v>2200</v>
      </c>
      <c r="B7" t="s">
        <v>821</v>
      </c>
      <c r="C7" s="274">
        <f t="shared" si="0"/>
        <v>1027221.2999999999</v>
      </c>
      <c r="D7" s="20">
        <f>'DOE25'!L204+'DOE25'!L222+'DOE25'!L240-F7-G7-H7</f>
        <v>916105.49999999988</v>
      </c>
      <c r="E7" s="242"/>
      <c r="F7" s="243">
        <v>0</v>
      </c>
      <c r="G7" s="53">
        <f>'DOE25'!J204+'DOE25'!J222+'DOE25'!J240</f>
        <v>104455.17</v>
      </c>
      <c r="H7" s="53">
        <f>'DOE25'!K204+'DOE25'!K222+'DOE25'!K240</f>
        <v>6660.63</v>
      </c>
      <c r="I7" s="255"/>
    </row>
    <row r="8" spans="1:9" x14ac:dyDescent="0.2">
      <c r="A8" s="32">
        <v>2300</v>
      </c>
      <c r="B8" t="s">
        <v>797</v>
      </c>
      <c r="C8" s="274">
        <f t="shared" si="0"/>
        <v>412215.72440000012</v>
      </c>
      <c r="D8" s="242"/>
      <c r="E8" s="20">
        <f>'DOE25'!L205+'DOE25'!L223+'DOE25'!L241-F8-G8-H8-D9-D11</f>
        <v>389199.1700000001</v>
      </c>
      <c r="F8" s="243">
        <v>0</v>
      </c>
      <c r="G8" s="53">
        <f>'DOE25'!J205+'DOE25'!J223+'DOE25'!J241</f>
        <v>-126.98999999999998</v>
      </c>
      <c r="H8" s="53">
        <f>'DOE25'!K205+'DOE25'!K223+'DOE25'!K241</f>
        <v>23143.544399999999</v>
      </c>
      <c r="I8" s="255"/>
    </row>
    <row r="9" spans="1:9" ht="14.25" x14ac:dyDescent="0.2">
      <c r="A9" s="32">
        <v>2310</v>
      </c>
      <c r="B9" s="184" t="s">
        <v>888</v>
      </c>
      <c r="C9" s="274">
        <f t="shared" si="0"/>
        <v>19772.5</v>
      </c>
      <c r="D9" s="243">
        <v>19772.5</v>
      </c>
      <c r="E9" s="242"/>
      <c r="F9" s="252"/>
      <c r="G9" s="252"/>
      <c r="H9" s="252"/>
      <c r="I9" s="255"/>
    </row>
    <row r="10" spans="1:9" ht="14.25" x14ac:dyDescent="0.2">
      <c r="A10" s="32">
        <v>2317</v>
      </c>
      <c r="B10" s="184" t="s">
        <v>889</v>
      </c>
      <c r="C10" s="274">
        <f t="shared" si="0"/>
        <v>18755</v>
      </c>
      <c r="D10" s="242"/>
      <c r="E10" s="243">
        <v>18755</v>
      </c>
      <c r="F10" s="252"/>
      <c r="G10" s="252"/>
      <c r="H10" s="252"/>
      <c r="I10" s="255"/>
    </row>
    <row r="11" spans="1:9" ht="14.25" x14ac:dyDescent="0.2">
      <c r="A11" s="32">
        <v>2321</v>
      </c>
      <c r="B11" s="184" t="s">
        <v>890</v>
      </c>
      <c r="C11" s="274">
        <f t="shared" si="0"/>
        <v>380197.19</v>
      </c>
      <c r="D11" s="243">
        <v>380197.19</v>
      </c>
      <c r="E11" s="242"/>
      <c r="F11" s="252"/>
      <c r="G11" s="252"/>
      <c r="H11" s="252"/>
      <c r="I11" s="255"/>
    </row>
    <row r="12" spans="1:9" x14ac:dyDescent="0.2">
      <c r="A12" s="32">
        <v>2400</v>
      </c>
      <c r="B12" t="s">
        <v>711</v>
      </c>
      <c r="C12" s="274">
        <f t="shared" si="0"/>
        <v>1668850.06</v>
      </c>
      <c r="D12" s="20">
        <f>'DOE25'!L206+'DOE25'!L224+'DOE25'!L242-F12-G12-H12</f>
        <v>1641950.05</v>
      </c>
      <c r="E12" s="242"/>
      <c r="F12" s="243">
        <v>0</v>
      </c>
      <c r="G12" s="53">
        <f>'DOE25'!J206+'DOE25'!J224+'DOE25'!J242</f>
        <v>2056.4299999999998</v>
      </c>
      <c r="H12" s="53">
        <f>'DOE25'!K206+'DOE25'!K224+'DOE25'!K242</f>
        <v>24843.58</v>
      </c>
      <c r="I12" s="255"/>
    </row>
    <row r="13" spans="1:9" x14ac:dyDescent="0.2">
      <c r="A13" s="32">
        <v>2500</v>
      </c>
      <c r="B13" t="s">
        <v>798</v>
      </c>
      <c r="C13" s="274">
        <f t="shared" si="0"/>
        <v>437131.576</v>
      </c>
      <c r="D13" s="242"/>
      <c r="E13" s="20">
        <f>'DOE25'!L207+'DOE25'!L225+'DOE25'!L243-F13-G13-H13</f>
        <v>431552.76999999996</v>
      </c>
      <c r="F13" s="243">
        <v>0</v>
      </c>
      <c r="G13" s="53">
        <f>'DOE25'!J207+'DOE25'!J225+'DOE25'!J243</f>
        <v>714.14</v>
      </c>
      <c r="H13" s="53">
        <f>'DOE25'!K207+'DOE25'!K225+'DOE25'!K243</f>
        <v>4864.6659999999993</v>
      </c>
      <c r="I13" s="255"/>
    </row>
    <row r="14" spans="1:9" x14ac:dyDescent="0.2">
      <c r="A14" s="32">
        <v>2600</v>
      </c>
      <c r="B14" t="s">
        <v>819</v>
      </c>
      <c r="C14" s="274">
        <f t="shared" si="0"/>
        <v>2413242.94</v>
      </c>
      <c r="D14" s="20">
        <f>'DOE25'!L208+'DOE25'!L226+'DOE25'!L244-F14-G14-H14</f>
        <v>2205968.9</v>
      </c>
      <c r="E14" s="242"/>
      <c r="F14" s="243">
        <v>202944</v>
      </c>
      <c r="G14" s="53">
        <f>'DOE25'!J208+'DOE25'!J226+'DOE25'!J244</f>
        <v>4277.04</v>
      </c>
      <c r="H14" s="53">
        <f>'DOE25'!K208+'DOE25'!K226+'DOE25'!K244</f>
        <v>53</v>
      </c>
      <c r="I14" s="255"/>
    </row>
    <row r="15" spans="1:9" x14ac:dyDescent="0.2">
      <c r="A15" s="32">
        <v>2700</v>
      </c>
      <c r="B15" t="s">
        <v>799</v>
      </c>
      <c r="C15" s="274">
        <f t="shared" si="0"/>
        <v>1732518.69</v>
      </c>
      <c r="D15" s="20">
        <f>'DOE25'!L209+'DOE25'!L227+'DOE25'!L245-F15-G15-H15</f>
        <v>1434922.4</v>
      </c>
      <c r="E15" s="242"/>
      <c r="F15" s="243">
        <v>297596.28999999998</v>
      </c>
      <c r="G15" s="53">
        <f>'DOE25'!J209+'DOE25'!J227+'DOE25'!J245</f>
        <v>0</v>
      </c>
      <c r="H15" s="53">
        <f>'DOE25'!K209+'DOE25'!K227+'DOE25'!K245</f>
        <v>0</v>
      </c>
      <c r="I15" s="255"/>
    </row>
    <row r="16" spans="1:9" x14ac:dyDescent="0.2">
      <c r="A16" s="32">
        <v>2800</v>
      </c>
      <c r="B16" t="s">
        <v>800</v>
      </c>
      <c r="C16" s="274">
        <f t="shared" si="0"/>
        <v>1215386.1500000001</v>
      </c>
      <c r="D16" s="242"/>
      <c r="E16" s="20">
        <f>'DOE25'!L210+'DOE25'!L228+'DOE25'!L246-F16-G16-H16</f>
        <v>1081930.9500000002</v>
      </c>
      <c r="F16" s="243">
        <v>0</v>
      </c>
      <c r="G16" s="53">
        <f>'DOE25'!J210+'DOE25'!J228+'DOE25'!J246</f>
        <v>132234.78</v>
      </c>
      <c r="H16" s="53">
        <f>'DOE25'!K210+'DOE25'!K228+'DOE25'!K246</f>
        <v>1220.42</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702808.56</v>
      </c>
      <c r="D22" s="242"/>
      <c r="E22" s="242"/>
      <c r="F22" s="242"/>
      <c r="G22" s="53">
        <f>'DOE25'!L256+'DOE25'!L337</f>
        <v>702808.56</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2198906.8799999999</v>
      </c>
      <c r="D25" s="242"/>
      <c r="E25" s="242"/>
      <c r="F25" s="254"/>
      <c r="G25" s="252"/>
      <c r="H25" s="252"/>
      <c r="I25" s="253">
        <f>'DOE25'!L261+'DOE25'!L262+'DOE25'!L342+'DOE25'!L343</f>
        <v>2198906.8799999999</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569842.0199999999</v>
      </c>
      <c r="D29" s="282">
        <f>'DOE25'!L359+'DOE25'!L360+'DOE25'!L361-'DOE25'!I368-F29-G29-H29</f>
        <v>567707.72</v>
      </c>
      <c r="E29" s="242"/>
      <c r="F29" s="243">
        <v>0</v>
      </c>
      <c r="G29" s="53">
        <f>'DOE25'!J359+'DOE25'!J360+'DOE25'!J361</f>
        <v>1060.22</v>
      </c>
      <c r="H29" s="53">
        <f>'DOE25'!K359+'DOE25'!K360+'DOE25'!K361</f>
        <v>1074.08</v>
      </c>
      <c r="I29" s="255"/>
    </row>
    <row r="30" spans="1:9" x14ac:dyDescent="0.2">
      <c r="A30" s="32"/>
      <c r="C30" s="275"/>
      <c r="D30" s="20"/>
      <c r="E30" s="279"/>
      <c r="F30" s="269"/>
      <c r="G30" s="53"/>
      <c r="H30" s="53"/>
      <c r="I30" s="255"/>
    </row>
    <row r="31" spans="1:9" x14ac:dyDescent="0.2">
      <c r="A31" s="32" t="s">
        <v>818</v>
      </c>
      <c r="B31" t="s">
        <v>817</v>
      </c>
      <c r="C31" s="274">
        <f>SUM(D31:I31)</f>
        <v>674459</v>
      </c>
      <c r="D31" s="20">
        <f>'DOE25'!L291+'DOE25'!L310+'DOE25'!L329+'DOE25'!L334+'DOE25'!L335+'DOE25'!L336-F31-G31-H31</f>
        <v>664864.16</v>
      </c>
      <c r="E31" s="242"/>
      <c r="F31" s="243"/>
      <c r="G31" s="53">
        <f>'DOE25'!J291+'DOE25'!J310+'DOE25'!J329+'DOE25'!J334+'DOE25'!J335+'DOE25'!J336</f>
        <v>9594.84</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27263761.500999995</v>
      </c>
      <c r="E33" s="244">
        <f t="shared" si="1"/>
        <v>1921437.8900000001</v>
      </c>
      <c r="F33" s="244">
        <f t="shared" si="1"/>
        <v>964433.64999999991</v>
      </c>
      <c r="G33" s="244">
        <f t="shared" si="1"/>
        <v>1194479.6648000001</v>
      </c>
      <c r="H33" s="244">
        <f t="shared" si="1"/>
        <v>105912.2824</v>
      </c>
      <c r="I33" s="244">
        <f t="shared" si="1"/>
        <v>2198906.8799999999</v>
      </c>
    </row>
    <row r="35" spans="1:9" ht="12" thickBot="1" x14ac:dyDescent="0.25">
      <c r="B35" s="250" t="s">
        <v>831</v>
      </c>
      <c r="D35" s="251">
        <f>E33</f>
        <v>1921437.8900000001</v>
      </c>
      <c r="E35" s="247"/>
      <c r="F35" s="328" t="s">
        <v>1617</v>
      </c>
      <c r="G35" s="329"/>
      <c r="H35" s="329"/>
      <c r="I35" s="329"/>
    </row>
    <row r="36" spans="1:9" ht="12" thickTop="1" x14ac:dyDescent="0.2">
      <c r="B36" t="s">
        <v>810</v>
      </c>
      <c r="D36" s="20">
        <f>D33</f>
        <v>27263761.500999995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Pelham</v>
      </c>
      <c r="B2" s="126">
        <f>'DOE25'!B2</f>
        <v>425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18597741.66</v>
      </c>
      <c r="G4" s="299">
        <f>'DOE25'!L212+'DOE25'!L291</f>
        <v>18597741.660299998</v>
      </c>
      <c r="H4" s="340">
        <f>F4-G4</f>
        <v>-2.9999762773513794E-4</v>
      </c>
      <c r="I4" s="384" t="str">
        <f>IF(H4=0,"","ISSUES!! Please review page 7 and 11 totals in comparison with total on this page")</f>
        <v>ISSUES!! Please review page 7 and 11 totals in comparison with total on this page</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Pelham Elementary School</v>
      </c>
      <c r="B6" s="300">
        <f>IFERROR(VLOOKUP(A6,'School Tables'!$C$3:$D$365,2,FALSE),"")</f>
        <v>27970</v>
      </c>
      <c r="C6" s="293" t="str">
        <f>IFERROR(INDEX('School Tables'!$B$3:$B$365,MATCH('School Level Expenditures'!B6,'School Tables'!$D$3:$D$365,0)),"")</f>
        <v>Pelham</v>
      </c>
      <c r="D6" s="290">
        <v>11043739.529999999</v>
      </c>
      <c r="E6" s="290">
        <v>328648.68</v>
      </c>
      <c r="F6" s="303">
        <f t="shared" ref="F6:F20" si="0">D6+E6</f>
        <v>11372388.209999999</v>
      </c>
      <c r="G6" s="293"/>
      <c r="H6" s="293"/>
      <c r="I6" s="385"/>
      <c r="N6"/>
    </row>
    <row r="7" spans="1:18" x14ac:dyDescent="0.2">
      <c r="A7" s="126" t="str" cm="1">
        <f t="array" ref="A7">IFERROR(INDEX('School Tables'!$A$4:$G$325,'School Tables'!$J5,3),"")</f>
        <v>Pelham Memorial School</v>
      </c>
      <c r="B7" s="300">
        <f>IFERROR(VLOOKUP(A7,'School Tables'!$C$3:$D$365,2,FALSE),"")</f>
        <v>21110</v>
      </c>
      <c r="C7" s="293" t="str">
        <f>IFERROR(INDEX('School Tables'!$B$3:$B$365,MATCH('School Level Expenditures'!B7,'School Tables'!$D$3:$D$365,0)),"")</f>
        <v>Pelham</v>
      </c>
      <c r="D7" s="290">
        <v>7087484.1200000001</v>
      </c>
      <c r="E7" s="290">
        <v>137869.32999999999</v>
      </c>
      <c r="F7" s="303">
        <f t="shared" si="0"/>
        <v>7225353.4500000002</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18131223.649999999</v>
      </c>
      <c r="E21" s="338">
        <f>SUM(E5:E20)</f>
        <v>466518.01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11560877.75</v>
      </c>
      <c r="G36" s="299">
        <f>'DOE25'!L248+'DOE25'!L329</f>
        <v>11560877.7479</v>
      </c>
      <c r="H36" s="340">
        <f>F36-G36</f>
        <v>2.1000001579523087E-3</v>
      </c>
      <c r="I36" s="384" t="str">
        <f>IF(H36=0,"","ISSUES!! Please review page 9 and 13 totals in comparison with total on this page")</f>
        <v>ISSUES!! Please review page 9 and 13 totals in comparison with total on this page</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Pelham High School</v>
      </c>
      <c r="B38" s="300">
        <f>IFERROR(VLOOKUP(A38,'School Tables'!$Y$4:$Z$100,2,FALSE),"")</f>
        <v>21105</v>
      </c>
      <c r="C38" s="293" t="str">
        <f>IFERROR(INDEX('School Tables'!$X$4:$X$100,MATCH('School Level Expenditures'!A38,'School Tables'!$Y$4:$Y$100,0)),"")</f>
        <v>Pelham</v>
      </c>
      <c r="D38" s="290">
        <v>11352936.76</v>
      </c>
      <c r="E38" s="290">
        <v>207940.99</v>
      </c>
      <c r="F38" s="303">
        <f t="shared" si="2"/>
        <v>11560877.75</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11352936.76</v>
      </c>
      <c r="E43" s="339">
        <f>SUM(E37:E42)</f>
        <v>207940.99</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Pelham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3918989.28</v>
      </c>
      <c r="D8" s="95">
        <f>'DOE25'!G9</f>
        <v>19535.560000000001</v>
      </c>
      <c r="E8" s="95">
        <f>'DOE25'!H9</f>
        <v>170103.7</v>
      </c>
      <c r="F8" s="95">
        <f>'DOE25'!I9</f>
        <v>24985568.91</v>
      </c>
      <c r="G8" s="95">
        <f>'DOE25'!J9</f>
        <v>0</v>
      </c>
      <c r="H8" s="124">
        <f>SUM(C8:G8)</f>
        <v>29094197.449999999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400594</v>
      </c>
      <c r="D11" s="95">
        <f>'DOE25'!G12</f>
        <v>0</v>
      </c>
      <c r="E11" s="95">
        <f>'DOE25'!H12</f>
        <v>0</v>
      </c>
      <c r="F11" s="95">
        <f>'DOE25'!I12</f>
        <v>0</v>
      </c>
      <c r="G11" s="95">
        <f>'DOE25'!J12</f>
        <v>644356.88</v>
      </c>
      <c r="H11" s="124">
        <f t="shared" si="0"/>
        <v>1044950.88</v>
      </c>
      <c r="I11" s="124"/>
    </row>
    <row r="12" spans="1:9" x14ac:dyDescent="0.2">
      <c r="A12" s="1" t="s">
        <v>143</v>
      </c>
      <c r="B12" s="6">
        <v>140</v>
      </c>
      <c r="C12" s="95">
        <f>'DOE25'!F13</f>
        <v>9626.5400000000009</v>
      </c>
      <c r="D12" s="95">
        <f>'DOE25'!G13</f>
        <v>0</v>
      </c>
      <c r="E12" s="95">
        <f>'DOE25'!H13</f>
        <v>0</v>
      </c>
      <c r="F12" s="95">
        <f>'DOE25'!I13</f>
        <v>0</v>
      </c>
      <c r="G12" s="95">
        <f>'DOE25'!J13</f>
        <v>0</v>
      </c>
      <c r="H12" s="124">
        <f t="shared" si="0"/>
        <v>9626.5400000000009</v>
      </c>
      <c r="I12" s="124"/>
    </row>
    <row r="13" spans="1:9" x14ac:dyDescent="0.2">
      <c r="A13" s="1" t="s">
        <v>144</v>
      </c>
      <c r="B13" s="6">
        <v>150</v>
      </c>
      <c r="C13" s="95">
        <f>'DOE25'!F14</f>
        <v>8003.37</v>
      </c>
      <c r="D13" s="95">
        <f>'DOE25'!G14</f>
        <v>0</v>
      </c>
      <c r="E13" s="95">
        <f>'DOE25'!H14</f>
        <v>0</v>
      </c>
      <c r="F13" s="95">
        <f>'DOE25'!I14</f>
        <v>0</v>
      </c>
      <c r="G13" s="95">
        <f>'DOE25'!J14</f>
        <v>0</v>
      </c>
      <c r="H13" s="124">
        <f t="shared" si="0"/>
        <v>8003.37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33227.53</v>
      </c>
      <c r="D16" s="95">
        <f>'DOE25'!G17</f>
        <v>250902.75</v>
      </c>
      <c r="E16" s="95">
        <f>'DOE25'!H17</f>
        <v>400594</v>
      </c>
      <c r="F16" s="95">
        <f>'DOE25'!I17</f>
        <v>0</v>
      </c>
      <c r="G16" s="95">
        <f>'DOE25'!J17</f>
        <v>0</v>
      </c>
      <c r="H16" s="124">
        <f t="shared" si="0"/>
        <v>684724.28</v>
      </c>
      <c r="I16" s="124"/>
    </row>
    <row r="17" spans="1:9" ht="12" thickBot="1" x14ac:dyDescent="0.25">
      <c r="A17" s="1" t="s">
        <v>148</v>
      </c>
      <c r="B17" s="6">
        <v>190</v>
      </c>
      <c r="C17" s="95">
        <f>'DOE25'!F18</f>
        <v>0</v>
      </c>
      <c r="D17" s="95">
        <f>'DOE25'!G18</f>
        <v>631.44000000000005</v>
      </c>
      <c r="E17" s="95">
        <f>'DOE25'!H18</f>
        <v>0</v>
      </c>
      <c r="F17" s="95">
        <f>'DOE25'!I18</f>
        <v>0</v>
      </c>
      <c r="G17" s="95">
        <f>'DOE25'!J18</f>
        <v>0</v>
      </c>
      <c r="H17" s="124">
        <f t="shared" si="0"/>
        <v>631.44000000000005</v>
      </c>
      <c r="I17" s="124"/>
    </row>
    <row r="18" spans="1:9" ht="12" thickTop="1" x14ac:dyDescent="0.2">
      <c r="A18" s="38" t="s">
        <v>149</v>
      </c>
      <c r="B18" s="39"/>
      <c r="C18" s="41">
        <f>SUM(C8:C17)</f>
        <v>4370440.72</v>
      </c>
      <c r="D18" s="41">
        <f>SUM(D8:D17)</f>
        <v>271069.75</v>
      </c>
      <c r="E18" s="41">
        <f>SUM(E8:E17)</f>
        <v>570697.69999999995</v>
      </c>
      <c r="F18" s="41">
        <f>SUM(F8:F17)</f>
        <v>24985568.91</v>
      </c>
      <c r="G18" s="41">
        <f>SUM(G8:G17)</f>
        <v>644356.88</v>
      </c>
      <c r="H18" s="41">
        <f t="shared" si="0"/>
        <v>30842133.959999997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400594</v>
      </c>
      <c r="F22" s="95">
        <f>'DOE25'!I23</f>
        <v>0</v>
      </c>
      <c r="G22" s="95">
        <f>'DOE25'!J23</f>
        <v>0</v>
      </c>
      <c r="H22" s="124">
        <f t="shared" si="1"/>
        <v>400594</v>
      </c>
      <c r="I22" s="124"/>
    </row>
    <row r="23" spans="1:9" x14ac:dyDescent="0.2">
      <c r="A23" s="1" t="s">
        <v>152</v>
      </c>
      <c r="B23" s="6">
        <v>420</v>
      </c>
      <c r="C23" s="95">
        <f>'DOE25'!F24</f>
        <v>3196.42</v>
      </c>
      <c r="D23" s="95">
        <f>'DOE25'!G24</f>
        <v>0</v>
      </c>
      <c r="E23" s="95">
        <f>'DOE25'!H24</f>
        <v>0</v>
      </c>
      <c r="F23" s="95">
        <f>'DOE25'!I24</f>
        <v>0</v>
      </c>
      <c r="G23" s="95">
        <f>'DOE25'!J24</f>
        <v>0</v>
      </c>
      <c r="H23" s="124">
        <f t="shared" si="1"/>
        <v>3196.42</v>
      </c>
      <c r="I23" s="124"/>
    </row>
    <row r="24" spans="1:9" x14ac:dyDescent="0.2">
      <c r="A24" s="1" t="s">
        <v>153</v>
      </c>
      <c r="B24" s="6">
        <v>430</v>
      </c>
      <c r="C24" s="95">
        <f>'DOE25'!F25</f>
        <v>0</v>
      </c>
      <c r="D24" s="95">
        <f>'DOE25'!G25</f>
        <v>0</v>
      </c>
      <c r="E24" s="95">
        <f>'DOE25'!H25</f>
        <v>0</v>
      </c>
      <c r="F24" s="95">
        <f>'DOE25'!I25</f>
        <v>724373.32</v>
      </c>
      <c r="G24" s="24" t="s">
        <v>288</v>
      </c>
      <c r="H24" s="124">
        <f t="shared" si="1"/>
        <v>724373.32</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59683.75</v>
      </c>
      <c r="D27" s="95">
        <f>'DOE25'!G28</f>
        <v>0</v>
      </c>
      <c r="E27" s="95">
        <f>'DOE25'!H28</f>
        <v>0</v>
      </c>
      <c r="F27" s="95">
        <f>'DOE25'!I28</f>
        <v>0</v>
      </c>
      <c r="G27" s="24" t="s">
        <v>288</v>
      </c>
      <c r="H27" s="124">
        <f t="shared" si="1"/>
        <v>59683.75</v>
      </c>
      <c r="I27" s="124"/>
    </row>
    <row r="28" spans="1:9" x14ac:dyDescent="0.2">
      <c r="A28" s="1" t="s">
        <v>157</v>
      </c>
      <c r="B28" s="6">
        <v>470</v>
      </c>
      <c r="C28" s="95">
        <f>'DOE25'!F29</f>
        <v>624512.30000000005</v>
      </c>
      <c r="D28" s="95">
        <f>'DOE25'!G29</f>
        <v>0</v>
      </c>
      <c r="E28" s="95">
        <f>'DOE25'!H29</f>
        <v>0</v>
      </c>
      <c r="F28" s="95">
        <f>'DOE25'!I29</f>
        <v>0</v>
      </c>
      <c r="G28" s="24" t="s">
        <v>288</v>
      </c>
      <c r="H28" s="124">
        <f t="shared" si="1"/>
        <v>624512.30000000005</v>
      </c>
      <c r="I28" s="124"/>
    </row>
    <row r="29" spans="1:9" x14ac:dyDescent="0.2">
      <c r="A29" s="1" t="s">
        <v>158</v>
      </c>
      <c r="B29" s="6">
        <v>480</v>
      </c>
      <c r="C29" s="95">
        <f>'DOE25'!F30</f>
        <v>0</v>
      </c>
      <c r="D29" s="95">
        <f>'DOE25'!G30</f>
        <v>55263.519999999997</v>
      </c>
      <c r="E29" s="95">
        <f>'DOE25'!H30</f>
        <v>170103.7</v>
      </c>
      <c r="F29" s="95">
        <f>'DOE25'!I30</f>
        <v>0</v>
      </c>
      <c r="G29" s="24" t="s">
        <v>288</v>
      </c>
      <c r="H29" s="124">
        <f t="shared" si="1"/>
        <v>225367.22</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687392.47000000009</v>
      </c>
      <c r="D31" s="41">
        <f>SUM(D21:D30)</f>
        <v>55263.519999999997</v>
      </c>
      <c r="E31" s="41">
        <f>SUM(E21:E30)</f>
        <v>570697.69999999995</v>
      </c>
      <c r="F31" s="41">
        <f>SUM(F21:F30)</f>
        <v>724373.32</v>
      </c>
      <c r="G31" s="41">
        <f>SUM(G21:G30)</f>
        <v>0</v>
      </c>
      <c r="H31" s="41">
        <f t="shared" si="1"/>
        <v>2037727.0099999998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33227.53</v>
      </c>
      <c r="D35" s="95">
        <f>'DOE25'!G36</f>
        <v>0</v>
      </c>
      <c r="E35" s="95">
        <f>'DOE25'!H36</f>
        <v>0</v>
      </c>
      <c r="F35" s="95">
        <f>'DOE25'!I36</f>
        <v>0</v>
      </c>
      <c r="G35" s="24" t="s">
        <v>288</v>
      </c>
      <c r="H35" s="124">
        <f t="shared" si="2"/>
        <v>33227.53</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215806.23</v>
      </c>
      <c r="E39" s="24" t="s">
        <v>288</v>
      </c>
      <c r="F39" s="24" t="s">
        <v>288</v>
      </c>
      <c r="G39" s="24" t="s">
        <v>288</v>
      </c>
      <c r="H39" s="124">
        <f t="shared" si="2"/>
        <v>215806.23</v>
      </c>
      <c r="I39" s="124"/>
    </row>
    <row r="40" spans="1:9" x14ac:dyDescent="0.2">
      <c r="A40" s="1" t="s">
        <v>871</v>
      </c>
      <c r="B40" s="6"/>
      <c r="C40" s="24" t="s">
        <v>288</v>
      </c>
      <c r="D40" s="24" t="s">
        <v>288</v>
      </c>
      <c r="E40" s="24" t="s">
        <v>288</v>
      </c>
      <c r="F40" s="95">
        <f>'DOE25'!I41</f>
        <v>24261195.59</v>
      </c>
      <c r="G40" s="24" t="s">
        <v>288</v>
      </c>
      <c r="H40" s="124">
        <f t="shared" si="2"/>
        <v>24261195.59</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644356.88</v>
      </c>
      <c r="H44" s="124">
        <f t="shared" si="2"/>
        <v>644356.88</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341809.85</v>
      </c>
      <c r="D48" s="95">
        <f>'DOE25'!G49</f>
        <v>0</v>
      </c>
      <c r="E48" s="95">
        <f>'DOE25'!H49</f>
        <v>0</v>
      </c>
      <c r="F48" s="95">
        <f>'DOE25'!I49</f>
        <v>0</v>
      </c>
      <c r="G48" s="95">
        <f>'DOE25'!J49</f>
        <v>0</v>
      </c>
      <c r="H48" s="124">
        <f t="shared" si="2"/>
        <v>341809.85</v>
      </c>
      <c r="I48" s="124"/>
    </row>
    <row r="49" spans="1:9" ht="12" thickBot="1" x14ac:dyDescent="0.25">
      <c r="A49" s="29" t="s">
        <v>883</v>
      </c>
      <c r="B49" s="71">
        <v>770</v>
      </c>
      <c r="C49" s="95">
        <f>'DOE25'!F50</f>
        <v>3308010.87</v>
      </c>
      <c r="D49" s="24" t="s">
        <v>288</v>
      </c>
      <c r="E49" s="24" t="s">
        <v>288</v>
      </c>
      <c r="F49" s="24" t="s">
        <v>288</v>
      </c>
      <c r="G49" s="24" t="s">
        <v>288</v>
      </c>
      <c r="H49" s="124">
        <f t="shared" si="2"/>
        <v>3308010.87</v>
      </c>
      <c r="I49" s="124"/>
    </row>
    <row r="50" spans="1:9" ht="12.75" thickTop="1" thickBot="1" x14ac:dyDescent="0.25">
      <c r="A50" s="38" t="s">
        <v>884</v>
      </c>
      <c r="B50" s="48"/>
      <c r="C50" s="41">
        <f>SUM(C34:C49)</f>
        <v>3683048.25</v>
      </c>
      <c r="D50" s="41">
        <f>SUM(D34:D49)</f>
        <v>215806.23</v>
      </c>
      <c r="E50" s="41">
        <f>SUM(E34:E49)</f>
        <v>0</v>
      </c>
      <c r="F50" s="41">
        <f>SUM(F34:F49)</f>
        <v>24261195.59</v>
      </c>
      <c r="G50" s="41">
        <f>SUM(G34:G49)</f>
        <v>644356.88</v>
      </c>
      <c r="H50" s="41">
        <f t="shared" si="2"/>
        <v>28804406.949999999</v>
      </c>
      <c r="I50" s="124"/>
    </row>
    <row r="51" spans="1:9" ht="12" thickTop="1" x14ac:dyDescent="0.2">
      <c r="A51" s="38" t="s">
        <v>885</v>
      </c>
      <c r="B51" s="2"/>
      <c r="C51" s="41">
        <f>C50+C31</f>
        <v>4370440.72</v>
      </c>
      <c r="D51" s="41">
        <f>D50+D31</f>
        <v>271069.75</v>
      </c>
      <c r="E51" s="41">
        <f>E50+E31</f>
        <v>570697.69999999995</v>
      </c>
      <c r="F51" s="41">
        <f>F50+F31</f>
        <v>24985568.91</v>
      </c>
      <c r="G51" s="41">
        <f>G50+G31</f>
        <v>644356.88</v>
      </c>
      <c r="H51" s="41">
        <f t="shared" si="2"/>
        <v>30842133.959999997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23666078</v>
      </c>
      <c r="D56" s="95">
        <f>'DOE25'!G60</f>
        <v>0</v>
      </c>
      <c r="E56" s="95">
        <f>'DOE25'!H60</f>
        <v>0</v>
      </c>
      <c r="F56" s="95">
        <f>'DOE25'!I60</f>
        <v>0</v>
      </c>
      <c r="G56" s="95">
        <f>'DOE25'!J60</f>
        <v>0</v>
      </c>
      <c r="H56" s="124">
        <f t="shared" ref="H56:H63" si="3">SUM(C56:G56)</f>
        <v>23666078</v>
      </c>
      <c r="I56"/>
    </row>
    <row r="57" spans="1:9" x14ac:dyDescent="0.2">
      <c r="A57" s="1" t="s">
        <v>164</v>
      </c>
      <c r="B57" s="6" t="s">
        <v>165</v>
      </c>
      <c r="C57" s="95">
        <f>'DOE25'!F79</f>
        <v>83563.55</v>
      </c>
      <c r="D57" s="24" t="s">
        <v>288</v>
      </c>
      <c r="E57" s="95">
        <f>'DOE25'!H79</f>
        <v>0</v>
      </c>
      <c r="F57" s="24" t="s">
        <v>288</v>
      </c>
      <c r="G57" s="24" t="s">
        <v>288</v>
      </c>
      <c r="H57" s="124">
        <f t="shared" si="3"/>
        <v>83563.55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748.48</v>
      </c>
      <c r="D59" s="95">
        <f>'DOE25'!G96</f>
        <v>0</v>
      </c>
      <c r="E59" s="95">
        <f>'DOE25'!H96</f>
        <v>0</v>
      </c>
      <c r="F59" s="95">
        <f>'DOE25'!I96</f>
        <v>0</v>
      </c>
      <c r="G59" s="95">
        <f>'DOE25'!J96</f>
        <v>4123.92</v>
      </c>
      <c r="H59" s="124">
        <f t="shared" si="3"/>
        <v>4872.3999999999996</v>
      </c>
      <c r="I59"/>
    </row>
    <row r="60" spans="1:9" x14ac:dyDescent="0.2">
      <c r="A60" s="1" t="s">
        <v>170</v>
      </c>
      <c r="B60" s="118" t="s">
        <v>171</v>
      </c>
      <c r="C60" s="24" t="s">
        <v>288</v>
      </c>
      <c r="D60" s="95">
        <f>'DOE25'!G97</f>
        <v>120894.16</v>
      </c>
      <c r="E60" s="24" t="s">
        <v>288</v>
      </c>
      <c r="F60" s="24" t="s">
        <v>288</v>
      </c>
      <c r="G60" s="24" t="s">
        <v>288</v>
      </c>
      <c r="H60" s="124">
        <f t="shared" si="3"/>
        <v>120894.16</v>
      </c>
      <c r="I60"/>
    </row>
    <row r="61" spans="1:9" ht="12" thickBot="1" x14ac:dyDescent="0.25">
      <c r="A61" s="1" t="s">
        <v>172</v>
      </c>
      <c r="B61" s="118" t="s">
        <v>173</v>
      </c>
      <c r="C61" s="95">
        <f>SUM('DOE25'!F98:F110)</f>
        <v>626967.79</v>
      </c>
      <c r="D61" s="95">
        <f>SUM('DOE25'!G98:G110)</f>
        <v>0</v>
      </c>
      <c r="E61" s="95">
        <f>SUM('DOE25'!H98:H110)</f>
        <v>671.22</v>
      </c>
      <c r="F61" s="95">
        <f>SUM('DOE25'!I98:I110)</f>
        <v>0</v>
      </c>
      <c r="G61" s="95">
        <f>SUM('DOE25'!J98:J110)</f>
        <v>-68085.820000000007</v>
      </c>
      <c r="H61" s="124">
        <f t="shared" si="3"/>
        <v>559553.18999999994</v>
      </c>
      <c r="I61"/>
    </row>
    <row r="62" spans="1:9" ht="12.75" thickTop="1" thickBot="1" x14ac:dyDescent="0.25">
      <c r="A62" s="29" t="s">
        <v>174</v>
      </c>
      <c r="B62" s="6"/>
      <c r="C62" s="130">
        <f>SUM(C57:C61)</f>
        <v>711279.82000000007</v>
      </c>
      <c r="D62" s="130">
        <f>SUM(D57:D61)</f>
        <v>120894.16</v>
      </c>
      <c r="E62" s="130">
        <f>SUM(E57:E61)</f>
        <v>671.22</v>
      </c>
      <c r="F62" s="130">
        <f>SUM(F57:F61)</f>
        <v>0</v>
      </c>
      <c r="G62" s="130">
        <f>SUM(G57:G61)</f>
        <v>-63961.900000000009</v>
      </c>
      <c r="H62" s="124">
        <f t="shared" si="3"/>
        <v>768883.3</v>
      </c>
      <c r="I62"/>
    </row>
    <row r="63" spans="1:9" ht="12" thickTop="1" x14ac:dyDescent="0.2">
      <c r="A63" s="29" t="s">
        <v>175</v>
      </c>
      <c r="B63" s="6"/>
      <c r="C63" s="22">
        <f>C56+C62</f>
        <v>24377357.82</v>
      </c>
      <c r="D63" s="22">
        <f>D56+D62</f>
        <v>120894.16</v>
      </c>
      <c r="E63" s="22">
        <f>E56+E62</f>
        <v>671.22</v>
      </c>
      <c r="F63" s="22">
        <f>F56+F62</f>
        <v>0</v>
      </c>
      <c r="G63" s="22">
        <f>G56+G62</f>
        <v>-63961.900000000009</v>
      </c>
      <c r="H63" s="124">
        <f t="shared" si="3"/>
        <v>24434961.300000001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3856709.3</v>
      </c>
      <c r="D66" s="24" t="s">
        <v>288</v>
      </c>
      <c r="E66" s="24" t="s">
        <v>288</v>
      </c>
      <c r="F66" s="24" t="s">
        <v>288</v>
      </c>
      <c r="G66" s="24" t="s">
        <v>288</v>
      </c>
      <c r="H66" s="124">
        <f t="shared" ref="H66:H81" si="4">SUM(C66:G66)</f>
        <v>3856709.3</v>
      </c>
      <c r="I66"/>
    </row>
    <row r="67" spans="1:9" x14ac:dyDescent="0.2">
      <c r="A67" s="1" t="s">
        <v>770</v>
      </c>
      <c r="B67" s="6">
        <v>3112</v>
      </c>
      <c r="C67" s="95">
        <f>'DOE25'!F118</f>
        <v>3624639</v>
      </c>
      <c r="D67" s="24"/>
      <c r="E67" s="24"/>
      <c r="F67" s="24"/>
      <c r="G67" s="24"/>
      <c r="H67" s="124">
        <f t="shared" si="4"/>
        <v>3624639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32414.98</v>
      </c>
      <c r="D69" s="95">
        <f>'DOE25'!G120</f>
        <v>0</v>
      </c>
      <c r="E69" s="95">
        <f>'DOE25'!H120</f>
        <v>0</v>
      </c>
      <c r="F69" s="95">
        <f>'DOE25'!I120</f>
        <v>0</v>
      </c>
      <c r="G69" s="95">
        <f>'DOE25'!J120</f>
        <v>0</v>
      </c>
      <c r="H69" s="124">
        <f t="shared" si="4"/>
        <v>32414.98</v>
      </c>
      <c r="I69"/>
    </row>
    <row r="70" spans="1:9" ht="12" thickTop="1" x14ac:dyDescent="0.2">
      <c r="A70" s="29" t="s">
        <v>252</v>
      </c>
      <c r="B70" s="2"/>
      <c r="C70" s="139">
        <f>SUM(C66:C69)</f>
        <v>7513763.2800000003</v>
      </c>
      <c r="D70" s="139">
        <f>D69</f>
        <v>0</v>
      </c>
      <c r="E70" s="139">
        <f>E69</f>
        <v>0</v>
      </c>
      <c r="F70" s="139">
        <f>F69</f>
        <v>0</v>
      </c>
      <c r="G70" s="139">
        <f>G69</f>
        <v>0</v>
      </c>
      <c r="H70" s="124">
        <f t="shared" si="4"/>
        <v>7513763.2800000003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183869.58</v>
      </c>
      <c r="D75" s="24" t="s">
        <v>288</v>
      </c>
      <c r="E75" s="24" t="s">
        <v>288</v>
      </c>
      <c r="F75" s="24" t="s">
        <v>288</v>
      </c>
      <c r="G75" s="24" t="s">
        <v>288</v>
      </c>
      <c r="H75" s="124">
        <f t="shared" si="4"/>
        <v>183869.58</v>
      </c>
      <c r="I75"/>
    </row>
    <row r="76" spans="1:9" x14ac:dyDescent="0.2">
      <c r="A76" s="1" t="s">
        <v>257</v>
      </c>
      <c r="B76" s="6" t="s">
        <v>179</v>
      </c>
      <c r="C76" s="95">
        <f>SUM('DOE25'!F127:F130)</f>
        <v>10166.4</v>
      </c>
      <c r="D76" s="24" t="s">
        <v>288</v>
      </c>
      <c r="E76" s="95">
        <f>SUM('DOE25'!H127:H130)</f>
        <v>0</v>
      </c>
      <c r="F76" s="95">
        <f>SUM('DOE25'!I127:I130)</f>
        <v>0</v>
      </c>
      <c r="G76" s="24" t="s">
        <v>288</v>
      </c>
      <c r="H76" s="124">
        <f t="shared" si="4"/>
        <v>10166.4</v>
      </c>
      <c r="I76"/>
    </row>
    <row r="77" spans="1:9" ht="12" thickBot="1" x14ac:dyDescent="0.25">
      <c r="A77" s="1" t="s">
        <v>258</v>
      </c>
      <c r="B77" s="6" t="s">
        <v>180</v>
      </c>
      <c r="C77" s="95">
        <f>SUM('DOE25'!F131:F135)</f>
        <v>0</v>
      </c>
      <c r="D77" s="95">
        <f>SUM('DOE25'!G131:G135)</f>
        <v>22702.15</v>
      </c>
      <c r="E77" s="95">
        <f>SUM('DOE25'!H131:H135)</f>
        <v>0</v>
      </c>
      <c r="F77" s="95">
        <f>SUM('DOE25'!I131:I135)</f>
        <v>0</v>
      </c>
      <c r="G77" s="95">
        <f>SUM('DOE25'!J131:J135)</f>
        <v>0</v>
      </c>
      <c r="H77" s="124">
        <f t="shared" si="4"/>
        <v>22702.15</v>
      </c>
      <c r="I77"/>
    </row>
    <row r="78" spans="1:9" ht="12.75" thickTop="1" thickBot="1" x14ac:dyDescent="0.25">
      <c r="A78" s="29" t="s">
        <v>259</v>
      </c>
      <c r="B78" s="6"/>
      <c r="C78" s="130">
        <f>SUM(C72:C77)</f>
        <v>194035.97999999998</v>
      </c>
      <c r="D78" s="130">
        <f>SUM(D72:D77)</f>
        <v>22702.15</v>
      </c>
      <c r="E78" s="130">
        <f>SUM(E72:E77)</f>
        <v>0</v>
      </c>
      <c r="F78" s="130">
        <f>SUM(F72:F77)</f>
        <v>0</v>
      </c>
      <c r="G78" s="130">
        <f>SUM(G72:G77)</f>
        <v>0</v>
      </c>
      <c r="H78" s="124">
        <f t="shared" si="4"/>
        <v>216738.12999999998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7707799.2599999998</v>
      </c>
      <c r="D81" s="130">
        <f>SUM(D79:D80)+D78+D70</f>
        <v>22702.15</v>
      </c>
      <c r="E81" s="130">
        <f>SUM(E79:E80)+E78+E70</f>
        <v>0</v>
      </c>
      <c r="F81" s="130">
        <f>SUM(F79:F80)+F78+F70</f>
        <v>0</v>
      </c>
      <c r="G81" s="130">
        <f>SUM(G79:G80)+G78+G70</f>
        <v>0</v>
      </c>
      <c r="H81" s="130">
        <f t="shared" si="4"/>
        <v>7730501.4100000001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454.06</v>
      </c>
      <c r="D88" s="326">
        <f>SUM('DOE25'!G153:G162)</f>
        <v>903043.5</v>
      </c>
      <c r="E88" s="326">
        <f>SUM('DOE25'!H153:H162)</f>
        <v>1076501.1000000001</v>
      </c>
      <c r="F88" s="326">
        <f>SUM('DOE25'!I153:I162)</f>
        <v>0</v>
      </c>
      <c r="G88" s="24" t="s">
        <v>288</v>
      </c>
      <c r="H88" s="124">
        <f t="shared" si="5"/>
        <v>1979998.6600000001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454.06</v>
      </c>
      <c r="D91" s="131">
        <f>SUM(D85:D90)</f>
        <v>903043.5</v>
      </c>
      <c r="E91" s="131">
        <f>SUM(E85:E90)</f>
        <v>1076501.1000000001</v>
      </c>
      <c r="F91" s="131">
        <f>SUM(F85:F90)</f>
        <v>0</v>
      </c>
      <c r="G91" s="24" t="s">
        <v>288</v>
      </c>
      <c r="H91" s="124">
        <f t="shared" si="5"/>
        <v>1979998.6600000001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32001641.280000001</v>
      </c>
      <c r="G93" s="24" t="s">
        <v>288</v>
      </c>
      <c r="H93" s="124">
        <f t="shared" si="5"/>
        <v>32001641.280000001</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32001641.280000001</v>
      </c>
      <c r="G103" s="86">
        <f>SUM(G93:G102)</f>
        <v>0</v>
      </c>
      <c r="H103" s="86">
        <f t="shared" si="5"/>
        <v>32001641.280000001</v>
      </c>
    </row>
    <row r="104" spans="1:8" ht="12.75" thickTop="1" thickBot="1" x14ac:dyDescent="0.25">
      <c r="A104" s="33" t="s">
        <v>761</v>
      </c>
      <c r="C104" s="86">
        <f>C63+C81+C91+C103</f>
        <v>32085611.139999997</v>
      </c>
      <c r="D104" s="86">
        <f>D63+D81+D91+D103</f>
        <v>1046639.81</v>
      </c>
      <c r="E104" s="86">
        <f>E63+E81+E91+E103</f>
        <v>1077172.32</v>
      </c>
      <c r="F104" s="86">
        <f>F63+F81+F91+F103</f>
        <v>32001641.280000001</v>
      </c>
      <c r="G104" s="86">
        <f>G63+G81+G103</f>
        <v>-63961.900000000009</v>
      </c>
      <c r="H104" s="86">
        <f t="shared" si="5"/>
        <v>66147102.649999999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11354108.976599999</v>
      </c>
      <c r="D109" s="24" t="s">
        <v>288</v>
      </c>
      <c r="E109" s="95">
        <f>('DOE25'!L277)+('DOE25'!L296)+('DOE25'!L315)</f>
        <v>105650.54999999999</v>
      </c>
      <c r="F109" s="24" t="s">
        <v>288</v>
      </c>
      <c r="G109" s="24" t="s">
        <v>288</v>
      </c>
      <c r="H109" s="124">
        <f t="shared" ref="H109:H115" si="6">SUM(C109:G109)</f>
        <v>11459759.5266</v>
      </c>
    </row>
    <row r="110" spans="1:8" x14ac:dyDescent="0.2">
      <c r="A110" t="s">
        <v>198</v>
      </c>
      <c r="B110" s="32" t="s">
        <v>199</v>
      </c>
      <c r="C110" s="95">
        <f>('DOE25'!L199)+('DOE25'!L217)+('DOE25'!L235)</f>
        <v>5042976.6211999999</v>
      </c>
      <c r="D110" s="24" t="s">
        <v>288</v>
      </c>
      <c r="E110" s="95">
        <f>('DOE25'!L278)+('DOE25'!L297)+('DOE25'!L316)</f>
        <v>398240.72000000003</v>
      </c>
      <c r="F110" s="24" t="s">
        <v>288</v>
      </c>
      <c r="G110" s="24" t="s">
        <v>288</v>
      </c>
      <c r="H110" s="124">
        <f t="shared" si="6"/>
        <v>5441217.3411999997</v>
      </c>
    </row>
    <row r="111" spans="1:8" x14ac:dyDescent="0.2">
      <c r="A111" t="s">
        <v>200</v>
      </c>
      <c r="B111" s="32" t="s">
        <v>165</v>
      </c>
      <c r="C111" s="95">
        <f>('DOE25'!L200)+('DOE25'!L218)+('DOE25'!L236)</f>
        <v>103723.64</v>
      </c>
      <c r="D111" s="24" t="s">
        <v>288</v>
      </c>
      <c r="E111" s="95">
        <f>('DOE25'!L279)+('DOE25'!L298)+('DOE25'!L317)</f>
        <v>0</v>
      </c>
      <c r="F111" s="24" t="s">
        <v>288</v>
      </c>
      <c r="G111" s="24" t="s">
        <v>288</v>
      </c>
      <c r="H111" s="124">
        <f t="shared" si="6"/>
        <v>103723.64</v>
      </c>
    </row>
    <row r="112" spans="1:8" x14ac:dyDescent="0.2">
      <c r="A112" t="s">
        <v>201</v>
      </c>
      <c r="B112" s="32" t="s">
        <v>167</v>
      </c>
      <c r="C112" s="95">
        <f>('DOE25'!L201)+('DOE25'!L219)+('DOE25'!L237)</f>
        <v>677051.60000000009</v>
      </c>
      <c r="D112" s="24" t="s">
        <v>288</v>
      </c>
      <c r="E112" s="95">
        <f>+('DOE25'!L280)+('DOE25'!L299)+('DOE25'!L318)</f>
        <v>0</v>
      </c>
      <c r="F112" s="24" t="s">
        <v>288</v>
      </c>
      <c r="G112" s="24" t="s">
        <v>288</v>
      </c>
      <c r="H112" s="124">
        <f t="shared" si="6"/>
        <v>677051.60000000009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17177860.8378</v>
      </c>
      <c r="D115" s="86">
        <f>SUM(D109:D114)</f>
        <v>0</v>
      </c>
      <c r="E115" s="86">
        <f>SUM(E109:E114)</f>
        <v>503891.27</v>
      </c>
      <c r="F115" s="86">
        <f>SUM(F109:F114)</f>
        <v>0</v>
      </c>
      <c r="G115" s="86">
        <f>SUM(G109:G114)</f>
        <v>0</v>
      </c>
      <c r="H115" s="86">
        <f t="shared" si="6"/>
        <v>17681752.107799999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2999763.4400000004</v>
      </c>
      <c r="D118" s="24" t="s">
        <v>288</v>
      </c>
      <c r="E118" s="95">
        <f>+('DOE25'!L282)+('DOE25'!L301)+('DOE25'!L320)</f>
        <v>0</v>
      </c>
      <c r="F118" s="24" t="s">
        <v>288</v>
      </c>
      <c r="G118" s="24" t="s">
        <v>288</v>
      </c>
      <c r="H118" s="124">
        <f t="shared" ref="H118:H145" si="7">SUM(C118:G118)</f>
        <v>2999763.4400000004</v>
      </c>
    </row>
    <row r="119" spans="1:8" x14ac:dyDescent="0.2">
      <c r="A119" t="s">
        <v>208</v>
      </c>
      <c r="B119" s="32" t="s">
        <v>209</v>
      </c>
      <c r="C119" s="95">
        <f>('DOE25'!L204)+('DOE25'!L222)+('DOE25'!L240)</f>
        <v>1027221.2999999999</v>
      </c>
      <c r="D119" s="24" t="s">
        <v>288</v>
      </c>
      <c r="E119" s="95">
        <f>+('DOE25'!L283)+('DOE25'!L302)+('DOE25'!L321)</f>
        <v>132772.22999999998</v>
      </c>
      <c r="F119" s="24" t="s">
        <v>288</v>
      </c>
      <c r="G119" s="24" t="s">
        <v>288</v>
      </c>
      <c r="H119" s="124">
        <f t="shared" si="7"/>
        <v>1159993.5299999998</v>
      </c>
    </row>
    <row r="120" spans="1:8" x14ac:dyDescent="0.2">
      <c r="A120" t="s">
        <v>210</v>
      </c>
      <c r="B120" s="32" t="s">
        <v>211</v>
      </c>
      <c r="C120" s="95">
        <f>('DOE25'!L205)+('DOE25'!L223)+('DOE25'!L241)</f>
        <v>812185.41440000013</v>
      </c>
      <c r="D120" s="24" t="s">
        <v>288</v>
      </c>
      <c r="E120" s="95">
        <f>+('DOE25'!L284)+('DOE25'!L303)+('DOE25'!L322)</f>
        <v>0</v>
      </c>
      <c r="F120" s="24" t="s">
        <v>288</v>
      </c>
      <c r="G120" s="24" t="s">
        <v>288</v>
      </c>
      <c r="H120" s="124">
        <f t="shared" si="7"/>
        <v>812185.41440000013</v>
      </c>
    </row>
    <row r="121" spans="1:8" x14ac:dyDescent="0.2">
      <c r="A121" t="s">
        <v>212</v>
      </c>
      <c r="B121" s="32" t="s">
        <v>213</v>
      </c>
      <c r="C121" s="95">
        <f>('DOE25'!L206)+('DOE25'!L224)+('DOE25'!L242)</f>
        <v>1668850.06</v>
      </c>
      <c r="D121" s="24" t="s">
        <v>288</v>
      </c>
      <c r="E121" s="95">
        <f>+('DOE25'!L285)+('DOE25'!L304)+('DOE25'!L323)</f>
        <v>0</v>
      </c>
      <c r="F121" s="24" t="s">
        <v>288</v>
      </c>
      <c r="G121" s="24" t="s">
        <v>288</v>
      </c>
      <c r="H121" s="124">
        <f t="shared" si="7"/>
        <v>1668850.06</v>
      </c>
    </row>
    <row r="122" spans="1:8" x14ac:dyDescent="0.2">
      <c r="A122" t="s">
        <v>214</v>
      </c>
      <c r="B122" s="32" t="s">
        <v>215</v>
      </c>
      <c r="C122" s="95">
        <f>('DOE25'!L207)+('DOE25'!L225)+('DOE25'!L243)</f>
        <v>437131.576</v>
      </c>
      <c r="D122" s="24" t="s">
        <v>288</v>
      </c>
      <c r="E122" s="95">
        <f>+('DOE25'!L286)+('DOE25'!L305)+('DOE25'!L324)</f>
        <v>0</v>
      </c>
      <c r="F122" s="24" t="s">
        <v>288</v>
      </c>
      <c r="G122" s="24" t="s">
        <v>288</v>
      </c>
      <c r="H122" s="124">
        <f t="shared" si="7"/>
        <v>437131.576</v>
      </c>
    </row>
    <row r="123" spans="1:8" x14ac:dyDescent="0.2">
      <c r="A123" t="s">
        <v>216</v>
      </c>
      <c r="B123" s="32" t="s">
        <v>217</v>
      </c>
      <c r="C123" s="95">
        <f>('DOE25'!L208)+('DOE25'!L226)+('DOE25'!L244)</f>
        <v>2413242.94</v>
      </c>
      <c r="D123" s="24" t="s">
        <v>288</v>
      </c>
      <c r="E123" s="95">
        <f>+('DOE25'!L287)+('DOE25'!L306)+('DOE25'!L325)</f>
        <v>10822.379999999997</v>
      </c>
      <c r="F123" s="24" t="s">
        <v>288</v>
      </c>
      <c r="G123" s="24" t="s">
        <v>288</v>
      </c>
      <c r="H123" s="124">
        <f t="shared" si="7"/>
        <v>2424065.3199999998</v>
      </c>
    </row>
    <row r="124" spans="1:8" x14ac:dyDescent="0.2">
      <c r="A124" t="s">
        <v>218</v>
      </c>
      <c r="B124" s="32" t="s">
        <v>219</v>
      </c>
      <c r="C124" s="95">
        <f>('DOE25'!L209)+('DOE25'!L227)+('DOE25'!L245+'DOE25'!L255)</f>
        <v>1732518.69</v>
      </c>
      <c r="D124" s="24" t="s">
        <v>288</v>
      </c>
      <c r="E124" s="95">
        <f>+('DOE25'!L288)+('DOE25'!L307)+('DOE25'!L326)</f>
        <v>15870.4</v>
      </c>
      <c r="F124" s="24" t="s">
        <v>288</v>
      </c>
      <c r="G124" s="24" t="s">
        <v>288</v>
      </c>
      <c r="H124" s="124">
        <f t="shared" si="7"/>
        <v>1748389.0899999999</v>
      </c>
    </row>
    <row r="125" spans="1:8" x14ac:dyDescent="0.2">
      <c r="A125" t="s">
        <v>220</v>
      </c>
      <c r="B125" s="32" t="s">
        <v>221</v>
      </c>
      <c r="C125" s="95">
        <f>('DOE25'!L210)+('DOE25'!L228)+('DOE25'!L246)</f>
        <v>1215386.1500000001</v>
      </c>
      <c r="D125" s="24" t="s">
        <v>288</v>
      </c>
      <c r="E125" s="95">
        <f>+('DOE25'!L289)+('DOE25'!L308)+('DOE25'!L327)</f>
        <v>11102.720000000001</v>
      </c>
      <c r="F125" s="24" t="s">
        <v>288</v>
      </c>
      <c r="G125" s="24" t="s">
        <v>288</v>
      </c>
      <c r="H125" s="124">
        <f t="shared" si="7"/>
        <v>1226488.8700000001</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917660.11999999988</v>
      </c>
      <c r="E127" s="24" t="s">
        <v>288</v>
      </c>
      <c r="F127" s="24" t="s">
        <v>288</v>
      </c>
      <c r="G127" s="24" t="s">
        <v>288</v>
      </c>
      <c r="H127" s="124">
        <f t="shared" si="7"/>
        <v>917660.11999999988</v>
      </c>
    </row>
    <row r="128" spans="1:8" ht="12.75" thickTop="1" thickBot="1" x14ac:dyDescent="0.25">
      <c r="A128" s="33" t="s">
        <v>226</v>
      </c>
      <c r="C128" s="86">
        <f>SUM(C118:C127)</f>
        <v>12306299.570400001</v>
      </c>
      <c r="D128" s="86">
        <f>SUM(D118:D127)</f>
        <v>917660.11999999988</v>
      </c>
      <c r="E128" s="86">
        <f>SUM(E118:E127)</f>
        <v>170567.72999999998</v>
      </c>
      <c r="F128" s="86">
        <f>SUM(F118:F127)</f>
        <v>0</v>
      </c>
      <c r="G128" s="86">
        <f>SUM(G118:G127)</f>
        <v>0</v>
      </c>
      <c r="H128" s="86">
        <f t="shared" si="7"/>
        <v>13394527.420400001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300095.24</v>
      </c>
      <c r="D130" s="24" t="s">
        <v>288</v>
      </c>
      <c r="E130" s="129">
        <f>'DOE25'!L337</f>
        <v>402713.32</v>
      </c>
      <c r="F130" s="129">
        <f>SUM('DOE25'!L375:'DOE25'!L381)</f>
        <v>7740445.6900000004</v>
      </c>
      <c r="G130" s="24" t="s">
        <v>288</v>
      </c>
      <c r="H130" s="124">
        <f t="shared" si="7"/>
        <v>8443254.25</v>
      </c>
    </row>
    <row r="131" spans="1:8" x14ac:dyDescent="0.2">
      <c r="A131" t="s">
        <v>229</v>
      </c>
      <c r="B131" s="32">
        <v>5110</v>
      </c>
      <c r="C131" s="95">
        <f>'DOE25'!L261</f>
        <v>1040000</v>
      </c>
      <c r="D131" s="24" t="s">
        <v>288</v>
      </c>
      <c r="E131" s="129">
        <f>'DOE25'!L342</f>
        <v>0</v>
      </c>
      <c r="F131" s="24" t="s">
        <v>288</v>
      </c>
      <c r="G131" s="24" t="s">
        <v>288</v>
      </c>
      <c r="H131" s="124">
        <f t="shared" si="7"/>
        <v>1040000</v>
      </c>
    </row>
    <row r="132" spans="1:8" x14ac:dyDescent="0.2">
      <c r="A132" t="s">
        <v>230</v>
      </c>
      <c r="B132" s="32">
        <v>5120</v>
      </c>
      <c r="C132" s="95">
        <f>'DOE25'!L262</f>
        <v>1158906.8799999999</v>
      </c>
      <c r="D132" s="24" t="s">
        <v>288</v>
      </c>
      <c r="E132" s="129">
        <f>'DOE25'!L343</f>
        <v>0</v>
      </c>
      <c r="F132" s="24" t="s">
        <v>288</v>
      </c>
      <c r="G132" s="24" t="s">
        <v>288</v>
      </c>
      <c r="H132" s="124">
        <f t="shared" si="7"/>
        <v>1158906.8799999999</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401.47</v>
      </c>
      <c r="D138" s="24" t="s">
        <v>288</v>
      </c>
      <c r="E138" s="24" t="s">
        <v>288</v>
      </c>
      <c r="F138" s="24" t="s">
        <v>288</v>
      </c>
      <c r="G138" s="24" t="s">
        <v>288</v>
      </c>
      <c r="H138" s="124">
        <f t="shared" si="7"/>
        <v>401.47</v>
      </c>
    </row>
    <row r="139" spans="1:8" x14ac:dyDescent="0.2">
      <c r="A139" t="s">
        <v>239</v>
      </c>
      <c r="B139" s="32">
        <v>5252</v>
      </c>
      <c r="C139" s="95">
        <f>'DOE25'!L402</f>
        <v>-63479.659999999996</v>
      </c>
      <c r="D139" s="24" t="s">
        <v>288</v>
      </c>
      <c r="E139" s="24" t="s">
        <v>288</v>
      </c>
      <c r="F139" s="24" t="s">
        <v>288</v>
      </c>
      <c r="G139" s="24" t="s">
        <v>288</v>
      </c>
      <c r="H139" s="124">
        <f t="shared" si="7"/>
        <v>-63479.659999999996</v>
      </c>
    </row>
    <row r="140" spans="1:8" x14ac:dyDescent="0.2">
      <c r="A140" t="s">
        <v>240</v>
      </c>
      <c r="B140" s="32">
        <v>5253</v>
      </c>
      <c r="C140" s="95">
        <f>'DOE25'!L408</f>
        <v>-883.71</v>
      </c>
      <c r="D140" s="24" t="s">
        <v>288</v>
      </c>
      <c r="E140" s="24" t="s">
        <v>288</v>
      </c>
      <c r="F140" s="24" t="s">
        <v>288</v>
      </c>
      <c r="G140" s="24" t="s">
        <v>288</v>
      </c>
      <c r="H140" s="124">
        <f t="shared" si="7"/>
        <v>-883.71</v>
      </c>
    </row>
    <row r="141" spans="1:8" x14ac:dyDescent="0.2">
      <c r="A141" t="s">
        <v>762</v>
      </c>
      <c r="B141" s="32">
        <v>5254</v>
      </c>
      <c r="C141" s="95">
        <f>('DOE25'!L267+'DOE25'!K348) - (C138+C139+C140)</f>
        <v>63961.899999999994</v>
      </c>
      <c r="D141" s="24" t="s">
        <v>288</v>
      </c>
      <c r="E141" s="24" t="s">
        <v>288</v>
      </c>
      <c r="F141" s="24" t="s">
        <v>288</v>
      </c>
      <c r="G141" s="24" t="s">
        <v>288</v>
      </c>
      <c r="H141" s="124">
        <f t="shared" si="7"/>
        <v>63961.899999999994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2499002.12</v>
      </c>
      <c r="D144" s="141">
        <f>SUM(D130:D143)</f>
        <v>0</v>
      </c>
      <c r="E144" s="141">
        <f>SUM(E130:E143)</f>
        <v>402713.32</v>
      </c>
      <c r="F144" s="141">
        <f>SUM(F130:F143)</f>
        <v>7740445.6900000004</v>
      </c>
      <c r="G144" s="141">
        <f>SUM(G130:G143)</f>
        <v>0</v>
      </c>
      <c r="H144" s="141">
        <f t="shared" si="7"/>
        <v>10642161.130000001</v>
      </c>
    </row>
    <row r="145" spans="1:9" ht="12.75" thickTop="1" thickBot="1" x14ac:dyDescent="0.25">
      <c r="A145" s="33" t="s">
        <v>244</v>
      </c>
      <c r="C145" s="86">
        <f>(C115+C128+C144)</f>
        <v>31983162.528200004</v>
      </c>
      <c r="D145" s="86">
        <f>(D115+D128+D144)</f>
        <v>917660.11999999988</v>
      </c>
      <c r="E145" s="86">
        <f>(E115+E128+E144)</f>
        <v>1077172.32</v>
      </c>
      <c r="F145" s="86">
        <f>(F115+F128+F144)</f>
        <v>7740445.6900000004</v>
      </c>
      <c r="G145" s="86">
        <f>(G115+G128+G144)</f>
        <v>0</v>
      </c>
      <c r="H145" s="86">
        <f t="shared" si="7"/>
        <v>41718440.658200003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6</v>
      </c>
      <c r="D151" s="153">
        <f>'DOE25'!H491</f>
        <v>12</v>
      </c>
      <c r="E151" s="153">
        <f>'DOE25'!I491</f>
        <v>20</v>
      </c>
      <c r="F151" s="153">
        <f>'DOE25'!J491</f>
        <v>0</v>
      </c>
      <c r="G151" s="24" t="s">
        <v>288</v>
      </c>
    </row>
    <row r="152" spans="1:9" x14ac:dyDescent="0.2">
      <c r="A152" s="136" t="s">
        <v>28</v>
      </c>
      <c r="B152" s="152" t="str">
        <f>'DOE25'!F492</f>
        <v>7/2014</v>
      </c>
      <c r="C152" s="152" t="str">
        <f>'DOE25'!G492</f>
        <v>7/2018</v>
      </c>
      <c r="D152" s="152" t="str">
        <f>'DOE25'!H492</f>
        <v>6/2022</v>
      </c>
      <c r="E152" s="152" t="str">
        <f>'DOE25'!I492</f>
        <v>8/2021</v>
      </c>
      <c r="F152" s="152">
        <f>'DOE25'!J492</f>
        <v>0</v>
      </c>
      <c r="G152" s="24" t="s">
        <v>288</v>
      </c>
    </row>
    <row r="153" spans="1:9" x14ac:dyDescent="0.2">
      <c r="A153" s="136" t="s">
        <v>29</v>
      </c>
      <c r="B153" s="152" t="str">
        <f>'DOE25'!F493</f>
        <v>8/2034</v>
      </c>
      <c r="C153" s="152" t="str">
        <f>'DOE25'!G493</f>
        <v>7/2023</v>
      </c>
      <c r="D153" s="152" t="str">
        <f>'DOE25'!H493</f>
        <v>6/2033</v>
      </c>
      <c r="E153" s="152" t="str">
        <f>'DOE25'!I493</f>
        <v>8/2041</v>
      </c>
      <c r="F153" s="152">
        <f>'DOE25'!J493</f>
        <v>0</v>
      </c>
      <c r="G153" s="24" t="s">
        <v>288</v>
      </c>
    </row>
    <row r="154" spans="1:9" x14ac:dyDescent="0.2">
      <c r="A154" s="136" t="s">
        <v>30</v>
      </c>
      <c r="B154" s="137">
        <f>'DOE25'!F494</f>
        <v>20745000</v>
      </c>
      <c r="C154" s="137">
        <f>'DOE25'!G494</f>
        <v>245000</v>
      </c>
      <c r="D154" s="137">
        <f>'DOE25'!H494</f>
        <v>1353481.91</v>
      </c>
      <c r="E154" s="137">
        <f>'DOE25'!I494</f>
        <v>27517975</v>
      </c>
      <c r="F154" s="137">
        <f>'DOE25'!J494</f>
        <v>0</v>
      </c>
      <c r="G154" s="24" t="s">
        <v>288</v>
      </c>
    </row>
    <row r="155" spans="1:9" x14ac:dyDescent="0.2">
      <c r="A155" s="136" t="s">
        <v>31</v>
      </c>
      <c r="B155" s="137">
        <f>'DOE25'!F495</f>
        <v>3.2</v>
      </c>
      <c r="C155" s="137">
        <f>'DOE25'!G495</f>
        <v>3.71</v>
      </c>
      <c r="D155" s="137">
        <f>'DOE25'!H495</f>
        <v>2.7269999999999999</v>
      </c>
      <c r="E155" s="137">
        <f>'DOE25'!I495</f>
        <v>1.74</v>
      </c>
      <c r="F155" s="137">
        <f>'DOE25'!J495</f>
        <v>0</v>
      </c>
      <c r="G155" s="24" t="s">
        <v>288</v>
      </c>
    </row>
    <row r="156" spans="1:9" x14ac:dyDescent="0.2">
      <c r="A156" s="22" t="s">
        <v>32</v>
      </c>
      <c r="B156" s="137">
        <f>'DOE25'!F496</f>
        <v>14505000</v>
      </c>
      <c r="C156" s="137">
        <f>'DOE25'!G496</f>
        <v>84921.49</v>
      </c>
      <c r="D156" s="137">
        <f>'DOE25'!H496</f>
        <v>1353481.91</v>
      </c>
      <c r="E156" s="137">
        <f>'DOE25'!I496</f>
        <v>0</v>
      </c>
      <c r="F156" s="137">
        <f>'DOE25'!J496</f>
        <v>0</v>
      </c>
      <c r="G156" s="138">
        <f>SUM(B156:F156)</f>
        <v>15943403.4</v>
      </c>
    </row>
    <row r="157" spans="1:9" x14ac:dyDescent="0.2">
      <c r="A157" s="22" t="s">
        <v>33</v>
      </c>
      <c r="B157" s="137">
        <f>'DOE25'!F497</f>
        <v>0</v>
      </c>
      <c r="C157" s="137">
        <f>'DOE25'!G497</f>
        <v>0</v>
      </c>
      <c r="D157" s="137">
        <f>'DOE25'!H497</f>
        <v>1353481.91</v>
      </c>
      <c r="E157" s="137">
        <f>'DOE25'!I497</f>
        <v>27517975</v>
      </c>
      <c r="F157" s="137">
        <f>'DOE25'!J497</f>
        <v>0</v>
      </c>
      <c r="G157" s="138">
        <f t="shared" ref="G157:G164" si="8">SUM(B157:F157)</f>
        <v>28871456.91</v>
      </c>
    </row>
    <row r="158" spans="1:9" x14ac:dyDescent="0.2">
      <c r="A158" s="22" t="s">
        <v>34</v>
      </c>
      <c r="B158" s="137">
        <f>'DOE25'!F498</f>
        <v>1040000</v>
      </c>
      <c r="C158" s="137">
        <f>'DOE25'!G498</f>
        <v>40196.17</v>
      </c>
      <c r="D158" s="137">
        <f>'DOE25'!H498</f>
        <v>96857.75</v>
      </c>
      <c r="E158" s="137">
        <f>'DOE25'!I498</f>
        <v>0</v>
      </c>
      <c r="F158" s="137">
        <f>'DOE25'!J498</f>
        <v>0</v>
      </c>
      <c r="G158" s="138">
        <f t="shared" si="8"/>
        <v>1177053.92</v>
      </c>
    </row>
    <row r="159" spans="1:9" x14ac:dyDescent="0.2">
      <c r="A159" s="22" t="s">
        <v>35</v>
      </c>
      <c r="B159" s="137">
        <f>'DOE25'!F499</f>
        <v>13465000</v>
      </c>
      <c r="C159" s="137">
        <f>'DOE25'!G499</f>
        <v>84921.49</v>
      </c>
      <c r="D159" s="137">
        <f>'DOE25'!H499</f>
        <v>1256624.1599999999</v>
      </c>
      <c r="E159" s="137">
        <f>'DOE25'!I499</f>
        <v>27517975</v>
      </c>
      <c r="F159" s="137">
        <f>'DOE25'!J499</f>
        <v>0</v>
      </c>
      <c r="G159" s="138">
        <f t="shared" si="8"/>
        <v>42324520.649999999</v>
      </c>
    </row>
    <row r="160" spans="1:9" x14ac:dyDescent="0.2">
      <c r="A160" s="22" t="s">
        <v>36</v>
      </c>
      <c r="B160" s="137">
        <f>'DOE25'!F500</f>
        <v>3550042.5</v>
      </c>
      <c r="C160" s="137">
        <f>'DOE25'!G500</f>
        <v>4754.59</v>
      </c>
      <c r="D160" s="137">
        <f>'DOE25'!H500</f>
        <v>214815.04</v>
      </c>
      <c r="E160" s="137">
        <f>'DOE25'!I500</f>
        <v>9353598.3599999994</v>
      </c>
      <c r="F160" s="137">
        <f>'DOE25'!J500</f>
        <v>0</v>
      </c>
      <c r="G160" s="138">
        <f t="shared" si="8"/>
        <v>13123210.489999998</v>
      </c>
    </row>
    <row r="161" spans="1:7" x14ac:dyDescent="0.2">
      <c r="A161" s="22" t="s">
        <v>37</v>
      </c>
      <c r="B161" s="137">
        <f>'DOE25'!F501</f>
        <v>17015042.5</v>
      </c>
      <c r="C161" s="137">
        <f>'DOE25'!G501</f>
        <v>89676.08</v>
      </c>
      <c r="D161" s="137">
        <f>'DOE25'!H501</f>
        <v>1471439.2</v>
      </c>
      <c r="E161" s="137">
        <f>'DOE25'!I501</f>
        <v>36871573.359999999</v>
      </c>
      <c r="F161" s="137">
        <f>'DOE25'!J501</f>
        <v>0</v>
      </c>
      <c r="G161" s="138">
        <f t="shared" si="8"/>
        <v>55447731.140000001</v>
      </c>
    </row>
    <row r="162" spans="1:7" x14ac:dyDescent="0.2">
      <c r="A162" s="22" t="s">
        <v>38</v>
      </c>
      <c r="B162" s="137">
        <f>'DOE25'!F502</f>
        <v>1040000</v>
      </c>
      <c r="C162" s="137">
        <f>'DOE25'!G502</f>
        <v>41687.449999999997</v>
      </c>
      <c r="D162" s="137">
        <f>'DOE25'!H502</f>
        <v>99499.06</v>
      </c>
      <c r="E162" s="137">
        <f>'DOE25'!I502</f>
        <v>1402975</v>
      </c>
      <c r="F162" s="137">
        <f>'DOE25'!J502</f>
        <v>0</v>
      </c>
      <c r="G162" s="138">
        <f t="shared" si="8"/>
        <v>2584161.5099999998</v>
      </c>
    </row>
    <row r="163" spans="1:7" x14ac:dyDescent="0.2">
      <c r="A163" s="22" t="s">
        <v>39</v>
      </c>
      <c r="B163" s="137">
        <f>'DOE25'!F503</f>
        <v>535995</v>
      </c>
      <c r="C163" s="137">
        <f>'DOE25'!G503</f>
        <v>3150.59</v>
      </c>
      <c r="D163" s="137">
        <f>'DOE25'!H503</f>
        <v>34268.14</v>
      </c>
      <c r="E163" s="137">
        <f>'DOE25'!I503</f>
        <v>1079190.8600000001</v>
      </c>
      <c r="F163" s="137">
        <f>'DOE25'!J503</f>
        <v>0</v>
      </c>
      <c r="G163" s="138">
        <f t="shared" si="8"/>
        <v>1652604.59</v>
      </c>
    </row>
    <row r="164" spans="1:7" x14ac:dyDescent="0.2">
      <c r="A164" s="22" t="s">
        <v>246</v>
      </c>
      <c r="B164" s="137">
        <f>'DOE25'!F504</f>
        <v>1575995</v>
      </c>
      <c r="C164" s="137">
        <f>'DOE25'!G504</f>
        <v>44838.039999999994</v>
      </c>
      <c r="D164" s="137">
        <f>'DOE25'!H504</f>
        <v>133767.20000000001</v>
      </c>
      <c r="E164" s="137">
        <f>'DOE25'!I504</f>
        <v>2482165.8600000003</v>
      </c>
      <c r="F164" s="137">
        <f>'DOE25'!J504</f>
        <v>0</v>
      </c>
      <c r="G164" s="138">
        <f t="shared" si="8"/>
        <v>4236766.1000000006</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Pelham</v>
      </c>
    </row>
    <row r="3" spans="1:4" x14ac:dyDescent="0.2">
      <c r="B3" s="187" t="s">
        <v>1799</v>
      </c>
    </row>
    <row r="4" spans="1:4" x14ac:dyDescent="0.2">
      <c r="B4" t="s">
        <v>61</v>
      </c>
      <c r="C4" s="178">
        <f>IF('DOE25'!F666+'DOE25'!F671=0,0,ROUND('DOE25'!F673,0))</f>
        <v>16583</v>
      </c>
    </row>
    <row r="5" spans="1:4" x14ac:dyDescent="0.2">
      <c r="B5" t="s">
        <v>700</v>
      </c>
      <c r="C5" s="178">
        <f>IF('DOE25'!G666+'DOE25'!G671=0,0,ROUND('DOE25'!G673,0))</f>
        <v>0</v>
      </c>
    </row>
    <row r="6" spans="1:4" x14ac:dyDescent="0.2">
      <c r="B6" t="s">
        <v>62</v>
      </c>
      <c r="C6" s="178">
        <f>IF('DOE25'!H666+'DOE25'!H671=0,0,ROUND('DOE25'!H673,0))</f>
        <v>18301</v>
      </c>
    </row>
    <row r="7" spans="1:4" x14ac:dyDescent="0.2">
      <c r="B7" t="s">
        <v>701</v>
      </c>
      <c r="C7" s="178">
        <f>IF('DOE25'!I666+'DOE25'!I671=0,0,ROUND('DOE25'!I673,0))</f>
        <v>17182</v>
      </c>
    </row>
    <row r="9" spans="1:4" x14ac:dyDescent="0.2">
      <c r="A9" s="186" t="s">
        <v>94</v>
      </c>
      <c r="B9" s="187" t="s">
        <v>1800</v>
      </c>
      <c r="C9" s="180" t="s">
        <v>720</v>
      </c>
      <c r="D9" s="180" t="s">
        <v>721</v>
      </c>
    </row>
    <row r="10" spans="1:4" x14ac:dyDescent="0.2">
      <c r="A10">
        <v>1100</v>
      </c>
      <c r="B10" t="s">
        <v>702</v>
      </c>
      <c r="C10" s="178">
        <f>ROUND('DOE25'!L198+'DOE25'!L216+'DOE25'!L234+'DOE25'!L277+'DOE25'!L296+'DOE25'!L315,0)</f>
        <v>11459760</v>
      </c>
      <c r="D10" s="181">
        <f>ROUND((C10/$C$28)*100,1)</f>
        <v>35.700000000000003</v>
      </c>
    </row>
    <row r="11" spans="1:4" x14ac:dyDescent="0.2">
      <c r="A11">
        <v>1200</v>
      </c>
      <c r="B11" t="s">
        <v>703</v>
      </c>
      <c r="C11" s="178">
        <f>ROUND('DOE25'!L199+'DOE25'!L217+'DOE25'!L235+'DOE25'!L278+'DOE25'!L297+'DOE25'!L316,0)</f>
        <v>5441217</v>
      </c>
      <c r="D11" s="181">
        <f>ROUND((C11/$C$28)*100,1)</f>
        <v>16.899999999999999</v>
      </c>
    </row>
    <row r="12" spans="1:4" x14ac:dyDescent="0.2">
      <c r="A12">
        <v>1300</v>
      </c>
      <c r="B12" t="s">
        <v>704</v>
      </c>
      <c r="C12" s="178">
        <f>ROUND('DOE25'!L200+'DOE25'!L218+'DOE25'!L236+'DOE25'!L279+'DOE25'!L298+'DOE25'!L317,0)</f>
        <v>103724</v>
      </c>
      <c r="D12" s="181">
        <f>ROUND((C12/$C$28)*100,1)</f>
        <v>0.3</v>
      </c>
    </row>
    <row r="13" spans="1:4" x14ac:dyDescent="0.2">
      <c r="A13">
        <v>1400</v>
      </c>
      <c r="B13" t="s">
        <v>705</v>
      </c>
      <c r="C13" s="178">
        <f>ROUND('DOE25'!L201+'DOE25'!L219+'DOE25'!L237+'DOE25'!L280+'DOE25'!L299+'DOE25'!L318,0)</f>
        <v>677052</v>
      </c>
      <c r="D13" s="181">
        <f>ROUND((C13/$C$28)*100,1)</f>
        <v>2.1</v>
      </c>
    </row>
    <row r="14" spans="1:4" x14ac:dyDescent="0.2">
      <c r="D14" s="181"/>
    </row>
    <row r="15" spans="1:4" x14ac:dyDescent="0.2">
      <c r="A15">
        <v>2100</v>
      </c>
      <c r="B15" t="s">
        <v>706</v>
      </c>
      <c r="C15" s="178">
        <f>ROUND('DOE25'!L203+'DOE25'!L221+'DOE25'!L239+'DOE25'!L282+'DOE25'!L301+'DOE25'!L320,0)</f>
        <v>2999763</v>
      </c>
      <c r="D15" s="181">
        <f t="shared" ref="D15:D27" si="0">ROUND((C15/$C$28)*100,1)</f>
        <v>9.3000000000000007</v>
      </c>
    </row>
    <row r="16" spans="1:4" x14ac:dyDescent="0.2">
      <c r="A16">
        <v>2200</v>
      </c>
      <c r="B16" t="s">
        <v>707</v>
      </c>
      <c r="C16" s="178">
        <f>ROUND('DOE25'!L204+'DOE25'!L222+'DOE25'!L240+'DOE25'!L283+'DOE25'!L302+'DOE25'!L321,0)</f>
        <v>1159994</v>
      </c>
      <c r="D16" s="181">
        <f t="shared" si="0"/>
        <v>3.6</v>
      </c>
    </row>
    <row r="17" spans="1:4" x14ac:dyDescent="0.2">
      <c r="A17" s="182" t="s">
        <v>723</v>
      </c>
      <c r="B17" t="s">
        <v>738</v>
      </c>
      <c r="C17" s="178">
        <f>ROUND('DOE25'!L205+'DOE25'!L210+'DOE25'!L223+'DOE25'!L228+'DOE25'!L241+'DOE25'!L246+'DOE25'!L284+'DOE25'!L289+'DOE25'!L303+'DOE25'!L308+'DOE25'!L322+'DOE25'!L327,0)</f>
        <v>2038674</v>
      </c>
      <c r="D17" s="181">
        <f t="shared" si="0"/>
        <v>6.3</v>
      </c>
    </row>
    <row r="18" spans="1:4" x14ac:dyDescent="0.2">
      <c r="A18">
        <v>2400</v>
      </c>
      <c r="B18" t="s">
        <v>711</v>
      </c>
      <c r="C18" s="178">
        <f>ROUND('DOE25'!L206+'DOE25'!L224+'DOE25'!L242+'DOE25'!L285+'DOE25'!L304+'DOE25'!L323,0)</f>
        <v>1668850</v>
      </c>
      <c r="D18" s="181">
        <f t="shared" si="0"/>
        <v>5.2</v>
      </c>
    </row>
    <row r="19" spans="1:4" x14ac:dyDescent="0.2">
      <c r="A19">
        <v>2500</v>
      </c>
      <c r="B19" t="s">
        <v>708</v>
      </c>
      <c r="C19" s="178">
        <f>ROUND('DOE25'!L207+'DOE25'!L225+'DOE25'!L243+'DOE25'!L286+'DOE25'!L305+'DOE25'!L324,0)</f>
        <v>437132</v>
      </c>
      <c r="D19" s="181">
        <f t="shared" si="0"/>
        <v>1.4</v>
      </c>
    </row>
    <row r="20" spans="1:4" x14ac:dyDescent="0.2">
      <c r="A20">
        <v>2600</v>
      </c>
      <c r="B20" t="s">
        <v>709</v>
      </c>
      <c r="C20" s="178">
        <f>ROUND('DOE25'!L208+'DOE25'!L226+'DOE25'!L244+'DOE25'!L287+'DOE25'!L306+'DOE25'!L325,0)</f>
        <v>2424065</v>
      </c>
      <c r="D20" s="181">
        <f t="shared" si="0"/>
        <v>7.5</v>
      </c>
    </row>
    <row r="21" spans="1:4" x14ac:dyDescent="0.2">
      <c r="A21">
        <v>2700</v>
      </c>
      <c r="B21" t="s">
        <v>710</v>
      </c>
      <c r="C21" s="178">
        <f>ROUND('DOE25'!L209+'DOE25'!L227+'DOE25'!L245+'DOE25'!L288+'DOE25'!L307+'DOE25'!L326,0)</f>
        <v>1748389</v>
      </c>
      <c r="D21" s="181">
        <f t="shared" si="0"/>
        <v>5.4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1158907</v>
      </c>
      <c r="D25" s="181">
        <f t="shared" si="0"/>
        <v>3.6</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796765.84</v>
      </c>
      <c r="D27" s="181">
        <f t="shared" si="0"/>
        <v>2.5</v>
      </c>
    </row>
    <row r="28" spans="1:4" x14ac:dyDescent="0.2">
      <c r="B28" s="186" t="s">
        <v>719</v>
      </c>
      <c r="C28" s="179">
        <f>SUM(C10:C27)</f>
        <v>32114292.84</v>
      </c>
      <c r="D28" s="183">
        <f>ROUND(SUM(D10:D27),0)</f>
        <v>100</v>
      </c>
    </row>
    <row r="29" spans="1:4" x14ac:dyDescent="0.2">
      <c r="A29">
        <v>4000</v>
      </c>
      <c r="B29" t="s">
        <v>724</v>
      </c>
      <c r="C29" s="178">
        <f>ROUND('DOE25'!L256+'DOE25'!L337+'DOE25'!L375+'DOE25'!L376+'DOE25'!L377+'DOE25'!L378+'DOE25'!L379+'DOE25'!L380+'DOE25'!L381,0)</f>
        <v>8443254</v>
      </c>
    </row>
    <row r="30" spans="1:4" x14ac:dyDescent="0.2">
      <c r="B30" s="186" t="s">
        <v>725</v>
      </c>
      <c r="C30" s="179">
        <f>SUM(C28:C29)</f>
        <v>40557546.840000004</v>
      </c>
    </row>
    <row r="31" spans="1:4" x14ac:dyDescent="0.2">
      <c r="B31" s="33"/>
      <c r="C31" s="179"/>
    </row>
    <row r="32" spans="1:4" x14ac:dyDescent="0.2">
      <c r="A32">
        <v>5100</v>
      </c>
      <c r="B32" s="33" t="s">
        <v>726</v>
      </c>
      <c r="C32" s="179">
        <f>ROUND('DOE25'!L261+'DOE25'!L342,0)</f>
        <v>1040000</v>
      </c>
    </row>
    <row r="34" spans="1:4" x14ac:dyDescent="0.2">
      <c r="A34" s="186" t="s">
        <v>94</v>
      </c>
      <c r="B34" s="187" t="s">
        <v>1801</v>
      </c>
      <c r="C34" s="180" t="s">
        <v>720</v>
      </c>
      <c r="D34" s="180" t="s">
        <v>721</v>
      </c>
    </row>
    <row r="35" spans="1:4" x14ac:dyDescent="0.2">
      <c r="A35">
        <v>1100</v>
      </c>
      <c r="B35" s="184" t="s">
        <v>727</v>
      </c>
      <c r="C35" s="178">
        <f>ROUND('DOE25'!F60+'DOE25'!G60+'DOE25'!H60+'DOE25'!I60+'DOE25'!J60,0)</f>
        <v>23666078</v>
      </c>
      <c r="D35" s="181">
        <f t="shared" ref="D35:D40" si="1">ROUND((C35/$C$41)*100,1)</f>
        <v>61.5</v>
      </c>
    </row>
    <row r="36" spans="1:4" x14ac:dyDescent="0.2">
      <c r="B36" s="184" t="s">
        <v>739</v>
      </c>
      <c r="C36" s="178">
        <f>SUM('DOE25'!F112:J112)-SUM('DOE25'!G97:G110)+('DOE25'!F175+'DOE25'!F176+'DOE25'!I175+'DOE25'!I176)-C35</f>
        <v>5131655.4200000018</v>
      </c>
      <c r="D36" s="181">
        <f t="shared" si="1"/>
        <v>13.3</v>
      </c>
    </row>
    <row r="37" spans="1:4" x14ac:dyDescent="0.2">
      <c r="A37" s="182" t="s">
        <v>835</v>
      </c>
      <c r="B37" s="184" t="s">
        <v>728</v>
      </c>
      <c r="C37" s="178">
        <f>ROUND('DOE25'!F117+'DOE25'!F118,0)</f>
        <v>7481348</v>
      </c>
      <c r="D37" s="181">
        <f t="shared" si="1"/>
        <v>19.399999999999999</v>
      </c>
    </row>
    <row r="38" spans="1:4" x14ac:dyDescent="0.2">
      <c r="A38" s="182" t="s">
        <v>734</v>
      </c>
      <c r="B38" s="184" t="s">
        <v>729</v>
      </c>
      <c r="C38" s="178">
        <f>ROUND(SUM('DOE25'!F140:J140)-SUM('DOE25'!F117:F119),0)</f>
        <v>249153</v>
      </c>
      <c r="D38" s="181">
        <f t="shared" si="1"/>
        <v>0.6</v>
      </c>
    </row>
    <row r="39" spans="1:4" x14ac:dyDescent="0.2">
      <c r="A39">
        <v>4000</v>
      </c>
      <c r="B39" s="184" t="s">
        <v>730</v>
      </c>
      <c r="C39" s="178">
        <f>ROUND('DOE25'!F170+'DOE25'!G170+'DOE25'!H170+'DOE25'!I170,0)</f>
        <v>1979999</v>
      </c>
      <c r="D39" s="181">
        <f t="shared" si="1"/>
        <v>5.0999999999999996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38508233.420000002</v>
      </c>
      <c r="D41" s="183">
        <f>SUM(D35:D40)</f>
        <v>99.899999999999977</v>
      </c>
    </row>
    <row r="42" spans="1:4" x14ac:dyDescent="0.2">
      <c r="A42" s="182" t="s">
        <v>737</v>
      </c>
      <c r="B42" s="184" t="s">
        <v>733</v>
      </c>
      <c r="C42" s="178">
        <f>ROUND('DOE25'!F174+'DOE25'!I174+'DOE25'!F177+'DOE25'!I177,0)</f>
        <v>27517975</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Pelham</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231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70</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232</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f>IF('School Level Expenditures'!$B$2='School Tables'!W73,'School Tables'!AD73,"")</f>
        <v>70</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f>IF('School Level Expenditures'!$B$2=A234,'School Tables'!H234,"")</f>
        <v>231</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f>IF('School Level Expenditures'!$B$2=A235,'School Tables'!H235,"")</f>
        <v>232</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'ESEA OTHER TITLE PROGRAMS'!Print_Area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2022-10-07T14:00:52Z</cp:lastPrinted>
  <dcterms:created xsi:type="dcterms:W3CDTF">1997-12-04T19:04:30Z</dcterms:created>
  <dcterms:modified xsi:type="dcterms:W3CDTF">2022-12-19T19:33:55Z</dcterms:modified>
</cp:coreProperties>
</file>