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D0E4382F-C206-4B5C-979F-DCCFC293C262}"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7" i="12" l="1"/>
  <c r="C19" i="12"/>
  <c r="C10" i="12"/>
  <c r="B10" i="12"/>
  <c r="B21" i="12"/>
  <c r="B12" i="12"/>
  <c r="F29" i="13"/>
  <c r="D9" i="13"/>
  <c r="E6" i="14"/>
  <c r="D6" i="14"/>
  <c r="H666" i="1"/>
  <c r="H154" i="1"/>
  <c r="H155" i="1"/>
  <c r="E13" i="17"/>
  <c r="E9" i="17"/>
  <c r="H473" i="1"/>
  <c r="H469" i="1"/>
  <c r="J605" i="1"/>
  <c r="H605" i="1"/>
  <c r="F369" i="1" l="1"/>
  <c r="H593" i="1"/>
  <c r="H592" i="1"/>
  <c r="H532" i="1"/>
  <c r="K361" i="1"/>
  <c r="K359" i="1"/>
  <c r="I361" i="1"/>
  <c r="I359" i="1"/>
  <c r="H361" i="1"/>
  <c r="H359" i="1"/>
  <c r="H529" i="1"/>
  <c r="H527" i="1"/>
  <c r="K337" i="1"/>
  <c r="H283" i="1"/>
  <c r="H282" i="1"/>
  <c r="F277" i="1"/>
  <c r="K286" i="1"/>
  <c r="H245" i="1"/>
  <c r="H244" i="1"/>
  <c r="H242" i="1"/>
  <c r="H241" i="1"/>
  <c r="K240" i="1"/>
  <c r="H239" i="1"/>
  <c r="H237" i="1"/>
  <c r="H234" i="1"/>
  <c r="H209" i="1"/>
  <c r="H208" i="1"/>
  <c r="H206" i="1"/>
  <c r="G206" i="1"/>
  <c r="F206" i="1"/>
  <c r="K205" i="1"/>
  <c r="I205" i="1"/>
  <c r="H205" i="1"/>
  <c r="G205" i="1"/>
  <c r="F205" i="1"/>
  <c r="K204" i="1"/>
  <c r="H204" i="1"/>
  <c r="H203" i="1"/>
  <c r="G203" i="1"/>
  <c r="F203" i="1"/>
  <c r="H201" i="1"/>
  <c r="H198" i="1"/>
  <c r="G24" i="1"/>
  <c r="G48" i="1"/>
  <c r="F50" i="1"/>
  <c r="G440" i="1" l="1"/>
  <c r="H401" i="1"/>
  <c r="G401" i="1"/>
  <c r="H397" i="1"/>
  <c r="G397" i="1"/>
  <c r="H400" i="1"/>
  <c r="G400" i="1"/>
  <c r="H399" i="1"/>
  <c r="G399" i="1"/>
  <c r="H110" i="1" l="1"/>
  <c r="E7" i="17"/>
  <c r="H162" i="1"/>
  <c r="H161" i="1"/>
  <c r="G132" i="1"/>
  <c r="F109" i="1"/>
  <c r="H22" i="1"/>
  <c r="C2" i="1"/>
  <c r="B2" i="1"/>
  <c r="G655" i="1"/>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E112" i="2"/>
  <c r="D115" i="2"/>
  <c r="F115" i="2"/>
  <c r="G115" i="2"/>
  <c r="E120" i="2"/>
  <c r="E124"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H477" i="1" l="1"/>
  <c r="H625" i="1" s="1"/>
  <c r="J652" i="1"/>
  <c r="G662" i="1"/>
  <c r="C119" i="2"/>
  <c r="C13" i="10"/>
  <c r="C121" i="2"/>
  <c r="C112" i="2"/>
  <c r="H112" i="2" s="1"/>
  <c r="I409" i="1"/>
  <c r="G409" i="1"/>
  <c r="H646" i="1" s="1"/>
  <c r="J646" i="1" s="1"/>
  <c r="C12" i="10"/>
  <c r="E121" i="2"/>
  <c r="G477" i="1"/>
  <c r="H624" i="1" s="1"/>
  <c r="J624" i="1" s="1"/>
  <c r="D18" i="13"/>
  <c r="C18" i="13" s="1"/>
  <c r="D15" i="13"/>
  <c r="C15" i="13" s="1"/>
  <c r="H100" i="2"/>
  <c r="H96" i="2"/>
  <c r="H80" i="2"/>
  <c r="H143" i="2"/>
  <c r="H102" i="2"/>
  <c r="H125" i="2"/>
  <c r="H89" i="2"/>
  <c r="H59" i="2"/>
  <c r="H27" i="2"/>
  <c r="H24" i="2"/>
  <c r="D144" i="2"/>
  <c r="H97" i="2"/>
  <c r="H93" i="2"/>
  <c r="H87" i="2"/>
  <c r="H61" i="2"/>
  <c r="H26" i="2"/>
  <c r="H22" i="2"/>
  <c r="H113" i="2"/>
  <c r="H132" i="2"/>
  <c r="H36" i="2"/>
  <c r="H44" i="2"/>
  <c r="H101" i="2"/>
  <c r="H79" i="2"/>
  <c r="H35" i="2"/>
  <c r="H9" i="2"/>
  <c r="H48" i="2"/>
  <c r="H94" i="2"/>
  <c r="H99" i="2"/>
  <c r="H76" i="2"/>
  <c r="H69" i="2"/>
  <c r="H30" i="2"/>
  <c r="H28" i="2"/>
  <c r="H25" i="2"/>
  <c r="H17" i="2"/>
  <c r="H15" i="2"/>
  <c r="H98" i="2"/>
  <c r="H23" i="2"/>
  <c r="H11" i="2"/>
  <c r="G62" i="2"/>
  <c r="G63" i="2" s="1"/>
  <c r="A40" i="12"/>
  <c r="D6" i="13"/>
  <c r="C6" i="13" s="1"/>
  <c r="E13" i="13"/>
  <c r="C13" i="13" s="1"/>
  <c r="H58" i="2"/>
  <c r="H120" i="2"/>
  <c r="H77" i="2"/>
  <c r="H34" i="2"/>
  <c r="H38" i="2"/>
  <c r="H43" i="2"/>
  <c r="H8" i="2"/>
  <c r="H29" i="2"/>
  <c r="H47" i="2"/>
  <c r="H13" i="2"/>
  <c r="H12"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121" i="2" l="1"/>
  <c r="H118" i="2"/>
  <c r="F661" i="1"/>
  <c r="F665" i="1" s="1"/>
  <c r="F668" i="1" s="1"/>
  <c r="H119" i="2"/>
  <c r="B33" i="16"/>
  <c r="F194" i="1"/>
  <c r="G628" i="1" s="1"/>
  <c r="J628" i="1" s="1"/>
  <c r="L572" i="1"/>
  <c r="I663" i="1"/>
  <c r="H62" i="2"/>
  <c r="H16" i="2"/>
  <c r="H109" i="2"/>
  <c r="H123" i="2"/>
  <c r="E128" i="2"/>
  <c r="H91" i="2"/>
  <c r="H42" i="2"/>
  <c r="E115" i="2"/>
  <c r="D128" i="2"/>
  <c r="D145" i="2" s="1"/>
  <c r="H127" i="2"/>
  <c r="H114" i="2"/>
  <c r="H21" i="2"/>
  <c r="H57" i="2"/>
  <c r="H103" i="2"/>
  <c r="C81" i="2"/>
  <c r="H81" i="2" s="1"/>
  <c r="H78" i="2"/>
  <c r="H85" i="2"/>
  <c r="H134" i="2"/>
  <c r="E51" i="2"/>
  <c r="H50" i="2"/>
  <c r="D51" i="2"/>
  <c r="H31" i="2"/>
  <c r="H1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28" i="2" l="1"/>
  <c r="E145" i="2"/>
  <c r="H673" i="1"/>
  <c r="C6" i="10" s="1"/>
  <c r="H115" i="2"/>
  <c r="C144" i="2"/>
  <c r="C145" i="2" s="1"/>
  <c r="H141" i="2"/>
  <c r="C104" i="2"/>
  <c r="H104" i="2" s="1"/>
  <c r="H63"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<sst xmlns="http://schemas.openxmlformats.org/spreadsheetml/2006/main" count="6544" uniqueCount="1806">
  <si>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</si>
  <si>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</si>
  <si>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</si>
  <si>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</si>
  <si>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</si>
  <si>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</si>
  <si>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</si>
  <si>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</si>
  <si>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</si>
  <si>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</si>
  <si>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</si>
  <si>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</si>
  <si>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</si>
  <si>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</si>
  <si>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</si>
  <si>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</si>
  <si>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</si>
  <si>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</si>
  <si>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</si>
  <si>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</si>
  <si>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</si>
  <si>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</si>
  <si>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</si>
  <si>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</si>
  <si>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</si>
  <si>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</si>
  <si>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</si>
  <si>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</si>
  <si>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</si>
  <si>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</si>
  <si>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</si>
  <si>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</si>
  <si>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</si>
  <si>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</si>
  <si>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</si>
  <si>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</si>
  <si>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</si>
  <si>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</si>
  <si>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</si>
  <si>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</si>
  <si>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</si>
  <si>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</si>
  <si>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</si>
  <si>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</si>
  <si>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</si>
  <si>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</si>
  <si>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</si>
  <si>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</si>
  <si>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</si>
  <si>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</si>
  <si>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</si>
  <si>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</si>
  <si>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</si>
  <si>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</si>
  <si>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</si>
  <si>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</si>
  <si>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</si>
  <si>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</si>
  <si>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</si>
  <si>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</si>
  <si>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</si>
  <si>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</si>
  <si>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</si>
  <si>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</si>
  <si>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</si>
  <si>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</si>
  <si>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</si>
  <si>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</si>
  <si>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</si>
  <si>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</si>
  <si>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</si>
  <si>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</si>
  <si>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</si>
  <si>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</si>
  <si>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</si>
  <si>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</si>
  <si>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</si>
  <si>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</si>
  <si>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</si>
  <si>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</si>
  <si>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</si>
  <si>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</si>
  <si>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</si>
  <si>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</si>
  <si>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</si>
  <si>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</si>
  <si>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</si>
  <si>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</si>
  <si>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</si>
  <si>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</si>
  <si>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</si>
  <si>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</si>
  <si>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</si>
  <si>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</si>
  <si>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</si>
  <si>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</si>
  <si>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</si>
  <si>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</si>
  <si>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</si>
  <si>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</si>
  <si>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</si>
  <si>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</si>
  <si>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</si>
  <si>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</si>
  <si>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</si>
  <si>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</si>
  <si>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</si>
  <si>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</si>
  <si>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</si>
  <si>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</si>
  <si>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</si>
  <si>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</si>
  <si>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</si>
  <si>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</si>
  <si>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</si>
  <si>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</si>
  <si>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</si>
  <si>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</si>
  <si>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</si>
  <si>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</si>
  <si>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</si>
  <si>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</si>
  <si>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</si>
  <si>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</si>
  <si>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</si>
  <si>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</si>
  <si>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</si>
  <si>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</si>
  <si>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</si>
  <si>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</si>
  <si>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</si>
  <si>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</si>
  <si>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</si>
  <si>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</si>
  <si>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</si>
  <si>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</si>
  <si>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</si>
  <si>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</si>
  <si>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</si>
  <si>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</si>
  <si>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</si>
  <si>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</si>
  <si>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</si>
  <si>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</si>
  <si>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</si>
  <si>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</si>
  <si>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</si>
  <si>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</si>
  <si>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</si>
  <si>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</si>
  <si>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</si>
  <si>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</si>
  <si>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</si>
  <si>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</si>
  <si>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</si>
  <si>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</si>
  <si>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</si>
  <si>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</si>
  <si>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</si>
  <si>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</si>
  <si>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</si>
  <si>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</si>
  <si>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</si>
  <si>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</si>
  <si>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</si>
  <si>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</si>
  <si>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</si>
  <si>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</si>
  <si>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</si>
  <si>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</si>
  <si>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</si>
  <si>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</si>
  <si>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</si>
  <si>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</si>
  <si>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</si>
  <si>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</si>
  <si>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</si>
  <si>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</si>
  <si>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</si>
  <si>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</si>
  <si>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</si>
  <si>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</si>
  <si>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</si>
  <si>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</si>
  <si>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</si>
  <si>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</si>
  <si>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</si>
  <si>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</si>
  <si>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</si>
  <si>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</si>
  <si>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</si>
  <si>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</si>
  <si>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</si>
  <si>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</si>
  <si>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</si>
  <si>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</si>
  <si>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</si>
  <si>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</si>
  <si>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</si>
  <si>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</si>
  <si>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</si>
  <si>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</si>
  <si>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</si>
  <si>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</si>
  <si>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</si>
  <si>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</si>
  <si>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</si>
  <si>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</si>
  <si>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</si>
  <si>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</si>
  <si>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</si>
  <si>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</si>
  <si>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</si>
  <si>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</si>
  <si>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</si>
  <si>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</si>
  <si>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</si>
  <si>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</si>
  <si>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</si>
  <si>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</si>
  <si>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</si>
  <si>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</si>
  <si>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</si>
  <si>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</si>
  <si>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</si>
  <si>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</si>
  <si>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</si>
  <si>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</si>
  <si>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</si>
  <si>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</si>
  <si>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</si>
  <si>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</si>
  <si>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</si>
  <si>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</si>
  <si>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</si>
  <si>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</si>
  <si>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</si>
  <si>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</si>
  <si>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</si>
  <si>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</si>
  <si>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</si>
  <si>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</si>
  <si>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</si>
  <si>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</si>
  <si>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</si>
  <si>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</si>
  <si>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</si>
  <si>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</si>
  <si>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</si>
  <si>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</si>
  <si>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</si>
  <si>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</si>
  <si>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</si>
  <si>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</si>
  <si>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</si>
  <si>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</si>
  <si>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</si>
  <si>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</si>
  <si>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</si>
  <si>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</si>
  <si>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</si>
  <si>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</si>
  <si>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</si>
  <si>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</si>
  <si>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</si>
  <si>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</si>
  <si>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</si>
  <si>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</si>
  <si>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</si>
  <si>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</si>
  <si>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</si>
  <si>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</si>
  <si>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</si>
  <si>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</si>
  <si>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</si>
  <si>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</si>
  <si>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</si>
  <si>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</si>
  <si>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</si>
  <si>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</si>
  <si>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</si>
  <si>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</si>
  <si>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</si>
  <si>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</si>
  <si>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</si>
  <si>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</si>
  <si>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</si>
  <si>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</si>
  <si>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</si>
  <si>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</si>
  <si>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</si>
  <si>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</si>
  <si>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</si>
  <si>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</si>
  <si>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</si>
  <si>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</si>
  <si>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</si>
  <si>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</si>
  <si>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</si>
  <si>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</si>
  <si>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</si>
  <si>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</si>
  <si>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</si>
  <si>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</si>
  <si>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</si>
  <si>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</si>
  <si>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</si>
  <si>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</si>
  <si>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</si>
  <si>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</si>
  <si>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</si>
  <si>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</si>
  <si>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</si>
  <si>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</si>
  <si>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</si>
  <si>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</si>
  <si>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</si>
  <si>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</si>
  <si>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</si>
  <si>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</si>
  <si>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</si>
  <si>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</si>
  <si>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</si>
  <si>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</si>
  <si>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</si>
  <si>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</si>
  <si>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</si>
  <si>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</si>
  <si>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</si>
  <si>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</si>
  <si>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</si>
  <si>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</si>
  <si>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</si>
  <si>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</si>
  <si>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</si>
  <si>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</si>
  <si>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</si>
  <si>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</si>
  <si>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</si>
  <si>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</si>
  <si>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</si>
  <si>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</si>
  <si>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</si>
  <si>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</si>
  <si>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</si>
  <si>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</si>
  <si>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</si>
  <si>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</si>
  <si>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</si>
  <si>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</si>
  <si>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</si>
  <si>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</si>
  <si>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</si>
  <si>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</si>
  <si>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</si>
  <si>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</si>
  <si>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</si>
  <si>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</si>
  <si>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</si>
  <si>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</si>
  <si>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</si>
  <si>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</si>
  <si>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</si>
  <si>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</si>
  <si>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</si>
  <si>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</si>
  <si>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</si>
  <si>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</si>
  <si>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</si>
  <si>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</si>
  <si>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</si>
  <si>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</si>
  <si>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</si>
  <si>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</si>
  <si>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</si>
  <si>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</si>
  <si>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</si>
  <si>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</si>
  <si>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</si>
  <si>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</si>
  <si>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</si>
  <si>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</si>
  <si>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</si>
  <si>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</si>
  <si>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</si>
  <si>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</si>
  <si>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</si>
  <si>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</si>
  <si>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</si>
  <si>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</si>
  <si>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</si>
  <si>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</si>
  <si>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</si>
  <si>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</si>
  <si>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</si>
  <si>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</si>
  <si>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</si>
  <si>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</si>
  <si>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</si>
  <si>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</si>
  <si>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</si>
  <si>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</si>
  <si>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</si>
  <si>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</si>
  <si>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</si>
  <si>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</si>
  <si>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</si>
  <si>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</si>
  <si>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</si>
  <si>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</si>
  <si>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</si>
  <si>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</si>
  <si>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</si>
  <si>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</si>
  <si>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</si>
  <si>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</si>
  <si>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</si>
  <si>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</si>
  <si>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</si>
  <si>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</si>
  <si>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</si>
  <si>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</si>
  <si>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</si>
  <si>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</si>
  <si>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</si>
  <si>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</si>
  <si>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</si>
  <si>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</si>
  <si>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</si>
  <si>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</si>
  <si>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</si>
  <si>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</si>
  <si>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</si>
  <si>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</si>
  <si>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</si>
  <si>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</si>
  <si>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</si>
  <si>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</si>
  <si>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</si>
  <si>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</si>
  <si>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</si>
  <si>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</si>
  <si>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</si>
  <si>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</si>
  <si>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</si>
  <si>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</si>
  <si>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</si>
  <si>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</si>
  <si>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</si>
  <si>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</si>
  <si>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</si>
  <si>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</si>
  <si>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</si>
  <si>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</si>
  <si>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</si>
  <si>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</si>
  <si>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</si>
  <si>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</si>
  <si>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</si>
  <si>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</si>
  <si>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</si>
  <si>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</si>
  <si>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</si>
  <si>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</si>
  <si>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</si>
  <si>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</si>
  <si>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</si>
  <si>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</si>
  <si>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</si>
  <si>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</si>
  <si>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</si>
  <si>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</si>
  <si>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</si>
  <si>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</si>
  <si>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</si>
  <si>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</si>
  <si>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</si>
  <si>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</si>
  <si>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</si>
  <si>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</si>
  <si>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</si>
  <si>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</si>
  <si>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</si>
  <si>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</si>
  <si>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</si>
  <si>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</si>
  <si>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</si>
  <si>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</si>
  <si>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</si>
  <si>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</si>
  <si>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</si>
  <si>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</si>
  <si>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</si>
  <si>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</si>
  <si>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</si>
  <si>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</si>
  <si>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</si>
  <si>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</si>
  <si>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</si>
  <si>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</si>
  <si>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</si>
  <si>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</si>
  <si>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</si>
  <si>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</si>
  <si>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</si>
  <si>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</si>
  <si>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</si>
  <si>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</si>
  <si>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</si>
  <si>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</si>
  <si>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</si>
  <si>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</si>
  <si>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</si>
  <si>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</si>
  <si>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</si>
  <si>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</si>
  <si>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</si>
  <si>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</si>
  <si>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</si>
  <si>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</si>
  <si>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</si>
  <si>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</si>
  <si>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</si>
  <si>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</si>
  <si>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</si>
  <si>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</si>
  <si>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</si>
  <si>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</si>
  <si>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</si>
  <si>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</si>
  <si>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</si>
  <si>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</si>
  <si>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</si>
  <si>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</si>
  <si>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</si>
  <si>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</si>
  <si>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</si>
  <si>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</si>
  <si>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</si>
  <si>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</si>
  <si>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</si>
  <si>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</si>
  <si>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</si>
  <si>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</si>
  <si>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</si>
  <si>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</si>
  <si>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</si>
  <si>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</si>
  <si>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</si>
  <si>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</si>
  <si>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</si>
  <si>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</si>
  <si>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</si>
  <si>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</si>
  <si>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</si>
  <si>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</si>
  <si>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</si>
  <si>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</si>
  <si>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</si>
  <si>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</si>
  <si>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</si>
  <si>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</si>
  <si>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</si>
  <si>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</si>
  <si>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</si>
  <si>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</si>
  <si>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</si>
  <si>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</si>
  <si>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</si>
  <si>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</si>
  <si>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</si>
  <si>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</si>
  <si>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</si>
  <si>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</si>
  <si>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</si>
  <si>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</si>
  <si>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</si>
  <si>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</si>
  <si>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</si>
  <si>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</si>
  <si>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</si>
  <si>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</si>
  <si>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</si>
  <si>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</si>
  <si>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</si>
  <si>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</si>
  <si>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</si>
  <si>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</si>
  <si>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</si>
  <si>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</si>
  <si>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</si>
  <si>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</si>
  <si>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</si>
  <si>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</si>
  <si>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</si>
  <si>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</si>
  <si>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</si>
  <si>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</si>
  <si>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</si>
  <si>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</si>
  <si>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</si>
  <si>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</si>
  <si>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</si>
  <si>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</si>
  <si>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</si>
  <si>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</si>
  <si>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</si>
  <si>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</si>
  <si>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</si>
  <si>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</si>
  <si>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</si>
  <si>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</si>
  <si>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</si>
  <si>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</si>
  <si>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</si>
  <si>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</si>
  <si>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</si>
  <si>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</si>
  <si>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</si>
  <si>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</si>
  <si>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</si>
  <si>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</si>
  <si>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</si>
  <si>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</si>
  <si>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</si>
  <si>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</si>
  <si>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</si>
  <si>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</si>
  <si>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</si>
  <si>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</si>
  <si>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</si>
  <si>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</si>
  <si>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</si>
  <si>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</si>
  <si>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</si>
  <si>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</si>
  <si>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</si>
  <si>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</si>
  <si>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</si>
  <si>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</si>
  <si>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</si>
  <si>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</si>
  <si>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</si>
  <si>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</si>
  <si>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</si>
  <si>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</si>
  <si>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</si>
  <si>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</si>
  <si>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</si>
  <si>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</si>
  <si>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</si>
  <si>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</si>
  <si>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</si>
  <si>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</si>
  <si>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</si>
  <si>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</si>
  <si>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</si>
  <si>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</si>
  <si>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</si>
  <si>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</si>
  <si>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</si>
  <si>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</si>
  <si>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</si>
  <si>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</si>
  <si>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</si>
  <si>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</si>
  <si>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</si>
  <si>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</si>
  <si>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</si>
  <si>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</si>
  <si>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</si>
  <si>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</si>
  <si>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</si>
  <si>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</si>
  <si>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</si>
  <si>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</si>
  <si>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</si>
  <si>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</si>
  <si>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</si>
  <si>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</si>
  <si>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</si>
  <si>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</si>
  <si>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</si>
  <si>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</si>
  <si>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</si>
  <si>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</si>
  <si>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</si>
  <si>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</si>
  <si>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</si>
  <si>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</si>
  <si>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</si>
  <si>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</si>
  <si>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</si>
  <si>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</si>
  <si>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</si>
  <si>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</si>
  <si>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</si>
  <si>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</si>
  <si>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</si>
  <si>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</si>
  <si>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</si>
  <si>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</si>
  <si>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</si>
  <si>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</si>
  <si>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</si>
  <si>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</si>
  <si>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</si>
  <si>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</si>
  <si>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</si>
  <si>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</si>
  <si>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</si>
  <si>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</si>
  <si>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</si>
  <si>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</si>
  <si>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</si>
  <si>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</si>
  <si>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</si>
  <si>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</si>
  <si>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</si>
  <si>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</si>
  <si>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</si>
  <si>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</si>
  <si>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</si>
  <si>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</si>
  <si>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</si>
  <si>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</si>
  <si>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</si>
  <si>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</si>
  <si>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</si>
  <si>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</si>
  <si>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</si>
  <si>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</si>
  <si>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</si>
  <si>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</si>
  <si>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</si>
  <si>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</si>
  <si>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</si>
  <si>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</si>
  <si>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</si>
  <si>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</si>
  <si>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</si>
  <si>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</si>
  <si>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</si>
  <si>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</si>
  <si>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</si>
  <si>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</si>
  <si>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</si>
  <si>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</si>
  <si>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</si>
  <si>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</si>
  <si>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</si>
  <si>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</si>
  <si>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</si>
  <si>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</si>
  <si>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</si>
  <si>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</si>
  <si>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</si>
  <si>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</si>
  <si>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</si>
  <si>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</si>
  <si>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</si>
  <si>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</si>
  <si>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</si>
  <si>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</si>
  <si>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</si>
  <si>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</si>
  <si>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</si>
  <si>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</si>
  <si>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</si>
  <si>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</si>
  <si>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</si>
  <si>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</si>
  <si>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</si>
  <si>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</si>
  <si>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</si>
  <si>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</si>
  <si>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</si>
  <si>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</si>
  <si>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</si>
  <si>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</si>
  <si>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</si>
  <si>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</si>
  <si>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</si>
  <si>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</si>
  <si>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</si>
  <si>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</si>
  <si>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</si>
  <si>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</si>
  <si>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</si>
  <si>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</si>
  <si>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</si>
  <si>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</si>
  <si>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</si>
  <si>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</si>
  <si>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</si>
  <si>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</si>
  <si>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</si>
  <si>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</si>
  <si>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</si>
  <si>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</si>
  <si>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</si>
  <si>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</si>
  <si>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</si>
  <si>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</si>
  <si>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</si>
  <si>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</si>
  <si>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</si>
  <si>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</si>
  <si>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</si>
  <si>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</si>
  <si>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</si>
  <si>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</si>
  <si>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</si>
  <si>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</si>
  <si>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</si>
  <si>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</si>
  <si>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</si>
  <si>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</si>
  <si>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</si>
  <si>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</si>
  <si>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</si>
  <si>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</si>
  <si>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</si>
  <si>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</si>
  <si>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</si>
  <si>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</si>
  <si>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</si>
  <si>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</si>
  <si>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</si>
  <si>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</si>
  <si>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</si>
  <si>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</si>
  <si>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</si>
  <si>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</si>
  <si>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</si>
  <si>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</si>
  <si>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</si>
  <si>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</si>
  <si>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</si>
  <si>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</si>
  <si>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</si>
  <si>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</si>
  <si>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</si>
  <si>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</si>
  <si>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</si>
  <si>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</si>
  <si>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</si>
  <si>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</si>
  <si>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</si>
  <si>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</si>
  <si>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</si>
  <si>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</si>
  <si>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</si>
  <si>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</si>
  <si>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</si>
  <si>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</si>
  <si>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</si>
  <si>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</si>
  <si>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</si>
  <si>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</si>
  <si>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</si>
  <si>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</si>
  <si>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</si>
  <si>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</si>
  <si>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</si>
  <si>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</si>
  <si>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</si>
  <si>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</si>
  <si>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</si>
  <si>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</si>
  <si>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</si>
  <si>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</si>
  <si>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</si>
  <si>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</si>
  <si>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</si>
  <si>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</si>
  <si>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</si>
  <si>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</si>
  <si>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</si>
  <si>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</si>
  <si>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</si>
  <si>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</si>
  <si>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</si>
  <si>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</si>
  <si>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</si>
  <si>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</si>
  <si>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</si>
  <si>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</si>
  <si>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</si>
  <si>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</si>
  <si>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</si>
  <si>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</si>
  <si>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</si>
  <si>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</si>
  <si>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</si>
  <si>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</si>
  <si>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</si>
  <si>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</si>
  <si>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</si>
  <si>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</si>
  <si>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</si>
  <si>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</si>
  <si>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</si>
  <si>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</si>
  <si>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</si>
  <si>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</si>
  <si>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</si>
  <si>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</si>
  <si>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</si>
  <si>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</si>
  <si>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</si>
  <si>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</si>
  <si>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</si>
  <si>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</si>
  <si>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</si>
  <si>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</si>
  <si>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</si>
  <si>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</si>
  <si>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</si>
  <si>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</si>
  <si>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</si>
  <si>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</si>
  <si>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</si>
  <si>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</si>
  <si>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</si>
  <si>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</si>
  <si>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</si>
  <si>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</si>
  <si>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</si>
  <si>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</si>
  <si>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</si>
  <si>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</si>
  <si>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</si>
  <si>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</si>
  <si>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</si>
  <si>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</si>
  <si>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</si>
  <si>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</si>
  <si>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</si>
  <si>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</si>
  <si>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</si>
  <si>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</si>
  <si>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</si>
  <si>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</si>
  <si>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</si>
  <si>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</si>
  <si>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</si>
  <si>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</si>
  <si>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</si>
  <si>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</si>
  <si>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</si>
  <si>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</si>
  <si>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</si>
  <si>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</si>
  <si>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</si>
  <si>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</si>
  <si>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</si>
  <si>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</si>
  <si>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</si>
  <si>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</si>
  <si>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</si>
  <si>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</si>
  <si>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</si>
  <si>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</si>
  <si>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</si>
  <si>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</si>
  <si>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</si>
  <si>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</si>
  <si>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</si>
  <si>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</si>
  <si>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</si>
  <si>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</si>
  <si>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</si>
  <si>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</si>
  <si>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</si>
  <si>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</si>
  <si>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</si>
  <si>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</si>
  <si>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</si>
  <si>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</si>
  <si>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</si>
  <si>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</si>
  <si>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</si>
  <si>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</si>
  <si>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</si>
  <si>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</si>
  <si>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</si>
  <si>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</si>
  <si>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</si>
  <si>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</si>
  <si>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</si>
  <si>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</si>
  <si>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</si>
  <si>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</si>
  <si>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</si>
  <si>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</si>
  <si>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</si>
  <si>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</si>
  <si>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</si>
  <si>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</si>
  <si>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</si>
  <si>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</si>
  <si>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</si>
  <si>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</si>
  <si>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</si>
  <si>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</si>
  <si>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</si>
  <si>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</si>
  <si>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</si>
  <si>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</si>
  <si>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</si>
  <si>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</si>
  <si>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</si>
  <si>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</si>
  <si>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</si>
  <si>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</si>
  <si>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</si>
  <si>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</si>
  <si>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</si>
  <si>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</si>
  <si>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</si>
  <si>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</si>
  <si>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</si>
  <si>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</si>
  <si>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</si>
  <si>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</si>
  <si>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</si>
  <si>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</si>
  <si>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</si>
  <si>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</si>
  <si>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</si>
  <si>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</si>
  <si>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</si>
  <si>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</si>
  <si>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</si>
  <si>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</si>
  <si>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</si>
  <si>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</si>
  <si>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</si>
  <si>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</si>
  <si>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</si>
  <si>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</si>
  <si>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</si>
  <si>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</si>
  <si>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</si>
  <si>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</si>
  <si>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</si>
  <si>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</si>
  <si>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</si>
  <si>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</si>
  <si>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</si>
  <si>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</si>
  <si>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</si>
  <si>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</si>
  <si>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</si>
  <si>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</si>
  <si>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</si>
  <si>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</si>
  <si>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</si>
  <si>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</si>
  <si>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</si>
  <si>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</si>
  <si>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</si>
  <si>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</si>
  <si>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</si>
  <si>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</si>
  <si>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</si>
  <si>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</si>
  <si>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</si>
  <si>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</si>
  <si>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</si>
  <si>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</si>
  <si>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</si>
  <si>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</si>
  <si>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</si>
  <si>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</si>
  <si>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</si>
  <si>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</si>
  <si>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</si>
  <si>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</si>
  <si>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</si>
  <si>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</si>
  <si>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</si>
  <si>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</si>
  <si>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</si>
  <si>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</si>
  <si>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</si>
  <si>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</si>
  <si>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</si>
  <si>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</si>
  <si>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</si>
  <si>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</si>
  <si>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</si>
  <si>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</si>
  <si>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</si>
  <si>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</si>
  <si>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</si>
  <si>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</si>
  <si>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</si>
  <si>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</si>
  <si>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</si>
  <si>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</si>
  <si>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</si>
  <si>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</si>
  <si>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</si>
  <si>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</si>
  <si>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</si>
  <si>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</si>
  <si>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</si>
  <si>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</si>
  <si>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</si>
  <si>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</si>
  <si>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</si>
  <si>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</si>
  <si>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</si>
  <si>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</si>
  <si>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</si>
  <si>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</si>
  <si>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</si>
  <si>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</si>
  <si>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</si>
  <si>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</si>
  <si>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</si>
  <si>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</si>
  <si>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</si>
  <si>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</si>
  <si>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</si>
  <si>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</si>
  <si>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</si>
  <si>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</si>
  <si>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</si>
  <si>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</si>
  <si>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</si>
  <si>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</si>
  <si>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</si>
  <si>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</si>
  <si>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</si>
  <si>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</si>
  <si>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</si>
  <si>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</si>
  <si>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</si>
  <si>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</si>
  <si>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</si>
  <si>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</si>
  <si>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</si>
  <si>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</si>
  <si>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</si>
  <si>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</si>
  <si>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</si>
  <si>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</si>
  <si>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</si>
  <si>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</si>
  <si>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</si>
  <si>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</si>
  <si>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</si>
  <si>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</si>
  <si>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</si>
  <si>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</si>
  <si>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</si>
  <si>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</si>
  <si>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</si>
  <si>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</si>
  <si>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</si>
  <si>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</si>
  <si>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</si>
  <si>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</si>
  <si>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</si>
  <si>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</si>
  <si>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</si>
  <si>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</si>
  <si>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</si>
  <si>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</si>
  <si>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</si>
  <si>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</si>
  <si>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</si>
  <si>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</si>
  <si>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</si>
  <si>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</si>
  <si>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</si>
  <si>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</si>
  <si>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</si>
  <si>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</si>
  <si>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</si>
  <si>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</si>
  <si>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</si>
  <si>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</si>
  <si>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</si>
  <si>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</si>
  <si>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</si>
  <si>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</si>
  <si>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</si>
  <si>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</si>
  <si>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</si>
  <si>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</si>
  <si>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</si>
  <si>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</si>
  <si>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</si>
  <si>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</si>
  <si>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</si>
  <si>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</si>
  <si>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</si>
  <si>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</si>
  <si>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</si>
  <si>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</si>
  <si>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</si>
  <si>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</si>
  <si>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</si>
  <si>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</si>
  <si>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</si>
  <si>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</si>
  <si>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</si>
  <si>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</si>
  <si>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</si>
  <si>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</si>
  <si>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</si>
  <si>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</si>
  <si>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</si>
  <si>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</si>
  <si>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</si>
  <si>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</si>
  <si>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</si>
  <si>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</si>
  <si>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</si>
  <si>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</si>
  <si>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</si>
  <si>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</si>
  <si>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</si>
  <si>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</si>
  <si>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</si>
  <si>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</si>
  <si>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</si>
  <si>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</si>
  <si>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</si>
  <si>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</si>
  <si>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</si>
  <si>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</si>
  <si>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</si>
  <si>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</si>
  <si>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</si>
  <si>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</si>
  <si>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</si>
  <si>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</si>
  <si>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</si>
  <si>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</si>
  <si>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</si>
  <si>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</si>
  <si>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</si>
  <si>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</si>
  <si>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</si>
  <si>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</si>
  <si>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</si>
  <si>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</si>
  <si>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</si>
  <si>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</si>
  <si>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</si>
  <si>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</si>
  <si>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</si>
  <si>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</si>
  <si>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</si>
  <si>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</si>
  <si>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</si>
  <si>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</si>
  <si>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</si>
  <si>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</si>
  <si>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</si>
  <si>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</si>
  <si>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</si>
  <si>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</si>
  <si>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</si>
  <si>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</si>
  <si>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</si>
  <si>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</si>
  <si>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</si>
  <si>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</si>
  <si>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</si>
  <si>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</si>
  <si>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</si>
  <si>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</si>
  <si>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</si>
  <si>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</si>
  <si>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</si>
  <si>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</si>
  <si>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</si>
  <si>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</si>
  <si>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</si>
  <si>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</si>
  <si>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</si>
  <si>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</si>
  <si>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</si>
  <si>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</si>
  <si>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</si>
  <si>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</si>
  <si>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</si>
  <si>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</si>
  <si>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</si>
  <si>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</si>
  <si>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</si>
  <si>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</si>
  <si>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</si>
  <si>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</si>
  <si>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</si>
  <si>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</si>
  <si>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</si>
  <si>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</si>
  <si>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</si>
  <si>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</si>
  <si>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</si>
  <si>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</si>
  <si>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</si>
  <si>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</si>
  <si>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</si>
  <si>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</si>
  <si>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</si>
  <si>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</si>
  <si>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</si>
  <si>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</si>
  <si>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</si>
  <si>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</si>
  <si>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</si>
  <si>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</si>
  <si>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</si>
  <si>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</si>
  <si>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</si>
  <si>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</si>
  <si>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</si>
  <si>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</si>
  <si>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</si>
  <si>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</si>
  <si>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</si>
  <si>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</si>
  <si>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</si>
  <si>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</si>
  <si>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</si>
  <si>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</si>
  <si>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</si>
  <si>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</si>
  <si>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</si>
  <si>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</si>
  <si>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</si>
  <si>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</si>
  <si>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</si>
  <si>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</si>
  <si>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</si>
  <si>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</si>
  <si>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</si>
  <si>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</si>
  <si>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</si>
  <si>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</si>
  <si>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</si>
  <si>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</si>
  <si>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</si>
  <si>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</si>
  <si>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</si>
  <si>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</si>
  <si>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</si>
  <si>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</si>
  <si>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</si>
  <si>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</si>
  <si>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</si>
  <si>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</si>
  <si>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</si>
  <si>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</si>
  <si>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</si>
  <si>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</si>
  <si>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</si>
  <si>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</si>
  <si>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</si>
  <si>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</si>
  <si>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</si>
  <si>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</si>
  <si>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</si>
  <si>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</si>
  <si>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</si>
  <si>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</si>
  <si>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</si>
  <si>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</si>
  <si>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</si>
  <si>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</si>
  <si>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</si>
  <si>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</si>
  <si>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</si>
  <si>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</si>
  <si>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</si>
  <si>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</si>
  <si>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</si>
  <si>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</si>
  <si>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</si>
  <si>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</si>
  <si>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</si>
  <si>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</si>
  <si>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</si>
  <si>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</si>
  <si>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</si>
  <si>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</si>
  <si>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</si>
  <si>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</si>
  <si>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</si>
  <si>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</si>
  <si>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</si>
  <si>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</si>
  <si>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</si>
  <si>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</si>
  <si>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</si>
  <si>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</si>
  <si>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</si>
  <si>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</si>
  <si>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</si>
  <si>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</si>
  <si>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</si>
  <si>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</si>
  <si>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</si>
  <si>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</si>
  <si>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</si>
  <si>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</si>
  <si>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</si>
  <si>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</si>
  <si>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</si>
  <si>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</si>
  <si>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</si>
  <si>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</si>
  <si>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</si>
  <si>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</si>
  <si>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</si>
  <si>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</si>
  <si>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</si>
  <si>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</si>
  <si>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</si>
  <si>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</si>
  <si>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</si>
  <si>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</si>
  <si>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</si>
  <si>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</si>
  <si>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</si>
  <si>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</si>
  <si>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</si>
  <si>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</si>
  <si>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</si>
  <si>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</si>
  <si>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</si>
  <si>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</si>
  <si>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</si>
  <si>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</si>
  <si>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</si>
  <si>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</si>
  <si>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</si>
  <si>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</si>
  <si>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</si>
  <si>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</si>
  <si>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</si>
  <si>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</si>
  <si>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</si>
  <si>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</si>
  <si>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</si>
  <si>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</si>
  <si>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</si>
  <si>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</si>
  <si>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</si>
  <si>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</si>
  <si>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</si>
  <si>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</si>
  <si>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</si>
  <si>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</si>
  <si>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</si>
  <si>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</si>
  <si>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</si>
  <si>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</si>
  <si>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</si>
  <si>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</si>
  <si>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</si>
  <si>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</si>
  <si>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</si>
  <si>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</si>
  <si>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</si>
  <si>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</si>
  <si>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</si>
  <si>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</si>
  <si>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</si>
  <si>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</si>
  <si>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</si>
  <si>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</si>
  <si>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</si>
  <si>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</si>
  <si>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</si>
  <si>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</si>
  <si>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</si>
  <si>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</si>
  <si>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</si>
  <si>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</si>
  <si>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</si>
  <si>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</si>
  <si>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</si>
  <si>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</si>
  <si>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</si>
  <si>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</si>
  <si>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</si>
  <si>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</si>
  <si>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</si>
  <si>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</si>
  <si>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</si>
  <si>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</si>
  <si>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</si>
  <si>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</si>
  <si>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</si>
  <si>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</si>
  <si>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</si>
  <si>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</si>
  <si>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</si>
  <si>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</si>
  <si>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</si>
  <si>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</si>
  <si>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</si>
  <si>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</si>
  <si>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</si>
  <si>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</si>
  <si>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</si>
  <si>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</si>
  <si>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</si>
  <si>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</si>
  <si>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</si>
  <si>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</si>
  <si>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</si>
  <si>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</si>
  <si>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</si>
  <si>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</si>
  <si>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</si>
  <si>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</si>
  <si>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</si>
  <si>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</si>
  <si>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</si>
  <si>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</si>
  <si>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</si>
  <si>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</si>
  <si>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</si>
  <si>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</si>
  <si>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</si>
  <si>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</si>
  <si>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</si>
  <si>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</si>
  <si>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</si>
  <si>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</si>
  <si>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</si>
  <si>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</si>
  <si>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</si>
  <si>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</si>
  <si>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</si>
  <si>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</si>
  <si>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</si>
  <si>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</si>
  <si>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</si>
  <si>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</si>
  <si>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</si>
  <si>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</si>
  <si>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</si>
  <si>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</si>
  <si>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</si>
  <si>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</si>
  <si>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</si>
  <si>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</si>
  <si>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</si>
  <si>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</si>
  <si>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</si>
  <si>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</si>
  <si>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</si>
  <si>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</si>
  <si>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</si>
  <si>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</si>
  <si>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</si>
  <si>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</si>
  <si>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</si>
  <si>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</si>
  <si>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</si>
  <si>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</si>
  <si>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</si>
  <si>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</si>
  <si>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</si>
  <si>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</si>
  <si>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</si>
  <si>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</si>
  <si>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</si>
  <si>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</si>
  <si>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</si>
  <si>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</si>
  <si>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</si>
  <si>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</si>
  <si>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</si>
  <si>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</si>
  <si>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</si>
  <si>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</si>
  <si>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</si>
  <si>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</si>
  <si>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</si>
  <si>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</si>
  <si>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</si>
  <si>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</si>
  <si>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</si>
  <si>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</si>
  <si>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</si>
  <si>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</si>
  <si>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</si>
  <si>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</si>
  <si>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</si>
  <si>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</si>
  <si>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</si>
  <si>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</si>
  <si>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</si>
  <si>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</si>
  <si>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</si>
  <si>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</si>
  <si>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</si>
  <si>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</si>
  <si>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</si>
  <si>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</si>
  <si>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</si>
  <si>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</si>
  <si>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</si>
  <si>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</si>
  <si>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</si>
  <si>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</si>
  <si>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</si>
  <si>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</si>
  <si>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</si>
  <si>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</si>
  <si>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</si>
  <si>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</si>
  <si>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</si>
  <si>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</si>
  <si>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</si>
  <si>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</si>
  <si>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</si>
  <si>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</si>
  <si>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</si>
  <si>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</si>
  <si>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</si>
  <si>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</si>
  <si>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</si>
  <si>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</si>
  <si>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</si>
  <si>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</si>
  <si>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</si>
  <si>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</si>
  <si>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</si>
  <si>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</si>
  <si>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</si>
  <si>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</si>
  <si>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</si>
  <si>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</si>
  <si>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</si>
  <si>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</si>
  <si>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</si>
  <si>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</si>
  <si>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</si>
  <si>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</si>
  <si>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</si>
  <si>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</si>
  <si>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</si>
  <si>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</si>
  <si>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</si>
  <si>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</si>
  <si>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</si>
  <si>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</si>
  <si>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</si>
  <si>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</si>
  <si>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</si>
  <si>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</si>
  <si>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</si>
  <si>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</si>
  <si>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</si>
  <si>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</si>
  <si>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</si>
  <si>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</si>
  <si>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</si>
  <si>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</si>
  <si>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</si>
  <si>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</si>
  <si>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</si>
  <si>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</si>
  <si>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</si>
  <si>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</si>
  <si>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</si>
  <si>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</si>
  <si>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</si>
  <si>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</si>
  <si>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</si>
  <si>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</si>
  <si>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</si>
  <si>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</si>
  <si>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</si>
  <si>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</si>
  <si>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</si>
  <si>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</si>
  <si>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</si>
  <si>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</si>
  <si>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</si>
  <si>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</si>
  <si>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</si>
  <si>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</si>
  <si>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</si>
  <si>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</si>
  <si>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</si>
  <si>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</si>
  <si>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</si>
  <si>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</si>
  <si>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</si>
  <si>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</si>
  <si>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</si>
  <si>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</si>
  <si>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</si>
  <si>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</si>
  <si>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</si>
  <si>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</si>
  <si>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</si>
  <si>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</si>
  <si>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</si>
  <si>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</si>
  <si>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</si>
  <si>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</si>
  <si>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</si>
  <si>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</si>
  <si>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</si>
  <si>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</si>
  <si>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</si>
  <si>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</si>
  <si>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</si>
  <si>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</si>
  <si>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</si>
  <si>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</si>
  <si>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</si>
  <si>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</si>
  <si>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</si>
  <si>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</si>
  <si>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</si>
  <si>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</si>
  <si>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</si>
  <si>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</si>
  <si>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</si>
  <si>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</si>
  <si>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</si>
  <si>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</si>
  <si>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</si>
  <si>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</si>
  <si>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</si>
  <si>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</si>
  <si>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</si>
  <si>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</si>
  <si>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</si>
  <si>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</si>
  <si>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</si>
  <si>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</si>
  <si>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</si>
  <si>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</si>
  <si>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</si>
  <si>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</si>
  <si>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</si>
  <si>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</si>
  <si>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</si>
  <si>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</si>
  <si>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</si>
  <si>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</si>
  <si>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</si>
  <si>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</si>
  <si>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</si>
  <si>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</si>
  <si>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</si>
  <si>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</si>
  <si>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</si>
  <si>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</si>
  <si>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</si>
  <si>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</si>
  <si>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</si>
  <si>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</si>
  <si>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</si>
  <si>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</si>
  <si>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</si>
  <si>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</si>
  <si>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</si>
  <si>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</si>
  <si>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</si>
  <si>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</si>
  <si>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</si>
  <si>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</si>
  <si>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</si>
  <si>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</si>
  <si>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</si>
  <si>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</si>
  <si>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</si>
  <si>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</si>
  <si>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</si>
  <si>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</si>
  <si>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</si>
  <si>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</si>
  <si>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</si>
  <si>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</si>
  <si>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</si>
  <si>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</si>
  <si>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</si>
  <si>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</si>
  <si>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</si>
  <si>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</si>
  <si>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</si>
  <si>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</si>
  <si>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</si>
  <si>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</si>
  <si>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Added all Trust Funds to the beginning total fund equity</t>
  </si>
  <si>
    <t xml:space="preserve">check never cashed in fy 21 </t>
  </si>
  <si>
    <t>Title VI PR &amp; Exp, acct closed before reimb could be made, moved to district expense</t>
  </si>
  <si>
    <t>Food Service Inventory Range To Date Addition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</si>
</sst>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9" zoomScaleNormal="100" workbookViewId="0">
      <selection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1352</v>
      </c>
      <c r="B2" s="126">
        <f>INDEX('School Tables'!$AH$3:$AH$208,MATCH('DOE25'!A2,'School Tables'!$AJ$3:$AJ$208,0))</f>
        <v>437</v>
      </c>
      <c r="C2" s="126">
        <f>INDEX('School Tables'!$AI$3:$AI$208,MATCH('DOE25'!A2,'School Tables'!$AJ$3:$AJ$208,0))</f>
        <v>437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447445.66</v>
      </c>
      <c r="G9" s="18">
        <v>14327.09</v>
      </c>
      <c r="H9" s="18"/>
      <c r="I9" s="18"/>
      <c r="J9" s="67">
        <f>SUM(I440)</f>
        <v>550615.06000000006</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72369.05</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14603.61</v>
      </c>
      <c r="G13" s="18">
        <v>18769.22</v>
      </c>
      <c r="H13" s="18">
        <v>118873.92</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1922.21</v>
      </c>
      <c r="G14" s="18">
        <v>5</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2795.51</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1356</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537696.52999999991</v>
      </c>
      <c r="G19" s="41">
        <f>SUM(G9:G18)</f>
        <v>35896.82</v>
      </c>
      <c r="H19" s="41">
        <f>SUM(H9:H18)</f>
        <v>118873.92</v>
      </c>
      <c r="I19" s="41">
        <f>SUM(I9:I18)</f>
        <v>0</v>
      </c>
      <c r="J19" s="41">
        <f>SUM(J9:J18)</f>
        <v>550615.06000000006</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f>12656.21+3733.07-5208.26+301.31+11766.45+48307.16+1300.11-487</f>
        <v>72369.05</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27435.75</v>
      </c>
      <c r="G24" s="18">
        <f>4538.13+627.76</f>
        <v>5165.8900000000003</v>
      </c>
      <c r="H24" s="18">
        <v>43869.4</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2694.91</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3884.64</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3345.94</v>
      </c>
      <c r="H30" s="18">
        <v>2635.47</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34015.300000000003</v>
      </c>
      <c r="G32" s="41">
        <f>SUM(G22:G31)</f>
        <v>8511.83</v>
      </c>
      <c r="H32" s="41">
        <f>SUM(H22:H31)</f>
        <v>118873.92000000001</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2795.51</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105530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f>7378.21+8659+8552.27</f>
        <v>24589.48</v>
      </c>
      <c r="H48" s="18"/>
      <c r="I48" s="18"/>
      <c r="J48" s="13">
        <f>SUM(I460)</f>
        <v>550615.06000000006</v>
      </c>
      <c r="K48" s="24" t="s">
        <v>288</v>
      </c>
      <c r="L48" s="24" t="s">
        <v>288</v>
      </c>
      <c r="M48" s="8"/>
      <c r="N48" s="265"/>
    </row>
    <row r="49" spans="1:14" s="3" customFormat="1" ht="12.2" customHeight="1" x14ac:dyDescent="0.15">
      <c r="A49" s="1" t="s">
        <v>859</v>
      </c>
      <c r="B49" s="2" t="s">
        <v>289</v>
      </c>
      <c r="C49" s="6">
        <v>34</v>
      </c>
      <c r="D49" s="2"/>
      <c r="E49" s="6">
        <v>753</v>
      </c>
      <c r="F49" s="18">
        <v>4731.33</v>
      </c>
      <c r="G49" s="18" t="s">
        <v>286</v>
      </c>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393326.98+92.92</f>
        <v>393419.89999999997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503681.23</v>
      </c>
      <c r="G51" s="41">
        <f>SUM(G35:G50)</f>
        <v>27384.989999999998</v>
      </c>
      <c r="H51" s="41">
        <f>SUM(H35:H50)</f>
        <v>0</v>
      </c>
      <c r="I51" s="41">
        <f>SUM(I35:I50)</f>
        <v>0</v>
      </c>
      <c r="J51" s="41">
        <f>SUM(J35:J50)</f>
        <v>550615.06000000006</v>
      </c>
      <c r="K51" s="45" t="s">
        <v>288</v>
      </c>
      <c r="L51" s="45" t="s">
        <v>288</v>
      </c>
      <c r="N51" s="263"/>
    </row>
    <row r="52" spans="1:14" s="3" customFormat="1" ht="12.2" customHeight="1" thickTop="1" x14ac:dyDescent="0.15">
      <c r="A52" s="38" t="s">
        <v>455</v>
      </c>
      <c r="B52" s="39" t="s">
        <v>289</v>
      </c>
      <c r="C52" s="6">
        <v>37</v>
      </c>
      <c r="D52" s="39" t="s">
        <v>653</v>
      </c>
      <c r="E52" s="39"/>
      <c r="F52" s="41">
        <f>F51+F32</f>
        <v>537696.53</v>
      </c>
      <c r="G52" s="41">
        <f>G51+G32</f>
        <v>35896.82</v>
      </c>
      <c r="H52" s="41">
        <f>H51+H32</f>
        <v>118873.92000000001</v>
      </c>
      <c r="I52" s="41">
        <f>I51+I32</f>
        <v>0</v>
      </c>
      <c r="J52" s="41">
        <f>J51+J32</f>
        <v>550615.06000000006</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1533782</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1533782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556157.24</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556157.24</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c r="G96" s="18"/>
      <c r="H96" s="18"/>
      <c r="I96" s="18"/>
      <c r="J96" s="18">
        <v>1080.3399999999999</v>
      </c>
      <c r="K96" s="24" t="s">
        <v>288</v>
      </c>
      <c r="L96" s="24" t="s">
        <v>288</v>
      </c>
      <c r="M96" s="8"/>
      <c r="N96" s="265"/>
    </row>
    <row r="97" spans="1:14" s="3" customFormat="1" ht="12.2" customHeight="1" x14ac:dyDescent="0.15">
      <c r="A97" s="1" t="s">
        <v>503</v>
      </c>
      <c r="B97" s="2" t="s">
        <v>315</v>
      </c>
      <c r="C97" s="6">
        <v>12</v>
      </c>
      <c r="D97" s="2" t="s">
        <v>430</v>
      </c>
      <c r="E97" s="6">
        <v>1600</v>
      </c>
      <c r="F97" s="24" t="s">
        <v>288</v>
      </c>
      <c r="G97" s="18">
        <v>3882.25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79075.55</v>
      </c>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27745.43</v>
      </c>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f>1793.61+25372.21</f>
        <v>27165.82</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878.58</v>
      </c>
      <c r="G110" s="18"/>
      <c r="H110" s="18">
        <f>4879.63+655.86+300</f>
        <v>5835.49</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134865.38</v>
      </c>
      <c r="G111" s="41">
        <f>SUM(G96:G110)</f>
        <v>3882.25</v>
      </c>
      <c r="H111" s="41">
        <f>SUM(H96:H110)</f>
        <v>5835.49</v>
      </c>
      <c r="I111" s="41">
        <f>SUM(I96:I110)</f>
        <v>0</v>
      </c>
      <c r="J111" s="41">
        <f>SUM(J96:J110)</f>
        <v>1080.3399999999999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2224804.62</v>
      </c>
      <c r="G112" s="41">
        <f>G60+G111</f>
        <v>3882.25</v>
      </c>
      <c r="H112" s="41">
        <f>H60+H79+H94+H111</f>
        <v>5835.49</v>
      </c>
      <c r="I112" s="41">
        <f>I60+I111</f>
        <v>0</v>
      </c>
      <c r="J112" s="41">
        <f>J60+J111</f>
        <v>1080.3399999999999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576820</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576820</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3726.37</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770.26+8659</f>
        <v>9429.26</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v>731.07</v>
      </c>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3726.37</v>
      </c>
      <c r="G136" s="41">
        <f>SUM(G123:G135)</f>
        <v>10160.33</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580546.37</v>
      </c>
      <c r="G140" s="41">
        <f>G121+SUM(G136:G137)</f>
        <v>10160.33</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29998.14+1620+9329.36+10241.31</f>
        <v>51188.81</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1877.85+2293.17+3364.69+4099.77</f>
        <v>11635.480000000001</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51922.02</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f>33471.74</f>
        <v>33471.74</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4076.68+59815.65+63303.26</f>
        <v>127195.59</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51922.02</v>
      </c>
      <c r="H163" s="41">
        <f>SUM(H150:H162)</f>
        <v>223491.62</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51922.02</v>
      </c>
      <c r="H170" s="41">
        <f>H147+H163+SUM(H164:H169)</f>
        <v>223491.62</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20000</v>
      </c>
      <c r="H180" s="18"/>
      <c r="I180" s="18"/>
      <c r="J180" s="18">
        <v>35000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20000</v>
      </c>
      <c r="H184" s="41">
        <f>SUM(H180:H183)</f>
        <v>0</v>
      </c>
      <c r="I184" s="41">
        <f>SUM(I180:I183)</f>
        <v>0</v>
      </c>
      <c r="J184" s="41">
        <f>SUM(J180:J183)</f>
        <v>35000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t="s">
        <v>286</v>
      </c>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20000</v>
      </c>
      <c r="H193" s="41">
        <f>+H184+SUM(H189:H192)</f>
        <v>0</v>
      </c>
      <c r="I193" s="41">
        <f>I178+I184+SUM(I189:I192)</f>
        <v>0</v>
      </c>
      <c r="J193" s="41">
        <f>J184</f>
        <v>35000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2805350.99</v>
      </c>
      <c r="G194" s="47">
        <f>G112+G140+G170+G193</f>
        <v>85964.599999999991</v>
      </c>
      <c r="H194" s="47">
        <f>H112+H140+H170+H193</f>
        <v>229327.11</v>
      </c>
      <c r="I194" s="47">
        <f>I112+I140+I170+I193</f>
        <v>0</v>
      </c>
      <c r="J194" s="47">
        <f>J112+J140+J193</f>
        <v>36080.339999999997</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444085.55</v>
      </c>
      <c r="G198" s="18">
        <v>269747.78000000003</v>
      </c>
      <c r="H198" s="18">
        <f>8255.58+943.28+324</f>
        <v>9522.86</v>
      </c>
      <c r="I198" s="18">
        <v>15953.69</v>
      </c>
      <c r="J198" s="18">
        <v>990.39</v>
      </c>
      <c r="K198" s="18">
        <v>2913.34</v>
      </c>
      <c r="L198" s="19">
        <f>SUM(F198:K198)</f>
        <v>743213.61</v>
      </c>
      <c r="M198" s="8"/>
      <c r="N198" s="265"/>
    </row>
    <row r="199" spans="1:14" s="3" customFormat="1" ht="12.2" customHeight="1" x14ac:dyDescent="0.15">
      <c r="A199" s="1" t="s">
        <v>439</v>
      </c>
      <c r="B199" s="2" t="s">
        <v>341</v>
      </c>
      <c r="C199" s="2" t="s">
        <v>291</v>
      </c>
      <c r="D199" s="2" t="s">
        <v>431</v>
      </c>
      <c r="E199" s="6">
        <v>1200</v>
      </c>
      <c r="F199" s="18">
        <v>111446.07</v>
      </c>
      <c r="G199" s="18">
        <v>18404.68</v>
      </c>
      <c r="H199" s="18"/>
      <c r="I199" s="18"/>
      <c r="J199" s="18">
        <v>1029.98</v>
      </c>
      <c r="K199" s="18"/>
      <c r="L199" s="19">
        <f>SUM(F199:K199)</f>
        <v>130880.73</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9581</v>
      </c>
      <c r="G201" s="18">
        <v>877.04</v>
      </c>
      <c r="H201" s="18">
        <f>7303.8</f>
        <v>7303.8</v>
      </c>
      <c r="I201" s="18">
        <v>1102.17</v>
      </c>
      <c r="J201" s="18"/>
      <c r="K201" s="18">
        <v>2497.8200000000002</v>
      </c>
      <c r="L201" s="19">
        <f>SUM(F201:K201)</f>
        <v>21361.83</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70160.65</f>
        <v>70160.649999999994</v>
      </c>
      <c r="G203" s="18">
        <f>37217.53</f>
        <v>37217.53</v>
      </c>
      <c r="H203" s="18">
        <f>18419.13+204</f>
        <v>18623.13</v>
      </c>
      <c r="I203" s="18">
        <v>4710.09</v>
      </c>
      <c r="J203" s="18">
        <v>1481.36</v>
      </c>
      <c r="K203" s="18">
        <v>3034.76</v>
      </c>
      <c r="L203" s="19">
        <f t="shared" ref="L203:L209" si="0">SUM(F203:K203)</f>
        <v>135227.51999999999</v>
      </c>
      <c r="M203" s="8"/>
      <c r="N203" s="265"/>
    </row>
    <row r="204" spans="1:14" s="3" customFormat="1" ht="12.2" customHeight="1" x14ac:dyDescent="0.15">
      <c r="A204" s="1" t="s">
        <v>443</v>
      </c>
      <c r="B204" s="2" t="s">
        <v>341</v>
      </c>
      <c r="C204" s="2" t="s">
        <v>295</v>
      </c>
      <c r="D204" s="2" t="s">
        <v>431</v>
      </c>
      <c r="E204" s="6">
        <v>2200</v>
      </c>
      <c r="F204" s="18">
        <v>23296</v>
      </c>
      <c r="G204" s="18">
        <v>9215.5300000000007</v>
      </c>
      <c r="H204" s="18">
        <f>5860.81</f>
        <v>5860.81</v>
      </c>
      <c r="I204" s="18">
        <v>2055.5300000000002</v>
      </c>
      <c r="J204" s="18"/>
      <c r="K204" s="18">
        <f>1059.16+2560.5</f>
        <v>3619.66</v>
      </c>
      <c r="L204" s="19">
        <f t="shared" si="0"/>
        <v>44047.53</v>
      </c>
      <c r="M204" s="8"/>
      <c r="N204" s="265"/>
    </row>
    <row r="205" spans="1:14" s="3" customFormat="1" ht="12.2" customHeight="1" x14ac:dyDescent="0.15">
      <c r="A205" s="1" t="s">
        <v>444</v>
      </c>
      <c r="B205" s="2" t="s">
        <v>341</v>
      </c>
      <c r="C205" s="2" t="s">
        <v>296</v>
      </c>
      <c r="D205" s="2" t="s">
        <v>431</v>
      </c>
      <c r="E205" s="6">
        <v>2300</v>
      </c>
      <c r="F205" s="18">
        <f>1497.86</f>
        <v>1497.86</v>
      </c>
      <c r="G205" s="18">
        <f>149.93</f>
        <v>149.93</v>
      </c>
      <c r="H205" s="18">
        <f>200002.2+5117.89</f>
        <v>205120.09000000003</v>
      </c>
      <c r="I205" s="18">
        <f>149.66</f>
        <v>149.66</v>
      </c>
      <c r="J205" s="18"/>
      <c r="K205" s="18">
        <f>2472.71</f>
        <v>2472.71</v>
      </c>
      <c r="L205" s="19">
        <f t="shared" si="0"/>
        <v>209390.25000000003</v>
      </c>
      <c r="M205" s="8"/>
      <c r="N205" s="265"/>
    </row>
    <row r="206" spans="1:14" s="3" customFormat="1" ht="12.2" customHeight="1" x14ac:dyDescent="0.15">
      <c r="A206" s="1" t="s">
        <v>445</v>
      </c>
      <c r="B206" s="2" t="s">
        <v>341</v>
      </c>
      <c r="C206" s="2" t="s">
        <v>297</v>
      </c>
      <c r="D206" s="2" t="s">
        <v>431</v>
      </c>
      <c r="E206" s="6">
        <v>2400</v>
      </c>
      <c r="F206" s="18">
        <f>73452.36</f>
        <v>73452.36</v>
      </c>
      <c r="G206" s="18">
        <f>21571.7</f>
        <v>21571.7</v>
      </c>
      <c r="H206" s="18">
        <f>1205.18+569.08+7987.89</f>
        <v>9762.1500000000015</v>
      </c>
      <c r="I206" s="18">
        <v>385.53</v>
      </c>
      <c r="J206" s="18">
        <v>53.99</v>
      </c>
      <c r="K206" s="18">
        <v>3186.62</v>
      </c>
      <c r="L206" s="19">
        <f t="shared" si="0"/>
        <v>108412.34999999999</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47163.69</v>
      </c>
      <c r="G208" s="18">
        <v>22239.119999999999</v>
      </c>
      <c r="H208" s="18">
        <f>56171.65+32489.44+14181.9</f>
        <v>102842.98999999999</v>
      </c>
      <c r="I208" s="18">
        <v>59684.33</v>
      </c>
      <c r="J208" s="18">
        <v>1449.62</v>
      </c>
      <c r="K208" s="18">
        <v>466.59</v>
      </c>
      <c r="L208" s="19">
        <f t="shared" si="0"/>
        <v>233846.34</v>
      </c>
      <c r="M208" s="8"/>
      <c r="N208" s="265"/>
    </row>
    <row r="209" spans="1:14" s="3" customFormat="1" ht="12.2" customHeight="1" x14ac:dyDescent="0.15">
      <c r="A209" s="1" t="s">
        <v>448</v>
      </c>
      <c r="B209" s="2" t="s">
        <v>341</v>
      </c>
      <c r="C209" s="2" t="s">
        <v>300</v>
      </c>
      <c r="D209" s="2" t="s">
        <v>431</v>
      </c>
      <c r="E209" s="6">
        <v>2700</v>
      </c>
      <c r="F209" s="18">
        <v>22707.77</v>
      </c>
      <c r="G209" s="18">
        <v>5588.17</v>
      </c>
      <c r="H209" s="18">
        <f>6258+2722.98</f>
        <v>8980.98</v>
      </c>
      <c r="I209" s="18">
        <v>4517.6499999999996</v>
      </c>
      <c r="J209" s="18">
        <v>883.61</v>
      </c>
      <c r="K209" s="18">
        <v>394.96</v>
      </c>
      <c r="L209" s="19">
        <f t="shared" si="0"/>
        <v>43073.14</v>
      </c>
      <c r="M209" s="8"/>
      <c r="N209" s="265"/>
    </row>
    <row r="210" spans="1:14" s="3" customFormat="1" ht="12.2" customHeight="1" x14ac:dyDescent="0.15">
      <c r="A210" s="1" t="s">
        <v>449</v>
      </c>
      <c r="B210" s="2" t="s">
        <v>341</v>
      </c>
      <c r="C210" s="2" t="s">
        <v>343</v>
      </c>
      <c r="D210" s="2" t="s">
        <v>431</v>
      </c>
      <c r="E210" s="6">
        <v>2800</v>
      </c>
      <c r="F210" s="18"/>
      <c r="G210" s="18"/>
      <c r="H210" s="18">
        <v>3473.73</v>
      </c>
      <c r="I210" s="18"/>
      <c r="J210" s="18"/>
      <c r="K210" s="18"/>
      <c r="L210" s="19">
        <f>SUM(F210:K210)</f>
        <v>3473.73</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803390.95</v>
      </c>
      <c r="G212" s="41">
        <f t="shared" si="1"/>
        <v>385011.48000000004</v>
      </c>
      <c r="H212" s="41">
        <f t="shared" si="1"/>
        <v>371490.54</v>
      </c>
      <c r="I212" s="41">
        <f t="shared" si="1"/>
        <v>88558.65</v>
      </c>
      <c r="J212" s="41">
        <f t="shared" si="1"/>
        <v>5888.9499999999989</v>
      </c>
      <c r="K212" s="41">
        <f t="shared" si="1"/>
        <v>18586.46</v>
      </c>
      <c r="L212" s="41">
        <f t="shared" si="1"/>
        <v>1672927.03</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271370.13</v>
      </c>
      <c r="G234" s="18">
        <v>152996.38</v>
      </c>
      <c r="H234" s="18">
        <f>26605.27+1374.62+4783</f>
        <v>32762.89</v>
      </c>
      <c r="I234" s="18">
        <v>16071.9</v>
      </c>
      <c r="J234" s="18">
        <v>2296.29</v>
      </c>
      <c r="K234" s="18">
        <v>2020.66</v>
      </c>
      <c r="L234" s="19">
        <f>SUM(F234:K234)</f>
        <v>477518.25</v>
      </c>
      <c r="M234" s="8"/>
      <c r="N234" s="265"/>
    </row>
    <row r="235" spans="1:14" s="3" customFormat="1" ht="12.2" customHeight="1" x14ac:dyDescent="0.15">
      <c r="A235" s="1" t="s">
        <v>439</v>
      </c>
      <c r="B235" s="2" t="s">
        <v>350</v>
      </c>
      <c r="C235" s="2" t="s">
        <v>291</v>
      </c>
      <c r="D235" s="2" t="s">
        <v>431</v>
      </c>
      <c r="E235" s="6">
        <v>1200</v>
      </c>
      <c r="F235" s="18">
        <v>22674.28</v>
      </c>
      <c r="G235" s="18">
        <v>9256.44</v>
      </c>
      <c r="H235" s="18"/>
      <c r="I235" s="18"/>
      <c r="J235" s="18"/>
      <c r="K235" s="18"/>
      <c r="L235" s="19">
        <f>SUM(F235:K235)</f>
        <v>31930.720000000001</v>
      </c>
      <c r="M235" s="8"/>
      <c r="N235" s="265"/>
    </row>
    <row r="236" spans="1:14" s="3" customFormat="1" ht="12.2" customHeight="1" x14ac:dyDescent="0.15">
      <c r="A236" s="1" t="s">
        <v>440</v>
      </c>
      <c r="B236" s="2" t="s">
        <v>350</v>
      </c>
      <c r="C236" s="2" t="s">
        <v>292</v>
      </c>
      <c r="D236" s="2" t="s">
        <v>431</v>
      </c>
      <c r="E236" s="6">
        <v>1300</v>
      </c>
      <c r="F236" s="18"/>
      <c r="G236" s="18"/>
      <c r="H236" s="18">
        <v>10000</v>
      </c>
      <c r="I236" s="18"/>
      <c r="J236" s="18"/>
      <c r="K236" s="18"/>
      <c r="L236" s="19">
        <f>SUM(F236:K236)</f>
        <v>10000</v>
      </c>
      <c r="M236" s="8"/>
      <c r="N236" s="265"/>
    </row>
    <row r="237" spans="1:14" s="3" customFormat="1" ht="12.2" customHeight="1" x14ac:dyDescent="0.15">
      <c r="A237" s="1" t="s">
        <v>441</v>
      </c>
      <c r="B237" s="2" t="s">
        <v>350</v>
      </c>
      <c r="C237" s="2" t="s">
        <v>293</v>
      </c>
      <c r="D237" s="2" t="s">
        <v>431</v>
      </c>
      <c r="E237" s="6">
        <v>1400</v>
      </c>
      <c r="F237" s="18">
        <v>47916</v>
      </c>
      <c r="G237" s="18">
        <v>3755.05</v>
      </c>
      <c r="H237" s="18">
        <f>4869.2+6512.46</f>
        <v>11381.66</v>
      </c>
      <c r="I237" s="18">
        <v>4590.53</v>
      </c>
      <c r="J237" s="18"/>
      <c r="K237" s="18">
        <v>13643.34</v>
      </c>
      <c r="L237" s="19">
        <f>SUM(F237:K237)</f>
        <v>81286.58</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55845.4</v>
      </c>
      <c r="G239" s="18">
        <v>34810.080000000002</v>
      </c>
      <c r="H239" s="18">
        <f>4785.95</f>
        <v>4785.95</v>
      </c>
      <c r="I239" s="18">
        <v>2520.35</v>
      </c>
      <c r="J239" s="18">
        <v>867.52</v>
      </c>
      <c r="K239" s="18">
        <v>1883.24</v>
      </c>
      <c r="L239" s="19">
        <f t="shared" ref="L239:L245" si="4">SUM(F239:K239)</f>
        <v>100712.54000000002</v>
      </c>
      <c r="M239" s="8"/>
      <c r="N239" s="265"/>
    </row>
    <row r="240" spans="1:14" s="3" customFormat="1" ht="12.2" customHeight="1" x14ac:dyDescent="0.15">
      <c r="A240" s="1" t="s">
        <v>443</v>
      </c>
      <c r="B240" s="2" t="s">
        <v>350</v>
      </c>
      <c r="C240" s="2" t="s">
        <v>295</v>
      </c>
      <c r="D240" s="2" t="s">
        <v>431</v>
      </c>
      <c r="E240" s="6">
        <v>2200</v>
      </c>
      <c r="F240" s="18">
        <v>520</v>
      </c>
      <c r="G240" s="18">
        <v>5127.38</v>
      </c>
      <c r="H240" s="18">
        <v>3907.22</v>
      </c>
      <c r="I240" s="18">
        <v>836.64</v>
      </c>
      <c r="J240" s="18"/>
      <c r="K240" s="18">
        <f>706.1+2560.5</f>
        <v>3266.6</v>
      </c>
      <c r="L240" s="19">
        <f t="shared" si="4"/>
        <v>13657.84</v>
      </c>
      <c r="M240" s="8"/>
      <c r="N240" s="265"/>
    </row>
    <row r="241" spans="1:14" s="3" customFormat="1" ht="12.2" customHeight="1" x14ac:dyDescent="0.15">
      <c r="A241" s="1" t="s">
        <v>444</v>
      </c>
      <c r="B241" s="2" t="s">
        <v>350</v>
      </c>
      <c r="C241" s="2" t="s">
        <v>296</v>
      </c>
      <c r="D241" s="2" t="s">
        <v>431</v>
      </c>
      <c r="E241" s="6">
        <v>2300</v>
      </c>
      <c r="F241" s="18">
        <v>1308.55</v>
      </c>
      <c r="G241" s="18">
        <v>333.63</v>
      </c>
      <c r="H241" s="18">
        <f>133325.8+3263.78</f>
        <v>136589.57999999999</v>
      </c>
      <c r="I241" s="18">
        <v>794.23</v>
      </c>
      <c r="J241" s="18"/>
      <c r="K241" s="18">
        <v>1748.47</v>
      </c>
      <c r="L241" s="19">
        <f t="shared" si="4"/>
        <v>140774.46</v>
      </c>
      <c r="M241" s="8"/>
      <c r="N241" s="265"/>
    </row>
    <row r="242" spans="1:14" s="3" customFormat="1" ht="12.2" customHeight="1" x14ac:dyDescent="0.15">
      <c r="A242" s="1" t="s">
        <v>445</v>
      </c>
      <c r="B242" s="2" t="s">
        <v>350</v>
      </c>
      <c r="C242" s="2" t="s">
        <v>297</v>
      </c>
      <c r="D242" s="2" t="s">
        <v>431</v>
      </c>
      <c r="E242" s="6">
        <v>2400</v>
      </c>
      <c r="F242" s="18">
        <v>73715.98</v>
      </c>
      <c r="G242" s="18">
        <v>21507</v>
      </c>
      <c r="H242" s="18">
        <f>803.39+379.39+1604.87</f>
        <v>2787.6499999999996</v>
      </c>
      <c r="I242" s="18">
        <v>1386.96</v>
      </c>
      <c r="J242" s="18">
        <v>36</v>
      </c>
      <c r="K242" s="18">
        <v>2037.74</v>
      </c>
      <c r="L242" s="19">
        <f t="shared" si="4"/>
        <v>101471.33</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v>47157.5</v>
      </c>
      <c r="G244" s="18">
        <v>22306.52</v>
      </c>
      <c r="H244" s="18">
        <f>39559.58+20606+9454.6</f>
        <v>69620.180000000008</v>
      </c>
      <c r="I244" s="18">
        <v>39338.9</v>
      </c>
      <c r="J244" s="18">
        <v>966.41</v>
      </c>
      <c r="K244" s="18">
        <v>491.06</v>
      </c>
      <c r="L244" s="19">
        <f t="shared" si="4"/>
        <v>179880.57</v>
      </c>
      <c r="M244" s="8"/>
      <c r="N244" s="265"/>
    </row>
    <row r="245" spans="1:14" s="3" customFormat="1" ht="12.2" customHeight="1" x14ac:dyDescent="0.15">
      <c r="A245" s="1" t="s">
        <v>448</v>
      </c>
      <c r="B245" s="2" t="s">
        <v>350</v>
      </c>
      <c r="C245" s="2" t="s">
        <v>300</v>
      </c>
      <c r="D245" s="2" t="s">
        <v>431</v>
      </c>
      <c r="E245" s="6">
        <v>2700</v>
      </c>
      <c r="F245" s="18">
        <v>19925.18</v>
      </c>
      <c r="G245" s="18">
        <v>4155.21</v>
      </c>
      <c r="H245" s="18">
        <f>5741.29+1753.05</f>
        <v>7494.34</v>
      </c>
      <c r="I245" s="18">
        <v>4759.91</v>
      </c>
      <c r="J245" s="18">
        <v>378.69</v>
      </c>
      <c r="K245" s="18">
        <v>240.65</v>
      </c>
      <c r="L245" s="19">
        <f t="shared" si="4"/>
        <v>36953.980000000003</v>
      </c>
      <c r="M245" s="8"/>
      <c r="N245" s="265"/>
    </row>
    <row r="246" spans="1:14" s="3" customFormat="1" ht="12.2" customHeight="1" x14ac:dyDescent="0.15">
      <c r="A246" s="1" t="s">
        <v>449</v>
      </c>
      <c r="B246" s="2" t="s">
        <v>350</v>
      </c>
      <c r="C246" s="2" t="s">
        <v>343</v>
      </c>
      <c r="D246" s="2" t="s">
        <v>431</v>
      </c>
      <c r="E246" s="6">
        <v>2800</v>
      </c>
      <c r="F246" s="18"/>
      <c r="G246" s="18"/>
      <c r="H246" s="18">
        <v>2315.8200000000002</v>
      </c>
      <c r="I246" s="18"/>
      <c r="J246" s="18"/>
      <c r="K246" s="18"/>
      <c r="L246" s="19">
        <f>SUM(F246:K246)</f>
        <v>2315.8200000000002</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540433.02</v>
      </c>
      <c r="G248" s="41">
        <f t="shared" si="5"/>
        <v>254247.69</v>
      </c>
      <c r="H248" s="41">
        <f t="shared" si="5"/>
        <v>281645.29000000004</v>
      </c>
      <c r="I248" s="41">
        <f t="shared" si="5"/>
        <v>70299.42</v>
      </c>
      <c r="J248" s="41">
        <f t="shared" si="5"/>
        <v>4544.91</v>
      </c>
      <c r="K248" s="41">
        <f t="shared" si="5"/>
        <v>25331.760000000006</v>
      </c>
      <c r="L248" s="41">
        <f t="shared" si="5"/>
        <v>1176502.0899999999</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1343823.97</v>
      </c>
      <c r="G258" s="41">
        <f t="shared" si="8"/>
        <v>639259.17000000004</v>
      </c>
      <c r="H258" s="41">
        <f t="shared" si="8"/>
        <v>653135.83000000007</v>
      </c>
      <c r="I258" s="41">
        <f t="shared" si="8"/>
        <v>158858.07</v>
      </c>
      <c r="J258" s="41">
        <f t="shared" si="8"/>
        <v>10433.859999999999</v>
      </c>
      <c r="K258" s="41">
        <f t="shared" si="8"/>
        <v>43918.22</v>
      </c>
      <c r="L258" s="41">
        <f t="shared" si="8"/>
        <v>2849429.12</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20000</v>
      </c>
      <c r="L264" s="19">
        <f>SUM(F264:K264)</f>
        <v>20000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35000</v>
      </c>
      <c r="L267" s="19">
        <f t="shared" si="9"/>
        <v>35000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55000</v>
      </c>
      <c r="L271" s="41">
        <f t="shared" si="9"/>
        <v>55000</v>
      </c>
      <c r="M271" s="8"/>
      <c r="N271" s="265"/>
    </row>
    <row r="272" spans="1:14" s="34" customFormat="1" ht="12.2" customHeight="1" thickTop="1" x14ac:dyDescent="0.2">
      <c r="A272" s="43" t="s">
        <v>464</v>
      </c>
      <c r="B272" s="40">
        <v>10</v>
      </c>
      <c r="C272" s="40">
        <v>18</v>
      </c>
      <c r="D272" s="39" t="s">
        <v>431</v>
      </c>
      <c r="E272" s="40"/>
      <c r="F272" s="42">
        <f t="shared" ref="F272:L272" si="11">F258+F271</f>
        <v>1343823.97</v>
      </c>
      <c r="G272" s="42">
        <f t="shared" si="11"/>
        <v>639259.17000000004</v>
      </c>
      <c r="H272" s="42">
        <f t="shared" si="11"/>
        <v>653135.83000000007</v>
      </c>
      <c r="I272" s="42">
        <f t="shared" si="11"/>
        <v>158858.07</v>
      </c>
      <c r="J272" s="42">
        <f t="shared" si="11"/>
        <v>10433.859999999999</v>
      </c>
      <c r="K272" s="42">
        <f t="shared" si="11"/>
        <v>98918.22</v>
      </c>
      <c r="L272" s="42">
        <f t="shared" si="11"/>
        <v>2904429.12</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17250</f>
        <v>17250</v>
      </c>
      <c r="G277" s="18">
        <v>11529.27</v>
      </c>
      <c r="H277" s="18">
        <v>1300.1099999999999</v>
      </c>
      <c r="I277" s="18">
        <v>32278.59</v>
      </c>
      <c r="J277" s="18">
        <v>13563.5</v>
      </c>
      <c r="K277" s="18"/>
      <c r="L277" s="19">
        <f>SUM(F277:K277)</f>
        <v>75921.47</v>
      </c>
      <c r="M277" s="8"/>
      <c r="N277" s="265"/>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1321.25</v>
      </c>
      <c r="G280" s="18">
        <v>297.23</v>
      </c>
      <c r="H280" s="18">
        <v>2100</v>
      </c>
      <c r="I280" s="18">
        <v>286.01</v>
      </c>
      <c r="J280" s="18"/>
      <c r="K280" s="18"/>
      <c r="L280" s="19">
        <f>SUM(F280:K280)</f>
        <v>4004.49</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9583.2000000000007</v>
      </c>
      <c r="G282" s="18">
        <v>5447.84</v>
      </c>
      <c r="H282" s="18">
        <f>4815.5</f>
        <v>4815.5</v>
      </c>
      <c r="I282" s="18">
        <v>619.64</v>
      </c>
      <c r="J282" s="18"/>
      <c r="K282" s="18"/>
      <c r="L282" s="19">
        <f t="shared" ref="L282:L288" si="12">SUM(F282:K282)</f>
        <v>20466.18</v>
      </c>
      <c r="M282" s="8"/>
      <c r="N282" s="265"/>
    </row>
    <row r="283" spans="1:14" s="3" customFormat="1" ht="12.2" customHeight="1" x14ac:dyDescent="0.15">
      <c r="A283" s="1" t="s">
        <v>443</v>
      </c>
      <c r="B283" s="2" t="s">
        <v>357</v>
      </c>
      <c r="C283" s="2" t="s">
        <v>295</v>
      </c>
      <c r="D283" s="2" t="s">
        <v>431</v>
      </c>
      <c r="E283" s="6">
        <v>2200</v>
      </c>
      <c r="F283" s="18">
        <v>14804.8</v>
      </c>
      <c r="G283" s="18">
        <v>6862.34</v>
      </c>
      <c r="H283" s="18">
        <f>46440</f>
        <v>46440</v>
      </c>
      <c r="I283" s="18">
        <v>440.7</v>
      </c>
      <c r="J283" s="18"/>
      <c r="K283" s="18">
        <v>322.86</v>
      </c>
      <c r="L283" s="19">
        <f t="shared" si="12"/>
        <v>68870.7</v>
      </c>
      <c r="M283" s="8"/>
      <c r="N283" s="265"/>
    </row>
    <row r="284" spans="1:14" s="3" customFormat="1" ht="12.2" customHeight="1" x14ac:dyDescent="0.15">
      <c r="A284" s="1" t="s">
        <v>444</v>
      </c>
      <c r="B284" s="2" t="s">
        <v>357</v>
      </c>
      <c r="C284" s="2" t="s">
        <v>296</v>
      </c>
      <c r="D284" s="2" t="s">
        <v>431</v>
      </c>
      <c r="E284" s="6">
        <v>2300</v>
      </c>
      <c r="F284" s="18">
        <v>1311.55</v>
      </c>
      <c r="G284" s="18">
        <v>386.58</v>
      </c>
      <c r="H284" s="18"/>
      <c r="I284" s="18"/>
      <c r="J284" s="18"/>
      <c r="K284" s="18"/>
      <c r="L284" s="19">
        <f t="shared" si="12"/>
        <v>1698.1299999999999</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v>504</v>
      </c>
      <c r="L285" s="19">
        <f t="shared" si="12"/>
        <v>504</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f>377.78</f>
        <v>377.78</v>
      </c>
      <c r="L286" s="19">
        <f t="shared" si="12"/>
        <v>377.78</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44270.8</v>
      </c>
      <c r="G291" s="42">
        <f t="shared" si="13"/>
        <v>24523.260000000002</v>
      </c>
      <c r="H291" s="42">
        <f t="shared" si="13"/>
        <v>54655.61</v>
      </c>
      <c r="I291" s="42">
        <f t="shared" si="13"/>
        <v>33624.939999999995</v>
      </c>
      <c r="J291" s="42">
        <f t="shared" si="13"/>
        <v>13563.5</v>
      </c>
      <c r="K291" s="42">
        <f t="shared" si="13"/>
        <v>1204.6399999999999</v>
      </c>
      <c r="L291" s="41">
        <f t="shared" si="13"/>
        <v>171842.75000000003</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v>3774.66</v>
      </c>
      <c r="J315" s="18">
        <v>4076.68</v>
      </c>
      <c r="K315" s="18"/>
      <c r="L315" s="19">
        <f>SUM(F315:K315)</f>
        <v>7851.34</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v>2960.33</v>
      </c>
      <c r="I320" s="18">
        <v>120</v>
      </c>
      <c r="J320" s="18">
        <v>26624</v>
      </c>
      <c r="K320" s="18"/>
      <c r="L320" s="19">
        <f t="shared" ref="L320:L326" si="16">SUM(F320:K320)</f>
        <v>29704.33</v>
      </c>
      <c r="M320" s="8"/>
      <c r="N320" s="265"/>
    </row>
    <row r="321" spans="1:14" s="3" customFormat="1" ht="12.2" customHeight="1" x14ac:dyDescent="0.15">
      <c r="A321" s="1" t="s">
        <v>443</v>
      </c>
      <c r="B321" s="2" t="s">
        <v>359</v>
      </c>
      <c r="C321" s="2" t="s">
        <v>295</v>
      </c>
      <c r="D321" s="2" t="s">
        <v>431</v>
      </c>
      <c r="E321" s="6">
        <v>2200</v>
      </c>
      <c r="F321" s="18">
        <v>4148.3999999999996</v>
      </c>
      <c r="G321" s="18">
        <v>2843.73</v>
      </c>
      <c r="H321" s="18">
        <v>9247</v>
      </c>
      <c r="I321" s="18">
        <v>536.86</v>
      </c>
      <c r="J321" s="18"/>
      <c r="K321" s="18">
        <v>108.6</v>
      </c>
      <c r="L321" s="19">
        <f t="shared" si="16"/>
        <v>16884.589999999997</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v>336</v>
      </c>
      <c r="L323" s="19">
        <f t="shared" si="16"/>
        <v>336</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4148.3999999999996</v>
      </c>
      <c r="G329" s="42">
        <f t="shared" si="17"/>
        <v>2843.73</v>
      </c>
      <c r="H329" s="42">
        <f t="shared" si="17"/>
        <v>12207.33</v>
      </c>
      <c r="I329" s="42">
        <f t="shared" si="17"/>
        <v>4431.5199999999995</v>
      </c>
      <c r="J329" s="42">
        <f t="shared" si="17"/>
        <v>30700.68</v>
      </c>
      <c r="K329" s="42">
        <f t="shared" si="17"/>
        <v>444.6</v>
      </c>
      <c r="L329" s="41">
        <f t="shared" si="17"/>
        <v>54776.259999999995</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f>2031.08+677.02</f>
        <v>2708.1</v>
      </c>
      <c r="L337" s="19">
        <f t="shared" si="18"/>
        <v>2708.1</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2708.1</v>
      </c>
      <c r="L338" s="41">
        <f t="shared" si="18"/>
        <v>2708.1</v>
      </c>
      <c r="M338" s="8"/>
      <c r="N338" s="265"/>
    </row>
    <row r="339" spans="1:43" s="3" customFormat="1" ht="12.2" customHeight="1" thickTop="1" x14ac:dyDescent="0.15">
      <c r="A339" s="38" t="s">
        <v>468</v>
      </c>
      <c r="B339" s="40">
        <v>14</v>
      </c>
      <c r="C339" s="40">
        <v>7</v>
      </c>
      <c r="D339" s="39" t="s">
        <v>431</v>
      </c>
      <c r="E339" s="40"/>
      <c r="F339" s="41">
        <f t="shared" ref="F339:L339" si="20">F291+F310+F329+F338</f>
        <v>48419.200000000004</v>
      </c>
      <c r="G339" s="41">
        <f t="shared" si="20"/>
        <v>27366.99</v>
      </c>
      <c r="H339" s="41">
        <f t="shared" si="20"/>
        <v>66862.94</v>
      </c>
      <c r="I339" s="41">
        <f t="shared" si="20"/>
        <v>38056.459999999992</v>
      </c>
      <c r="J339" s="41">
        <f t="shared" si="20"/>
        <v>44264.18</v>
      </c>
      <c r="K339" s="41">
        <f t="shared" si="20"/>
        <v>4357.34</v>
      </c>
      <c r="L339" s="41">
        <f t="shared" si="20"/>
        <v>229327.11000000002</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48419.200000000004</v>
      </c>
      <c r="G353" s="41">
        <f>G339</f>
        <v>27366.99</v>
      </c>
      <c r="H353" s="41">
        <f>H339</f>
        <v>66862.94</v>
      </c>
      <c r="I353" s="41">
        <f>I339</f>
        <v>38056.459999999992</v>
      </c>
      <c r="J353" s="41">
        <f>J339</f>
        <v>44264.18</v>
      </c>
      <c r="K353" s="47">
        <f>K339+K352</f>
        <v>4357.34</v>
      </c>
      <c r="L353" s="41">
        <f>L339+L352</f>
        <v>229327.11000000002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f>1148.7+44077.42</f>
        <v>45226.119999999995</v>
      </c>
      <c r="I359" s="18">
        <f>22.42+496.22</f>
        <v>518.64</v>
      </c>
      <c r="J359" s="18"/>
      <c r="K359" s="18">
        <f>152.4+550.24</f>
        <v>702.64</v>
      </c>
      <c r="L359" s="13">
        <f>SUM(F359:K359)</f>
        <v>46447.399999999994</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f>765.8+29384.94</f>
        <v>30150.739999999998</v>
      </c>
      <c r="I361" s="18">
        <f>14.95+330.83</f>
        <v>345.78</v>
      </c>
      <c r="J361" s="18"/>
      <c r="K361" s="18">
        <f>101.6+366.81</f>
        <v>468.40999999999997</v>
      </c>
      <c r="L361" s="19">
        <f>SUM(F361:K361)</f>
        <v>30964.929999999997</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75376.859999999986</v>
      </c>
      <c r="I363" s="47">
        <f t="shared" si="22"/>
        <v>864.42</v>
      </c>
      <c r="J363" s="47">
        <f t="shared" si="22"/>
        <v>0</v>
      </c>
      <c r="K363" s="47">
        <f t="shared" si="22"/>
        <v>1171.05</v>
      </c>
      <c r="L363" s="47">
        <f t="shared" si="22"/>
        <v>77412.329999999987</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t="s">
        <v>286</v>
      </c>
      <c r="G368" s="18"/>
      <c r="H368" s="18" t="s">
        <v>286</v>
      </c>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518.64</f>
        <v>518.64</v>
      </c>
      <c r="G369" s="63"/>
      <c r="H369" s="63">
        <v>345.78</v>
      </c>
      <c r="I369" s="56">
        <f>SUM(F369:H369)</f>
        <v>864.42</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518.64</v>
      </c>
      <c r="G370" s="47">
        <f>SUM(G368:G369)</f>
        <v>0</v>
      </c>
      <c r="H370" s="47">
        <f>SUM(H368:H369)</f>
        <v>345.78</v>
      </c>
      <c r="I370" s="47">
        <f>SUM(I368:I369)</f>
        <v>864.42</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f>10000+0</f>
        <v>10000</v>
      </c>
      <c r="H397" s="18">
        <f>96.78+57.09</f>
        <v>153.87</v>
      </c>
      <c r="I397" s="18"/>
      <c r="J397" s="24" t="s">
        <v>288</v>
      </c>
      <c r="K397" s="24" t="s">
        <v>288</v>
      </c>
      <c r="L397" s="56">
        <f t="shared" si="26"/>
        <v>10153.870000000001</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f>0</f>
        <v>0</v>
      </c>
      <c r="H399" s="18">
        <f>189.12</f>
        <v>189.12</v>
      </c>
      <c r="I399" s="18"/>
      <c r="J399" s="24" t="s">
        <v>288</v>
      </c>
      <c r="K399" s="24" t="s">
        <v>288</v>
      </c>
      <c r="L399" s="56">
        <f t="shared" si="26"/>
        <v>189.12</v>
      </c>
      <c r="M399" s="8"/>
      <c r="N399" s="265"/>
    </row>
    <row r="400" spans="1:14" s="3" customFormat="1" ht="12.2" customHeight="1" x14ac:dyDescent="0.15">
      <c r="A400" s="79" t="s">
        <v>559</v>
      </c>
      <c r="B400" s="2" t="s">
        <v>381</v>
      </c>
      <c r="C400" s="6">
        <v>12</v>
      </c>
      <c r="D400" s="2" t="s">
        <v>432</v>
      </c>
      <c r="E400" s="6"/>
      <c r="F400" s="18"/>
      <c r="G400" s="18">
        <f>5000</f>
        <v>5000</v>
      </c>
      <c r="H400" s="18">
        <f>40.01</f>
        <v>40.01</v>
      </c>
      <c r="I400" s="18"/>
      <c r="J400" s="24" t="s">
        <v>288</v>
      </c>
      <c r="K400" s="24" t="s">
        <v>288</v>
      </c>
      <c r="L400" s="56">
        <f t="shared" si="26"/>
        <v>5040.01</v>
      </c>
      <c r="M400" s="8"/>
      <c r="N400" s="265"/>
    </row>
    <row r="401" spans="1:21" s="3" customFormat="1" ht="12.2" customHeight="1" thickBot="1" x14ac:dyDescent="0.2">
      <c r="A401" s="79" t="s">
        <v>510</v>
      </c>
      <c r="B401" s="2" t="s">
        <v>381</v>
      </c>
      <c r="C401" s="6">
        <v>13</v>
      </c>
      <c r="D401" s="2" t="s">
        <v>432</v>
      </c>
      <c r="E401" s="6"/>
      <c r="F401" s="18"/>
      <c r="G401" s="18">
        <f>35000-15000</f>
        <v>20000</v>
      </c>
      <c r="H401" s="18">
        <f>1080.34-153.87-189.12-40.01</f>
        <v>697.33999999999992</v>
      </c>
      <c r="I401" s="18"/>
      <c r="J401" s="24" t="s">
        <v>288</v>
      </c>
      <c r="K401" s="24" t="s">
        <v>288</v>
      </c>
      <c r="L401" s="56">
        <f t="shared" si="26"/>
        <v>20697.34</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35000</v>
      </c>
      <c r="H402" s="47">
        <f>SUM(H396:H401)</f>
        <v>1080.3399999999999</v>
      </c>
      <c r="I402" s="47">
        <f>SUM(I396:I401)</f>
        <v>0</v>
      </c>
      <c r="J402" s="45" t="s">
        <v>288</v>
      </c>
      <c r="K402" s="45" t="s">
        <v>288</v>
      </c>
      <c r="L402" s="47">
        <f>SUM(L396:L401)</f>
        <v>36080.340000000004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35000</v>
      </c>
      <c r="H409" s="47">
        <f>H394+H402+H408</f>
        <v>1080.3399999999999</v>
      </c>
      <c r="I409" s="47">
        <f>I394+I402+I408</f>
        <v>0</v>
      </c>
      <c r="J409" s="24" t="s">
        <v>288</v>
      </c>
      <c r="K409" s="24" t="s">
        <v>288</v>
      </c>
      <c r="L409" s="47">
        <f>L394+L402+L408</f>
        <v>36080.340000000004</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f>550615.06</f>
        <v>550615.06000000006</v>
      </c>
      <c r="H440" s="18"/>
      <c r="I440" s="56">
        <f t="shared" ref="I440:I446" si="33">SUM(F440:H440)</f>
        <v>550615.06000000006</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550615.06000000006</v>
      </c>
      <c r="H447" s="13">
        <f>SUM(H440:H446)</f>
        <v>0</v>
      </c>
      <c r="I447" s="13">
        <f>SUM(I440:I446)</f>
        <v>550615.06000000006</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550615.06000000006</v>
      </c>
      <c r="H460" s="18"/>
      <c r="I460" s="56">
        <f t="shared" si="34"/>
        <v>550615.06000000006</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550615.06000000006</v>
      </c>
      <c r="H461" s="83">
        <f>SUM(H455:H460)</f>
        <v>0</v>
      </c>
      <c r="I461" s="83">
        <f>SUM(I455:I460)</f>
        <v>550615.06000000006</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550615.06000000006</v>
      </c>
      <c r="H462" s="42">
        <f>H453+H461</f>
        <v>0</v>
      </c>
      <c r="I462" s="42">
        <f>I453+I461</f>
        <v>550615.06000000006</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603243.31999999995</v>
      </c>
      <c r="G466" s="18">
        <v>18542.25</v>
      </c>
      <c r="H466" s="18">
        <v>0</v>
      </c>
      <c r="I466" s="18">
        <v>0</v>
      </c>
      <c r="J466" s="18">
        <v>514534.72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2805350.99</v>
      </c>
      <c r="G469" s="18">
        <v>85964.6</v>
      </c>
      <c r="H469" s="18">
        <f>224927.34+4099.77+300</f>
        <v>229327.11</v>
      </c>
      <c r="I469" s="18"/>
      <c r="J469" s="18">
        <v>36080.339999999997</v>
      </c>
      <c r="K469" s="24" t="s">
        <v>288</v>
      </c>
      <c r="L469" s="24" t="s">
        <v>288</v>
      </c>
      <c r="N469" s="264"/>
    </row>
    <row r="470" spans="1:14" s="52" customFormat="1" ht="12.2" customHeight="1" x14ac:dyDescent="0.2">
      <c r="A470" s="93" t="s">
        <v>611</v>
      </c>
      <c r="B470" s="75">
        <v>19</v>
      </c>
      <c r="C470" s="80">
        <v>3</v>
      </c>
      <c r="D470" s="2" t="s">
        <v>432</v>
      </c>
      <c r="E470" s="80"/>
      <c r="F470" s="18">
        <v>205</v>
      </c>
      <c r="G470" s="18">
        <v>290.47000000000003</v>
      </c>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2805555.99</v>
      </c>
      <c r="G471" s="53">
        <f>SUM(G469:G470)</f>
        <v>86255.07</v>
      </c>
      <c r="H471" s="53">
        <f>SUM(H469:H470)</f>
        <v>229327.11</v>
      </c>
      <c r="I471" s="53">
        <f>SUM(I469:I470)</f>
        <v>0</v>
      </c>
      <c r="J471" s="53">
        <f>SUM(J469:J470)</f>
        <v>36080.339999999997</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2904429.12</v>
      </c>
      <c r="G473" s="18">
        <v>77412.33</v>
      </c>
      <c r="H473" s="18">
        <f>224927.34+4099.77+300</f>
        <v>229327.11</v>
      </c>
      <c r="I473" s="18"/>
      <c r="J473" s="18"/>
      <c r="K473" s="24" t="s">
        <v>288</v>
      </c>
      <c r="L473" s="24" t="s">
        <v>288</v>
      </c>
      <c r="N473" s="264"/>
    </row>
    <row r="474" spans="1:14" s="52" customFormat="1" ht="12.2" customHeight="1" x14ac:dyDescent="0.2">
      <c r="A474" s="93" t="s">
        <v>613</v>
      </c>
      <c r="B474" s="75">
        <v>19</v>
      </c>
      <c r="C474" s="80">
        <v>6</v>
      </c>
      <c r="D474" s="2" t="s">
        <v>432</v>
      </c>
      <c r="E474" s="80"/>
      <c r="F474" s="18">
        <v>688.96</v>
      </c>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2905118.08</v>
      </c>
      <c r="G475" s="53">
        <f>SUM(G473:G474)</f>
        <v>77412.33</v>
      </c>
      <c r="H475" s="53">
        <f>SUM(H473:H474)</f>
        <v>229327.11</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503681.23</v>
      </c>
      <c r="G477" s="53">
        <f>(G466+G471)- G475</f>
        <v>27384.990000000005</v>
      </c>
      <c r="H477" s="53">
        <f>(H466+H471)- H475</f>
        <v>0</v>
      </c>
      <c r="I477" s="53">
        <f>(I466+I471)- I475</f>
        <v>0</v>
      </c>
      <c r="J477" s="53">
        <f>(J466+J471)- J475</f>
        <v>550615.05999999994</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96091.99</v>
      </c>
      <c r="G522" s="18">
        <v>13980.13</v>
      </c>
      <c r="H522" s="18" t="s">
        <v>286</v>
      </c>
      <c r="I522" s="18"/>
      <c r="J522" s="18">
        <v>1029.98</v>
      </c>
      <c r="K522" s="18"/>
      <c r="L522" s="88">
        <f>SUM(F522:K522)</f>
        <v>111102.1</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v>7320.2</v>
      </c>
      <c r="G524" s="18">
        <v>4837.0600000000004</v>
      </c>
      <c r="H524" s="18" t="s">
        <v>286</v>
      </c>
      <c r="I524" s="18"/>
      <c r="J524" s="18"/>
      <c r="K524" s="18"/>
      <c r="L524" s="88">
        <f>SUM(F524:K524)</f>
        <v>12157.26</v>
      </c>
      <c r="N524" s="264"/>
    </row>
    <row r="525" spans="1:14" s="52" customFormat="1" ht="12.2" customHeight="1" thickTop="1" x14ac:dyDescent="0.2">
      <c r="A525" s="139" t="s">
        <v>63</v>
      </c>
      <c r="B525" s="107">
        <v>21</v>
      </c>
      <c r="C525" s="194">
        <v>4</v>
      </c>
      <c r="D525" s="195" t="s">
        <v>432</v>
      </c>
      <c r="E525" s="194"/>
      <c r="F525" s="108">
        <f>SUM(F522:F524)</f>
        <v>103412.19</v>
      </c>
      <c r="G525" s="108">
        <f t="shared" ref="G525:L525" si="36">SUM(G522:G524)</f>
        <v>18817.189999999999</v>
      </c>
      <c r="H525" s="108">
        <f t="shared" si="36"/>
        <v>0</v>
      </c>
      <c r="I525" s="108">
        <f t="shared" si="36"/>
        <v>0</v>
      </c>
      <c r="J525" s="108">
        <f t="shared" si="36"/>
        <v>1029.98</v>
      </c>
      <c r="K525" s="108">
        <f t="shared" si="36"/>
        <v>0</v>
      </c>
      <c r="L525" s="89">
        <f t="shared" si="36"/>
        <v>123259.36</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6974.54</v>
      </c>
      <c r="G527" s="18">
        <v>555.64</v>
      </c>
      <c r="H527" s="18">
        <f>8212.24+6064.1</f>
        <v>14276.34</v>
      </c>
      <c r="I527" s="18">
        <v>257.44</v>
      </c>
      <c r="J527" s="18" t="s">
        <v>286</v>
      </c>
      <c r="K527" s="18"/>
      <c r="L527" s="88">
        <f>SUM(F527:K527)</f>
        <v>22063.96</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v>733.16</v>
      </c>
      <c r="G529" s="18">
        <v>61.11</v>
      </c>
      <c r="H529" s="18">
        <f>1312.25+18342.3</f>
        <v>19654.55</v>
      </c>
      <c r="I529" s="18"/>
      <c r="J529" s="18"/>
      <c r="K529" s="18"/>
      <c r="L529" s="88">
        <f>SUM(F529:K529)</f>
        <v>20448.82</v>
      </c>
      <c r="M529" s="8"/>
      <c r="N529" s="265"/>
    </row>
    <row r="530" spans="1:14" s="3" customFormat="1" ht="12.2" customHeight="1" thickTop="1" x14ac:dyDescent="0.15">
      <c r="A530" s="139" t="s">
        <v>65</v>
      </c>
      <c r="B530" s="107">
        <v>21</v>
      </c>
      <c r="C530" s="107">
        <v>8</v>
      </c>
      <c r="D530" s="158" t="s">
        <v>432</v>
      </c>
      <c r="E530" s="107"/>
      <c r="F530" s="89">
        <f>SUM(F527:F529)</f>
        <v>7707.7</v>
      </c>
      <c r="G530" s="89">
        <f t="shared" ref="G530:L530" si="37">SUM(G527:G529)</f>
        <v>616.75</v>
      </c>
      <c r="H530" s="89">
        <f t="shared" si="37"/>
        <v>33930.89</v>
      </c>
      <c r="I530" s="89">
        <f t="shared" si="37"/>
        <v>257.44</v>
      </c>
      <c r="J530" s="89">
        <f t="shared" si="37"/>
        <v>0</v>
      </c>
      <c r="K530" s="89">
        <f t="shared" si="37"/>
        <v>0</v>
      </c>
      <c r="L530" s="89">
        <f t="shared" si="37"/>
        <v>42512.78</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f>20371.04</f>
        <v>20371.04</v>
      </c>
      <c r="I532" s="18"/>
      <c r="J532" s="18"/>
      <c r="K532" s="18"/>
      <c r="L532" s="88">
        <f>SUM(F532:K532)</f>
        <v>20371.04</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v>11640.59</v>
      </c>
      <c r="I534" s="18"/>
      <c r="J534" s="18"/>
      <c r="K534" s="18"/>
      <c r="L534" s="88">
        <f>SUM(F534:K534)</f>
        <v>11640.59</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32011.63</v>
      </c>
      <c r="I535" s="89">
        <f t="shared" si="38"/>
        <v>0</v>
      </c>
      <c r="J535" s="89">
        <f t="shared" si="38"/>
        <v>0</v>
      </c>
      <c r="K535" s="89">
        <f t="shared" si="38"/>
        <v>0</v>
      </c>
      <c r="L535" s="89">
        <f t="shared" si="38"/>
        <v>32011.63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v>-992.04</v>
      </c>
      <c r="J542" s="18"/>
      <c r="K542" s="18"/>
      <c r="L542" s="88">
        <f>SUM(F542:K542)</f>
        <v>-992.04</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-992.04</v>
      </c>
      <c r="J545" s="192">
        <f t="shared" si="40"/>
        <v>0</v>
      </c>
      <c r="K545" s="192">
        <f t="shared" si="40"/>
        <v>0</v>
      </c>
      <c r="L545" s="192">
        <f t="shared" si="40"/>
        <v>-992.04</v>
      </c>
      <c r="M545" s="8"/>
      <c r="N545" s="265"/>
    </row>
    <row r="546" spans="1:14" s="3" customFormat="1" ht="12.2" customHeight="1" thickTop="1" x14ac:dyDescent="0.15">
      <c r="A546" s="98" t="s">
        <v>72</v>
      </c>
      <c r="B546" s="107">
        <v>21</v>
      </c>
      <c r="C546" s="107">
        <v>21</v>
      </c>
      <c r="D546" s="158" t="s">
        <v>432</v>
      </c>
      <c r="E546" s="107"/>
      <c r="F546" s="89">
        <f>F525+F530+F535+F540+F545</f>
        <v>111119.89</v>
      </c>
      <c r="G546" s="89">
        <f t="shared" ref="G546:L546" si="41">G525+G530+G535+G540+G545</f>
        <v>19433.939999999999</v>
      </c>
      <c r="H546" s="89">
        <f t="shared" si="41"/>
        <v>65942.52</v>
      </c>
      <c r="I546" s="89">
        <f t="shared" si="41"/>
        <v>-734.59999999999991</v>
      </c>
      <c r="J546" s="89">
        <f t="shared" si="41"/>
        <v>1029.98</v>
      </c>
      <c r="K546" s="89">
        <f t="shared" si="41"/>
        <v>0</v>
      </c>
      <c r="L546" s="89">
        <f t="shared" si="41"/>
        <v>196791.73</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111102.1</v>
      </c>
      <c r="G550" s="87">
        <f>L527</f>
        <v>22063.96</v>
      </c>
      <c r="H550" s="87">
        <f>L532</f>
        <v>20371.04</v>
      </c>
      <c r="I550" s="87">
        <f>L537</f>
        <v>0</v>
      </c>
      <c r="J550" s="87">
        <f>L542</f>
        <v>-992.04</v>
      </c>
      <c r="K550" s="87">
        <f>SUM(F550:J550)</f>
        <v>152545.06</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12157.26</v>
      </c>
      <c r="G552" s="87">
        <f>L529</f>
        <v>20448.82</v>
      </c>
      <c r="H552" s="87">
        <f>L534</f>
        <v>11640.59</v>
      </c>
      <c r="I552" s="87">
        <f>L539</f>
        <v>0</v>
      </c>
      <c r="J552" s="87">
        <f>L544</f>
        <v>0</v>
      </c>
      <c r="K552" s="87">
        <f>SUM(F552:J552)</f>
        <v>44246.67</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123259.36</v>
      </c>
      <c r="G553" s="89">
        <f t="shared" si="42"/>
        <v>42512.78</v>
      </c>
      <c r="H553" s="89">
        <f t="shared" si="42"/>
        <v>32011.63</v>
      </c>
      <c r="I553" s="89">
        <f t="shared" si="42"/>
        <v>0</v>
      </c>
      <c r="J553" s="89">
        <f t="shared" si="42"/>
        <v>-992.04</v>
      </c>
      <c r="K553" s="89">
        <f t="shared" si="42"/>
        <v>196791.72999999998</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t="s">
        <v>286</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v>10000</v>
      </c>
      <c r="I586" s="87">
        <f t="shared" si="47"/>
        <v>10000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40693.58</f>
        <v>40693.58</v>
      </c>
      <c r="I592" s="18"/>
      <c r="J592" s="18">
        <v>20005.080000000002</v>
      </c>
      <c r="K592" s="104">
        <f t="shared" ref="K592:K598" si="48">SUM(H592:J592)</f>
        <v>60698.66</v>
      </c>
      <c r="L592" s="24" t="s">
        <v>288</v>
      </c>
      <c r="M592" s="8"/>
      <c r="N592" s="265"/>
    </row>
    <row r="593" spans="1:14" s="3" customFormat="1" ht="12.2" customHeight="1" x14ac:dyDescent="0.15">
      <c r="A593" s="3" t="s">
        <v>638</v>
      </c>
      <c r="B593" s="75">
        <v>23</v>
      </c>
      <c r="C593" s="75">
        <v>2</v>
      </c>
      <c r="D593" s="2" t="s">
        <v>432</v>
      </c>
      <c r="E593" s="75"/>
      <c r="F593" s="102">
        <v>2722</v>
      </c>
      <c r="G593" s="103" t="s">
        <v>97</v>
      </c>
      <c r="H593" s="18">
        <f>-905.29</f>
        <v>-905.29</v>
      </c>
      <c r="I593" s="18"/>
      <c r="J593" s="18"/>
      <c r="K593" s="104">
        <f t="shared" si="48"/>
        <v>-905.29</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1956.11</v>
      </c>
      <c r="I595" s="18"/>
      <c r="J595" s="18">
        <v>9976.86</v>
      </c>
      <c r="K595" s="104">
        <f t="shared" si="48"/>
        <v>11932.970000000001</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1328.74</v>
      </c>
      <c r="I596" s="18"/>
      <c r="J596" s="18">
        <v>1638.17</v>
      </c>
      <c r="K596" s="104">
        <f t="shared" si="48"/>
        <v>2966.91</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v>5333.87</v>
      </c>
      <c r="K597" s="104">
        <f t="shared" si="48"/>
        <v>5333.87</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43073.14</v>
      </c>
      <c r="I599" s="108">
        <f>SUM(I592:I598)</f>
        <v>0</v>
      </c>
      <c r="J599" s="108">
        <f>SUM(J592:J598)</f>
        <v>36953.980000000003</v>
      </c>
      <c r="K599" s="108">
        <f>SUM(K592:K598)</f>
        <v>80027.12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5888.95+2724+10839.5</f>
        <v>19452.45</v>
      </c>
      <c r="I605" s="18"/>
      <c r="J605" s="18">
        <f>4544.91+4076.68+14336+12288</f>
        <v>35245.589999999997</v>
      </c>
      <c r="K605" s="104">
        <f>SUM(H605:J605)</f>
        <v>54698.039999999994</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19452.45</v>
      </c>
      <c r="I606" s="108">
        <f>SUM(I603:I605)</f>
        <v>0</v>
      </c>
      <c r="J606" s="108">
        <f>SUM(J603:J605)</f>
        <v>35245.589999999997</v>
      </c>
      <c r="K606" s="108">
        <f>SUM(K603:K605)</f>
        <v>54698.039999999994</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537696.52999999991</v>
      </c>
      <c r="H618" s="109">
        <f>SUM(F52)</f>
        <v>537696.53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35896.82</v>
      </c>
      <c r="H619" s="109">
        <f>SUM(G52)</f>
        <v>35896.82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118873.92</v>
      </c>
      <c r="H620" s="109">
        <f>SUM(H52)</f>
        <v>118873.92000000001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550615.06000000006</v>
      </c>
      <c r="H622" s="109">
        <f>SUM(J52)</f>
        <v>550615.06000000006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503681.23</v>
      </c>
      <c r="H623" s="109">
        <f>F477</f>
        <v>503681.23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27384.989999999998</v>
      </c>
      <c r="H624" s="109">
        <f>G477</f>
        <v>27384.990000000005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550615.06000000006</v>
      </c>
      <c r="H627" s="109">
        <f>J477</f>
        <v>550615.05999999994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2805350.99</v>
      </c>
      <c r="H628" s="104">
        <f>SUM(F469)</f>
        <v>2805350.99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85964.599999999991</v>
      </c>
      <c r="H629" s="104">
        <f>SUM(G469)</f>
        <v>85964.6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229327.11</v>
      </c>
      <c r="H630" s="104">
        <f>SUM(H469)</f>
        <v>229327.11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36080.339999999997</v>
      </c>
      <c r="H632" s="104">
        <f>SUM(J469)</f>
        <v>36080.339999999997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2904429.12</v>
      </c>
      <c r="H633" s="104">
        <f>SUM(F473)</f>
        <v>2904429.12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229327.11000000002</v>
      </c>
      <c r="H634" s="104">
        <f>SUM(H473)</f>
        <v>229327.11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864.42</v>
      </c>
      <c r="H635" s="104">
        <f>I370</f>
        <v>864.42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77412.329999999987</v>
      </c>
      <c r="H636" s="104">
        <f>SUM(G473)</f>
        <v>77412.33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36080.340000000004</v>
      </c>
      <c r="H638" s="164">
        <f>SUM(J469)</f>
        <v>36080.339999999997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550615.06000000006</v>
      </c>
      <c r="H641" s="104">
        <f>SUM(G462)</f>
        <v>550615.06000000006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550615.06000000006</v>
      </c>
      <c r="H643" s="104">
        <f>SUM(I462)</f>
        <v>550615.06000000006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1080.3399999999999</v>
      </c>
      <c r="H645" s="104">
        <f>H409</f>
        <v>1080.3399999999999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35000</v>
      </c>
      <c r="H646" s="104">
        <f>G409</f>
        <v>35000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36080.339999999997</v>
      </c>
      <c r="H647" s="104">
        <f>L409</f>
        <v>36080.340000000004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80027.12</v>
      </c>
      <c r="H648" s="104">
        <f>L209+L227+L245</f>
        <v>80027.12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54698.039999999994</v>
      </c>
      <c r="H649" s="104">
        <f>(J258+J339)-(J256+J337)</f>
        <v>54698.04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43073.14</v>
      </c>
      <c r="H650" s="104">
        <f>H599</f>
        <v>43073.14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36953.980000000003</v>
      </c>
      <c r="H652" s="104">
        <f>J599</f>
        <v>36953.980000000003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20000</v>
      </c>
      <c r="H653" s="104">
        <f>K264+K346</f>
        <v>20000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35000</v>
      </c>
      <c r="H656" s="104">
        <f>K267+K348</f>
        <v>35000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1891217.18</v>
      </c>
      <c r="G661" s="19">
        <f>(L230+L310+L360)</f>
        <v>0</v>
      </c>
      <c r="H661" s="19">
        <f>(L248+L329+L361)</f>
        <v>1262243.2799999998</v>
      </c>
      <c r="I661" s="19">
        <f>SUM(F661:H661)</f>
        <v>3153460.46</v>
      </c>
      <c r="J661" s="13"/>
      <c r="K661" s="13"/>
      <c r="L661" s="13"/>
      <c r="M661" s="9"/>
    </row>
    <row r="662" spans="1:13" s="3" customFormat="1" ht="12.2" customHeight="1" x14ac:dyDescent="0.2">
      <c r="A662" s="1" t="s">
        <v>127</v>
      </c>
      <c r="F662" s="19">
        <f>(L359/IF(SUM(L359:L361)=0,1,SUM(L359:L361))*(SUM(G97:G110)))</f>
        <v>2329.3501003005595</v>
      </c>
      <c r="G662" s="19">
        <f>(L360/IF(SUM(L359:L361)=0,1,SUM(L359:L361))*(SUM(G97:G110)))</f>
        <v>0</v>
      </c>
      <c r="H662" s="19">
        <f>(L361/IF(SUM(L359:L361)=0,1,SUM(L359:L361))*(SUM(G97:G110)))</f>
        <v>1552.8998996994408</v>
      </c>
      <c r="I662" s="19">
        <f>SUM(F662:H662)</f>
        <v>3882.25</v>
      </c>
      <c r="J662"/>
      <c r="K662" s="13"/>
      <c r="L662" s="13"/>
      <c r="M662" s="8"/>
    </row>
    <row r="663" spans="1:13" s="3" customFormat="1" ht="12.2" customHeight="1" x14ac:dyDescent="0.2">
      <c r="A663" s="1" t="s">
        <v>128</v>
      </c>
      <c r="F663" s="19">
        <f>(L209+L288)-(J209+J288)</f>
        <v>42189.53</v>
      </c>
      <c r="G663" s="19">
        <f>(L227+L307)-(J227+J307)</f>
        <v>0</v>
      </c>
      <c r="H663" s="19">
        <f>(L245+L326)-(J245+J326)</f>
        <v>36575.29</v>
      </c>
      <c r="I663" s="19">
        <f>SUM(F663:H663)</f>
        <v>78764.820000000007</v>
      </c>
      <c r="J663"/>
      <c r="K663" s="13"/>
      <c r="L663" s="13"/>
      <c r="M663" s="9"/>
    </row>
    <row r="664" spans="1:13" s="3" customFormat="1" ht="12.2" customHeight="1" x14ac:dyDescent="0.15">
      <c r="A664" s="197" t="s">
        <v>129</v>
      </c>
      <c r="B664" s="169"/>
      <c r="C664" s="169"/>
      <c r="D664" s="169"/>
      <c r="E664" s="169"/>
      <c r="F664" s="198">
        <f>SUM(F576:F588)+SUM(H603:H605)+SUM(L612)</f>
        <v>19452.45</v>
      </c>
      <c r="G664" s="198">
        <f>SUM(G576:G588)+SUM(I603:I605)+L613</f>
        <v>0</v>
      </c>
      <c r="H664" s="198">
        <f>SUM(H576:H588)+SUM(J603:J605)+L614</f>
        <v>45245.59</v>
      </c>
      <c r="I664" s="19">
        <f>SUM(F664:H664)</f>
        <v>64698.039999999994</v>
      </c>
      <c r="J664" s="13"/>
      <c r="K664" s="13"/>
      <c r="L664" s="13"/>
      <c r="M664" s="9"/>
    </row>
    <row r="665" spans="1:13" s="3" customFormat="1" ht="12.2" customHeight="1" x14ac:dyDescent="0.15">
      <c r="A665" s="1" t="s">
        <v>130</v>
      </c>
      <c r="F665" s="19">
        <f>F661-SUM(F662:F664)</f>
        <v>1827245.8498996994</v>
      </c>
      <c r="G665" s="19">
        <f>G661-SUM(G662:G664)</f>
        <v>0</v>
      </c>
      <c r="H665" s="19">
        <f>H661-SUM(H662:H664)</f>
        <v>1178869.5001003004</v>
      </c>
      <c r="I665" s="19">
        <f>I661-SUM(I662:I664)</f>
        <v>3006115.35</v>
      </c>
      <c r="J665" s="13"/>
      <c r="K665" s="13"/>
      <c r="L665" s="13"/>
      <c r="M665" s="8"/>
    </row>
    <row r="666" spans="1:13" s="3" customFormat="1" ht="12.2" customHeight="1" x14ac:dyDescent="0.2">
      <c r="A666" s="1" t="s">
        <v>131</v>
      </c>
      <c r="F666" s="245">
        <v>44.58</v>
      </c>
      <c r="G666" s="246"/>
      <c r="H666" s="246">
        <f>33.78</f>
        <v>33.78</v>
      </c>
      <c r="I666" s="19">
        <f>SUM(F666:H666)</f>
        <v>78.36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40988.019999999997</v>
      </c>
      <c r="G668" s="19" t="e">
        <f>ROUND(G665/G666,2)</f>
        <v>#DIV/0!</v>
      </c>
      <c r="H668" s="19">
        <f>ROUND(H665/H666,2)</f>
        <v>34898.449999999997</v>
      </c>
      <c r="I668" s="19">
        <f>ROUND(I665/I666,2)</f>
        <v>38362.879999999997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-0.33</v>
      </c>
      <c r="I671" s="19">
        <f>SUM(F671:H671)</f>
        <v>-0.33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40988.019999999997</v>
      </c>
      <c r="G673" s="19" t="e">
        <f>ROUND((G665+G670)/(G666+G671),2)</f>
        <v>#DIV/0!</v>
      </c>
      <c r="H673" s="19">
        <f>ROUND((H665+H670)/(H666+H671),2)</f>
        <v>35242.74</v>
      </c>
      <c r="I673" s="19">
        <f>ROUND((I665+I670)/(I666+I671),2)</f>
        <v>38525.120000000003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3" sqref="E13"/>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11635.480000000001</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1877.85+3364.69</f>
        <v>5242.54</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2293.17+4099.77</f>
        <v>6392.9400000000005</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4"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Pittsburg</v>
      </c>
      <c r="C5" s="375"/>
      <c r="D5" s="375"/>
      <c r="E5" s="375"/>
      <c r="F5" s="375"/>
    </row>
    <row r="8" spans="1:9" ht="18" x14ac:dyDescent="0.25">
      <c r="A8" s="312" t="s">
        <v>1568</v>
      </c>
      <c r="F8" s="319" t="s">
        <v>1586</v>
      </c>
    </row>
    <row r="9" spans="1:9" ht="15" x14ac:dyDescent="0.2">
      <c r="A9" s="310" t="s">
        <v>1569</v>
      </c>
      <c r="B9" s="313">
        <f>'DOE25'!G97</f>
        <v>3882.25</v>
      </c>
      <c r="F9" s="310" t="s">
        <v>1582</v>
      </c>
    </row>
    <row r="10" spans="1:9" ht="15" x14ac:dyDescent="0.2">
      <c r="A10" s="310" t="s">
        <v>1570</v>
      </c>
      <c r="B10" s="313">
        <f>'DOE25'!G112-'DOE25'!G97</f>
        <v>0</v>
      </c>
      <c r="F10" s="310" t="s">
        <v>1583</v>
      </c>
    </row>
    <row r="11" spans="1:9" ht="15" x14ac:dyDescent="0.2">
      <c r="A11" s="310" t="s">
        <v>1571</v>
      </c>
      <c r="B11" s="313">
        <f>'DOE25'!G140</f>
        <v>10160.33</v>
      </c>
      <c r="F11" s="310" t="s">
        <v>1584</v>
      </c>
    </row>
    <row r="12" spans="1:9" ht="15" x14ac:dyDescent="0.2">
      <c r="A12" s="310" t="s">
        <v>1572</v>
      </c>
      <c r="B12" s="313">
        <f>'DOE25'!G170</f>
        <v>51922.02</v>
      </c>
      <c r="F12" s="310" t="s">
        <v>1585</v>
      </c>
    </row>
    <row r="13" spans="1:9" ht="15" x14ac:dyDescent="0.2">
      <c r="A13" s="310" t="s">
        <v>1573</v>
      </c>
      <c r="B13" s="313">
        <f>'DOE25'!G193-'DOE25'!G180</f>
        <v>0</v>
      </c>
      <c r="F13" s="310" t="s">
        <v>1595</v>
      </c>
    </row>
    <row r="14" spans="1:9" ht="18" x14ac:dyDescent="0.25">
      <c r="A14" s="312" t="s">
        <v>732</v>
      </c>
      <c r="B14" s="314">
        <f>SUM(B9:B13)</f>
        <v>65964.599999999991</v>
      </c>
    </row>
    <row r="16" spans="1:9" ht="18" x14ac:dyDescent="0.25">
      <c r="A16" s="312" t="s">
        <v>786</v>
      </c>
      <c r="F16" s="319" t="s">
        <v>1587</v>
      </c>
    </row>
    <row r="17" spans="1:6" ht="15" x14ac:dyDescent="0.2">
      <c r="A17" s="310" t="s">
        <v>1574</v>
      </c>
      <c r="B17" s="313">
        <f>'DOE25'!L363-'DOE25'!L362</f>
        <v>77412.329999999987</v>
      </c>
      <c r="F17" s="310" t="s">
        <v>1588</v>
      </c>
    </row>
    <row r="18" spans="1:6" ht="15" x14ac:dyDescent="0.2">
      <c r="A18" s="310" t="s">
        <v>1575</v>
      </c>
      <c r="B18" s="323">
        <v>-290.47000000000003</v>
      </c>
      <c r="F18" s="319" t="s">
        <v>1612</v>
      </c>
    </row>
    <row r="19" spans="1:6" ht="18" x14ac:dyDescent="0.25">
      <c r="A19" s="312" t="s">
        <v>725</v>
      </c>
      <c r="B19" s="314">
        <f>SUM(B17:B18)</f>
        <v>77121.859999999986</v>
      </c>
    </row>
    <row r="21" spans="1:6" ht="18.75" thickBot="1" x14ac:dyDescent="0.3">
      <c r="A21" s="312" t="s">
        <v>1576</v>
      </c>
    </row>
    <row r="22" spans="1:6" ht="18.75" thickTop="1" x14ac:dyDescent="0.25">
      <c r="A22" s="312" t="s">
        <v>1577</v>
      </c>
      <c r="B22" s="318">
        <f>B14-B19</f>
        <v>-11157.259999999995</v>
      </c>
      <c r="F22" s="310" t="s">
        <v>1589</v>
      </c>
    </row>
    <row r="26" spans="1:6" ht="18" x14ac:dyDescent="0.25">
      <c r="A26" s="312" t="s">
        <v>186</v>
      </c>
    </row>
    <row r="27" spans="1:6" ht="15" x14ac:dyDescent="0.2">
      <c r="A27" s="310" t="s">
        <v>1578</v>
      </c>
      <c r="B27" s="313">
        <f>'DOE25'!G180</f>
        <v>20000</v>
      </c>
      <c r="F27" s="310" t="s">
        <v>1590</v>
      </c>
    </row>
    <row r="28" spans="1:6" ht="15" x14ac:dyDescent="0.2">
      <c r="A28" s="310" t="s">
        <v>1580</v>
      </c>
      <c r="B28" s="313">
        <f>'DOE25'!L362</f>
        <v>0</v>
      </c>
      <c r="F28" s="310" t="s">
        <v>1591</v>
      </c>
    </row>
    <row r="31" spans="1:6" ht="15" x14ac:dyDescent="0.2">
      <c r="A31" s="310" t="s">
        <v>1634</v>
      </c>
      <c r="B31" s="313">
        <f>'DOE25'!G466</f>
        <v>18542.25</v>
      </c>
      <c r="F31" s="310" t="s">
        <v>1592</v>
      </c>
    </row>
    <row r="33" spans="1:6" ht="15" x14ac:dyDescent="0.2">
      <c r="A33" s="310" t="s">
        <v>1635</v>
      </c>
      <c r="B33" s="313">
        <f>'DOE25'!G477</f>
        <v>27384.990000000005</v>
      </c>
      <c r="F33" s="310" t="s">
        <v>1593</v>
      </c>
    </row>
    <row r="36" spans="1:6" ht="15" x14ac:dyDescent="0.2">
      <c r="A36" s="310" t="s">
        <v>1579</v>
      </c>
      <c r="B36" s="324">
        <v>3607.44</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7" sqref="C37"/>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Pittsburg</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732705.67999999993</v>
      </c>
      <c r="C9" s="228">
        <f>'DOE25'!G198+'DOE25'!G216+'DOE25'!G234+'DOE25'!G277+'DOE25'!G296+'DOE25'!G315</f>
        <v>434273.43000000005</v>
      </c>
    </row>
    <row r="10" spans="1:3" x14ac:dyDescent="0.2">
      <c r="A10" t="s">
        <v>775</v>
      </c>
      <c r="B10" s="239">
        <f>681129.34+625+37411.34</f>
        <v>719165.67999999993</v>
      </c>
      <c r="C10" s="239">
        <f>434273.43-1117.05</f>
        <v>433156.38</v>
      </c>
    </row>
    <row r="11" spans="1:3" x14ac:dyDescent="0.2">
      <c r="A11" t="s">
        <v>776</v>
      </c>
      <c r="B11" s="239">
        <v>0</v>
      </c>
      <c r="C11" s="239"/>
    </row>
    <row r="12" spans="1:3" x14ac:dyDescent="0.2">
      <c r="A12" t="s">
        <v>777</v>
      </c>
      <c r="B12" s="239">
        <f>13540</f>
        <v>13540</v>
      </c>
      <c r="C12" s="239">
        <v>1117.05</v>
      </c>
    </row>
    <row r="13" spans="1:3" x14ac:dyDescent="0.2">
      <c r="A13" t="str">
        <f>IF(B9=B13,IF(C9=C13,"Check Total OK","Check Total Error"),"Check Total Error")</f>
        <v>Check Total OK</v>
      </c>
      <c r="B13" s="230">
        <f>SUM(B10:B12)</f>
        <v>732705.67999999993</v>
      </c>
      <c r="C13" s="230">
        <f>SUM(C10:C12)</f>
        <v>434273.43</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134120.35</v>
      </c>
      <c r="C18" s="228">
        <f>'DOE25'!G199+'DOE25'!G217+'DOE25'!G235+'DOE25'!G278+'DOE25'!G297+'DOE25'!G316</f>
        <v>27661.120000000003</v>
      </c>
    </row>
    <row r="19" spans="1:3" x14ac:dyDescent="0.2">
      <c r="A19" t="s">
        <v>775</v>
      </c>
      <c r="B19" s="239">
        <v>54836</v>
      </c>
      <c r="C19" s="239">
        <f>27661.12-6432.21-108.75</f>
        <v>21120.16</v>
      </c>
    </row>
    <row r="20" spans="1:3" x14ac:dyDescent="0.2">
      <c r="A20" t="s">
        <v>776</v>
      </c>
      <c r="B20" s="239">
        <v>77966.179999999993</v>
      </c>
      <c r="C20" s="239">
        <v>6432.21</v>
      </c>
    </row>
    <row r="21" spans="1:3" x14ac:dyDescent="0.2">
      <c r="A21" t="s">
        <v>777</v>
      </c>
      <c r="B21" s="239">
        <f>462.5+855.67</f>
        <v>1318.17</v>
      </c>
      <c r="C21" s="239">
        <v>108.75</v>
      </c>
    </row>
    <row r="22" spans="1:3" x14ac:dyDescent="0.2">
      <c r="A22" t="str">
        <f>IF(B18=B22,IF(C18=C22,"Check Total OK","Check Total Error"),"Check Total Error")</f>
        <v>Check Total OK</v>
      </c>
      <c r="B22" s="230">
        <f>SUM(B19:B21)</f>
        <v>134120.35</v>
      </c>
      <c r="C22" s="230">
        <f>SUM(C19:C21)</f>
        <v>27661.119999999999</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t="s">
        <v>286</v>
      </c>
      <c r="C28" s="239"/>
    </row>
    <row r="29" spans="1:3" x14ac:dyDescent="0.2">
      <c r="A29" t="s">
        <v>776</v>
      </c>
      <c r="B29" s="239" t="s">
        <v>286</v>
      </c>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58818.25</v>
      </c>
      <c r="C36" s="234">
        <f>'DOE25'!G201+'DOE25'!G219+'DOE25'!G237+'DOE25'!G280+'DOE25'!G299+'DOE25'!G318</f>
        <v>4929.32</v>
      </c>
    </row>
    <row r="37" spans="1:3" x14ac:dyDescent="0.2">
      <c r="A37" t="s">
        <v>775</v>
      </c>
      <c r="B37" s="239">
        <v>11642</v>
      </c>
      <c r="C37" s="239">
        <f>4929.32-3892.04</f>
        <v>1037.2799999999997</v>
      </c>
    </row>
    <row r="38" spans="1:3" x14ac:dyDescent="0.2">
      <c r="A38" t="s">
        <v>776</v>
      </c>
      <c r="B38" s="239"/>
      <c r="C38" s="239"/>
    </row>
    <row r="39" spans="1:3" x14ac:dyDescent="0.2">
      <c r="A39" t="s">
        <v>777</v>
      </c>
      <c r="B39" s="239">
        <v>47176.25</v>
      </c>
      <c r="C39" s="239">
        <v>3892.04</v>
      </c>
    </row>
    <row r="40" spans="1:3" x14ac:dyDescent="0.2">
      <c r="A40" t="str">
        <f>IF(B36=B40,IF(C36=C40,"Check Total OK","Check Total Error"),"Check Total Error")</f>
        <v>Check Total OK</v>
      </c>
      <c r="B40" s="230">
        <f>SUM(B37:B39)</f>
        <v>58818.25</v>
      </c>
      <c r="C40" s="230">
        <f>SUM(C37:C39)</f>
        <v>4929.32</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13" sqref="F1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Pittsburg</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1496191.7199999997</v>
      </c>
      <c r="D5" s="20">
        <f>SUM('DOE25'!L198:L201)+SUM('DOE25'!L216:L219)+SUM('DOE25'!L234:L237)-F5-G5-H5</f>
        <v>1470799.9</v>
      </c>
      <c r="E5" s="242"/>
      <c r="F5" s="243"/>
      <c r="G5" s="53">
        <f>SUM('DOE25'!J198:J201)+SUM('DOE25'!J216:J219)+SUM('DOE25'!J234:J237)</f>
        <v>4316.66</v>
      </c>
      <c r="H5" s="53">
        <f>SUM('DOE25'!K198:K201)+SUM('DOE25'!K216:K219)+SUM('DOE25'!K234:K237)</f>
        <v>21075.16</v>
      </c>
      <c r="I5" s="255"/>
    </row>
    <row r="6" spans="1:9" x14ac:dyDescent="0.2">
      <c r="A6" s="32">
        <v>2100</v>
      </c>
      <c r="B6" t="s">
        <v>796</v>
      </c>
      <c r="C6" s="274">
        <f t="shared" si="0"/>
        <v>235940.06</v>
      </c>
      <c r="D6" s="20">
        <f>'DOE25'!L203+'DOE25'!L221+'DOE25'!L239-F6-G6-H6</f>
        <v>228673.18</v>
      </c>
      <c r="E6" s="242"/>
      <c r="F6" s="243"/>
      <c r="G6" s="53">
        <f>'DOE25'!J203+'DOE25'!J221+'DOE25'!J239</f>
        <v>2348.88</v>
      </c>
      <c r="H6" s="53">
        <f>'DOE25'!K203+'DOE25'!K221+'DOE25'!K239</f>
        <v>4918</v>
      </c>
      <c r="I6" s="255"/>
    </row>
    <row r="7" spans="1:9" x14ac:dyDescent="0.2">
      <c r="A7" s="32">
        <v>2200</v>
      </c>
      <c r="B7" t="s">
        <v>821</v>
      </c>
      <c r="C7" s="274">
        <f t="shared" si="0"/>
        <v>57705.369999999995</v>
      </c>
      <c r="D7" s="20">
        <f>'DOE25'!L204+'DOE25'!L222+'DOE25'!L240-F7-G7-H7</f>
        <v>50819.109999999993</v>
      </c>
      <c r="E7" s="242"/>
      <c r="F7" s="243"/>
      <c r="G7" s="53">
        <f>'DOE25'!J204+'DOE25'!J222+'DOE25'!J240</f>
        <v>0</v>
      </c>
      <c r="H7" s="53">
        <f>'DOE25'!K204+'DOE25'!K222+'DOE25'!K240</f>
        <v>6886.26</v>
      </c>
      <c r="I7" s="255"/>
    </row>
    <row r="8" spans="1:9" x14ac:dyDescent="0.2">
      <c r="A8" s="32">
        <v>2300</v>
      </c>
      <c r="B8" t="s">
        <v>797</v>
      </c>
      <c r="C8" s="274">
        <f t="shared" si="0"/>
        <v>249897.01</v>
      </c>
      <c r="D8" s="242"/>
      <c r="E8" s="20">
        <f>'DOE25'!L205+'DOE25'!L223+'DOE25'!L241-F8-G8-H8-D9-D11</f>
        <v>245675.83000000002</v>
      </c>
      <c r="F8" s="243"/>
      <c r="G8" s="53">
        <f>'DOE25'!J205+'DOE25'!J223+'DOE25'!J241</f>
        <v>0</v>
      </c>
      <c r="H8" s="53">
        <f>'DOE25'!K205+'DOE25'!K223+'DOE25'!K241</f>
        <v>4221.18</v>
      </c>
      <c r="I8" s="255"/>
    </row>
    <row r="9" spans="1:9" ht="14.25" x14ac:dyDescent="0.2">
      <c r="A9" s="32">
        <v>2310</v>
      </c>
      <c r="B9" s="184" t="s">
        <v>888</v>
      </c>
      <c r="C9" s="274">
        <f t="shared" si="0"/>
        <v>24682.53</v>
      </c>
      <c r="D9" s="243">
        <f>34382.53-9700</f>
        <v>24682.53</v>
      </c>
      <c r="E9" s="242"/>
      <c r="F9" s="252"/>
      <c r="G9" s="252"/>
      <c r="H9" s="252"/>
      <c r="I9" s="255"/>
    </row>
    <row r="10" spans="1:9" ht="14.25" x14ac:dyDescent="0.2">
      <c r="A10" s="32">
        <v>2317</v>
      </c>
      <c r="B10" s="184" t="s">
        <v>889</v>
      </c>
      <c r="C10" s="274">
        <f t="shared" si="0"/>
        <v>9700</v>
      </c>
      <c r="D10" s="242"/>
      <c r="E10" s="243">
        <v>9700</v>
      </c>
      <c r="F10" s="252"/>
      <c r="G10" s="252"/>
      <c r="H10" s="252"/>
      <c r="I10" s="255"/>
    </row>
    <row r="11" spans="1:9" ht="14.25" x14ac:dyDescent="0.2">
      <c r="A11" s="32">
        <v>2321</v>
      </c>
      <c r="B11" s="184" t="s">
        <v>890</v>
      </c>
      <c r="C11" s="274">
        <f t="shared" si="0"/>
        <v>75585.17</v>
      </c>
      <c r="D11" s="243">
        <v>75585.17</v>
      </c>
      <c r="E11" s="242"/>
      <c r="F11" s="252"/>
      <c r="G11" s="252"/>
      <c r="H11" s="252"/>
      <c r="I11" s="255"/>
    </row>
    <row r="12" spans="1:9" x14ac:dyDescent="0.2">
      <c r="A12" s="32">
        <v>2400</v>
      </c>
      <c r="B12" t="s">
        <v>711</v>
      </c>
      <c r="C12" s="274">
        <f t="shared" si="0"/>
        <v>209883.68</v>
      </c>
      <c r="D12" s="20">
        <f>'DOE25'!L206+'DOE25'!L224+'DOE25'!L242-F12-G12-H12</f>
        <v>204569.33000000002</v>
      </c>
      <c r="E12" s="242"/>
      <c r="F12" s="243"/>
      <c r="G12" s="53">
        <f>'DOE25'!J206+'DOE25'!J224+'DOE25'!J242</f>
        <v>89.990000000000009</v>
      </c>
      <c r="H12" s="53">
        <f>'DOE25'!K206+'DOE25'!K224+'DOE25'!K242</f>
        <v>5224.3599999999997</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413726.91000000003</v>
      </c>
      <c r="D14" s="20">
        <f>'DOE25'!L208+'DOE25'!L226+'DOE25'!L244-F14-G14-H14</f>
        <v>410353.23</v>
      </c>
      <c r="E14" s="242"/>
      <c r="F14" s="243"/>
      <c r="G14" s="53">
        <f>'DOE25'!J208+'DOE25'!J226+'DOE25'!J244</f>
        <v>2416.0299999999997</v>
      </c>
      <c r="H14" s="53">
        <f>'DOE25'!K208+'DOE25'!K226+'DOE25'!K244</f>
        <v>957.65</v>
      </c>
      <c r="I14" s="255"/>
    </row>
    <row r="15" spans="1:9" x14ac:dyDescent="0.2">
      <c r="A15" s="32">
        <v>2700</v>
      </c>
      <c r="B15" t="s">
        <v>799</v>
      </c>
      <c r="C15" s="274">
        <f t="shared" si="0"/>
        <v>80027.12</v>
      </c>
      <c r="D15" s="20">
        <f>'DOE25'!L209+'DOE25'!L227+'DOE25'!L245-F15-G15-H15</f>
        <v>78129.209999999992</v>
      </c>
      <c r="E15" s="242"/>
      <c r="F15" s="243"/>
      <c r="G15" s="53">
        <f>'DOE25'!J209+'DOE25'!J227+'DOE25'!J245</f>
        <v>1262.3</v>
      </c>
      <c r="H15" s="53">
        <f>'DOE25'!K209+'DOE25'!K227+'DOE25'!K245</f>
        <v>635.61</v>
      </c>
      <c r="I15" s="255"/>
    </row>
    <row r="16" spans="1:9" x14ac:dyDescent="0.2">
      <c r="A16" s="32">
        <v>2800</v>
      </c>
      <c r="B16" t="s">
        <v>800</v>
      </c>
      <c r="C16" s="274">
        <f t="shared" si="0"/>
        <v>5789.55</v>
      </c>
      <c r="D16" s="242"/>
      <c r="E16" s="20">
        <f>'DOE25'!L210+'DOE25'!L228+'DOE25'!L246-F16-G16-H16</f>
        <v>5789.55</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2708.1</v>
      </c>
      <c r="D22" s="242"/>
      <c r="E22" s="242"/>
      <c r="F22" s="242"/>
      <c r="G22" s="53">
        <f>'DOE25'!L256+'DOE25'!L337</f>
        <v>2708.1</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77412.329999999987</v>
      </c>
      <c r="D29" s="282">
        <f>'DOE25'!L359+'DOE25'!L360+'DOE25'!L361-'DOE25'!I368-F29-G29-H29</f>
        <v>46866.14999999998</v>
      </c>
      <c r="E29" s="242"/>
      <c r="F29" s="243">
        <f>77412.33-23037.2-25000</f>
        <v>29375.130000000005</v>
      </c>
      <c r="G29" s="53">
        <f>'DOE25'!J359+'DOE25'!J360+'DOE25'!J361</f>
        <v>0</v>
      </c>
      <c r="H29" s="53">
        <f>'DOE25'!K359+'DOE25'!K360+'DOE25'!K361</f>
        <v>1171.05</v>
      </c>
      <c r="I29" s="255"/>
    </row>
    <row r="30" spans="1:9" x14ac:dyDescent="0.2">
      <c r="A30" s="32"/>
      <c r="C30" s="275"/>
      <c r="D30" s="20"/>
      <c r="E30" s="279"/>
      <c r="F30" s="269"/>
      <c r="G30" s="53"/>
      <c r="H30" s="53"/>
      <c r="I30" s="255"/>
    </row>
    <row r="31" spans="1:9" x14ac:dyDescent="0.2">
      <c r="A31" s="32" t="s">
        <v>818</v>
      </c>
      <c r="B31" t="s">
        <v>817</v>
      </c>
      <c r="C31" s="274">
        <f>SUM(D31:I31)</f>
        <v>226619.01</v>
      </c>
      <c r="D31" s="20">
        <f>'DOE25'!L291+'DOE25'!L310+'DOE25'!L329+'DOE25'!L334+'DOE25'!L335+'DOE25'!L336-F31-G31-H31</f>
        <v>180705.59000000003</v>
      </c>
      <c r="E31" s="242"/>
      <c r="F31" s="243"/>
      <c r="G31" s="53">
        <f>'DOE25'!J291+'DOE25'!J310+'DOE25'!J329+'DOE25'!J334+'DOE25'!J335+'DOE25'!J336</f>
        <v>44264.18</v>
      </c>
      <c r="H31" s="53">
        <f>'DOE25'!K291+'DOE25'!K310+'DOE25'!K329+'DOE25'!K334+'DOE25'!K335+'DOE25'!K336</f>
        <v>1649.2399999999998</v>
      </c>
      <c r="I31" s="255"/>
    </row>
    <row r="32" spans="1:9" ht="12" thickBot="1" x14ac:dyDescent="0.25">
      <c r="C32" s="275"/>
      <c r="G32" s="250"/>
      <c r="H32" s="250"/>
      <c r="I32" s="257"/>
    </row>
    <row r="33" spans="1:9" ht="12" thickTop="1" x14ac:dyDescent="0.2">
      <c r="B33" t="s">
        <v>809</v>
      </c>
      <c r="D33" s="244">
        <f t="shared" ref="D33:I33" si="1">SUM(D5:D31)</f>
        <v>2771183.4</v>
      </c>
      <c r="E33" s="244">
        <f t="shared" si="1"/>
        <v>261165.38</v>
      </c>
      <c r="F33" s="244">
        <f t="shared" si="1"/>
        <v>29375.130000000005</v>
      </c>
      <c r="G33" s="244">
        <f t="shared" si="1"/>
        <v>57406.14</v>
      </c>
      <c r="H33" s="244">
        <f t="shared" si="1"/>
        <v>46738.51</v>
      </c>
      <c r="I33" s="244">
        <f t="shared" si="1"/>
        <v>0</v>
      </c>
    </row>
    <row r="35" spans="1:9" ht="12" thickBot="1" x14ac:dyDescent="0.25">
      <c r="B35" s="250" t="s">
        <v>831</v>
      </c>
      <c r="D35" s="251">
        <f>E33</f>
        <v>261165.38</v>
      </c>
      <c r="E35" s="247"/>
      <c r="F35" s="328" t="s">
        <v>1617</v>
      </c>
      <c r="G35" s="329"/>
      <c r="H35" s="329"/>
      <c r="I35" s="329"/>
    </row>
    <row r="36" spans="1:9" ht="12" thickTop="1" x14ac:dyDescent="0.2">
      <c r="B36" t="s">
        <v>810</v>
      </c>
      <c r="D36" s="20">
        <f>D33</f>
        <v>2771183.4</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3" zoomScaleNormal="100" workbookViewId="0">
      <selection activeCell="E39" sqref="E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Pittsburg</v>
      </c>
      <c r="B2" s="126">
        <f>'DOE25'!B2</f>
        <v>437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1844769.78</v>
      </c>
      <c r="G4" s="299">
        <f>'DOE25'!L212+'DOE25'!L291</f>
        <v>1844769.78</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Pittsburg School (Elem)</v>
      </c>
      <c r="B6" s="300">
        <f>IFERROR(VLOOKUP(A6,'School Tables'!$C$3:$D$365,2,FALSE),"")</f>
        <v>20205</v>
      </c>
      <c r="C6" s="293" t="str">
        <f>IFERROR(INDEX('School Tables'!$B$3:$B$365,MATCH('School Level Expenditures'!B6,'School Tables'!$D$3:$D$365,0)),"")</f>
        <v>Pittsburg</v>
      </c>
      <c r="D6" s="290">
        <f>(1672927.03)</f>
        <v>1672927.03</v>
      </c>
      <c r="E6" s="290">
        <f>(171842.75)</f>
        <v>171842.75</v>
      </c>
      <c r="F6" s="303">
        <f t="shared" ref="F6:F20" si="0">D6+E6</f>
        <v>1844769.78</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1672927.03</v>
      </c>
      <c r="E21" s="338">
        <f>SUM(E5:E20)</f>
        <v>171842.75</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1231278.3500000001</v>
      </c>
      <c r="G36" s="299">
        <f>'DOE25'!L248+'DOE25'!L329</f>
        <v>1231278.3499999999</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Pittsburg School (High)</v>
      </c>
      <c r="B38" s="300">
        <f>IFERROR(VLOOKUP(A38,'School Tables'!$Y$4:$Z$100,2,FALSE),"")</f>
        <v>26500</v>
      </c>
      <c r="C38" s="293" t="str">
        <f>IFERROR(INDEX('School Tables'!$X$4:$X$100,MATCH('School Level Expenditures'!A38,'School Tables'!$Y$4:$Y$100,0)),"")</f>
        <v>Pittsburg</v>
      </c>
      <c r="D38" s="290">
        <v>1176502.0900000001</v>
      </c>
      <c r="E38" s="290">
        <v>54776.26</v>
      </c>
      <c r="F38" s="303">
        <f t="shared" si="2"/>
        <v>1231278.3500000001</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1176502.0900000001</v>
      </c>
      <c r="E43" s="339">
        <f>SUM(E37:E42)</f>
        <v>54776.26</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51" zoomScale="80" zoomScaleNormal="80" workbookViewId="0">
      <selection activeCell="G8" sqref="G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Pittsburg</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447445.66</v>
      </c>
      <c r="D8" s="95">
        <f>'DOE25'!G9</f>
        <v>14327.09</v>
      </c>
      <c r="E8" s="95">
        <f>'DOE25'!H9</f>
        <v>0</v>
      </c>
      <c r="F8" s="95">
        <f>'DOE25'!I9</f>
        <v>0</v>
      </c>
      <c r="G8" s="95">
        <f>'DOE25'!J9</f>
        <v>550615.06000000006</v>
      </c>
      <c r="H8" s="124">
        <f>SUM(C8:G8)</f>
        <v>1012387.81</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72369.05</v>
      </c>
      <c r="D11" s="95">
        <f>'DOE25'!G12</f>
        <v>0</v>
      </c>
      <c r="E11" s="95">
        <f>'DOE25'!H12</f>
        <v>0</v>
      </c>
      <c r="F11" s="95">
        <f>'DOE25'!I12</f>
        <v>0</v>
      </c>
      <c r="G11" s="95">
        <f>'DOE25'!J12</f>
        <v>0</v>
      </c>
      <c r="H11" s="124">
        <f t="shared" si="0"/>
        <v>72369.05</v>
      </c>
      <c r="I11" s="124"/>
    </row>
    <row r="12" spans="1:9" x14ac:dyDescent="0.2">
      <c r="A12" s="1" t="s">
        <v>143</v>
      </c>
      <c r="B12" s="6">
        <v>140</v>
      </c>
      <c r="C12" s="95">
        <f>'DOE25'!F13</f>
        <v>14603.61</v>
      </c>
      <c r="D12" s="95">
        <f>'DOE25'!G13</f>
        <v>18769.22</v>
      </c>
      <c r="E12" s="95">
        <f>'DOE25'!H13</f>
        <v>118873.92</v>
      </c>
      <c r="F12" s="95">
        <f>'DOE25'!I13</f>
        <v>0</v>
      </c>
      <c r="G12" s="95">
        <f>'DOE25'!J13</f>
        <v>0</v>
      </c>
      <c r="H12" s="124">
        <f t="shared" si="0"/>
        <v>152246.75</v>
      </c>
      <c r="I12" s="124"/>
    </row>
    <row r="13" spans="1:9" x14ac:dyDescent="0.2">
      <c r="A13" s="1" t="s">
        <v>144</v>
      </c>
      <c r="B13" s="6">
        <v>150</v>
      </c>
      <c r="C13" s="95">
        <f>'DOE25'!F14</f>
        <v>1922.21</v>
      </c>
      <c r="D13" s="95">
        <f>'DOE25'!G14</f>
        <v>5</v>
      </c>
      <c r="E13" s="95">
        <f>'DOE25'!H14</f>
        <v>0</v>
      </c>
      <c r="F13" s="95">
        <f>'DOE25'!I14</f>
        <v>0</v>
      </c>
      <c r="G13" s="95">
        <f>'DOE25'!J14</f>
        <v>0</v>
      </c>
      <c r="H13" s="124">
        <f t="shared" si="0"/>
        <v>1927.21</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2795.51</v>
      </c>
      <c r="E15" s="95">
        <f>'DOE25'!H16</f>
        <v>0</v>
      </c>
      <c r="F15" s="95">
        <f>'DOE25'!I16</f>
        <v>0</v>
      </c>
      <c r="G15" s="24" t="s">
        <v>288</v>
      </c>
      <c r="H15" s="124">
        <f t="shared" si="0"/>
        <v>2795.51</v>
      </c>
      <c r="I15" s="124"/>
    </row>
    <row r="16" spans="1:9" x14ac:dyDescent="0.2">
      <c r="A16" s="1" t="s">
        <v>147</v>
      </c>
      <c r="B16" s="6">
        <v>180</v>
      </c>
      <c r="C16" s="95">
        <f>'DOE25'!F17</f>
        <v>1356</v>
      </c>
      <c r="D16" s="95">
        <f>'DOE25'!G17</f>
        <v>0</v>
      </c>
      <c r="E16" s="95">
        <f>'DOE25'!H17</f>
        <v>0</v>
      </c>
      <c r="F16" s="95">
        <f>'DOE25'!I17</f>
        <v>0</v>
      </c>
      <c r="G16" s="95">
        <f>'DOE25'!J17</f>
        <v>0</v>
      </c>
      <c r="H16" s="124">
        <f t="shared" si="0"/>
        <v>1356</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537696.52999999991</v>
      </c>
      <c r="D18" s="41">
        <f>SUM(D8:D17)</f>
        <v>35896.82</v>
      </c>
      <c r="E18" s="41">
        <f>SUM(E8:E17)</f>
        <v>118873.92</v>
      </c>
      <c r="F18" s="41">
        <f>SUM(F8:F17)</f>
        <v>0</v>
      </c>
      <c r="G18" s="41">
        <f>SUM(G8:G17)</f>
        <v>550615.06000000006</v>
      </c>
      <c r="H18" s="41">
        <f t="shared" si="0"/>
        <v>1243082.33</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72369.05</v>
      </c>
      <c r="F21" s="95">
        <f>'DOE25'!I22</f>
        <v>0</v>
      </c>
      <c r="G21" s="95">
        <f>'DOE25'!J22</f>
        <v>0</v>
      </c>
      <c r="H21" s="124">
        <f t="shared" ref="H21:H31" si="1">SUM(C21:G21)</f>
        <v>72369.05</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27435.75</v>
      </c>
      <c r="D23" s="95">
        <f>'DOE25'!G24</f>
        <v>5165.8900000000003</v>
      </c>
      <c r="E23" s="95">
        <f>'DOE25'!H24</f>
        <v>43869.4</v>
      </c>
      <c r="F23" s="95">
        <f>'DOE25'!I24</f>
        <v>0</v>
      </c>
      <c r="G23" s="95">
        <f>'DOE25'!J24</f>
        <v>0</v>
      </c>
      <c r="H23" s="124">
        <f t="shared" si="1"/>
        <v>76471.040000000008</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2694.91</v>
      </c>
      <c r="D27" s="95">
        <f>'DOE25'!G28</f>
        <v>0</v>
      </c>
      <c r="E27" s="95">
        <f>'DOE25'!H28</f>
        <v>0</v>
      </c>
      <c r="F27" s="95">
        <f>'DOE25'!I28</f>
        <v>0</v>
      </c>
      <c r="G27" s="24" t="s">
        <v>288</v>
      </c>
      <c r="H27" s="124">
        <f t="shared" si="1"/>
        <v>2694.91</v>
      </c>
      <c r="I27" s="124"/>
    </row>
    <row r="28" spans="1:9" x14ac:dyDescent="0.2">
      <c r="A28" s="1" t="s">
        <v>157</v>
      </c>
      <c r="B28" s="6">
        <v>470</v>
      </c>
      <c r="C28" s="95">
        <f>'DOE25'!F29</f>
        <v>3884.64</v>
      </c>
      <c r="D28" s="95">
        <f>'DOE25'!G29</f>
        <v>0</v>
      </c>
      <c r="E28" s="95">
        <f>'DOE25'!H29</f>
        <v>0</v>
      </c>
      <c r="F28" s="95">
        <f>'DOE25'!I29</f>
        <v>0</v>
      </c>
      <c r="G28" s="24" t="s">
        <v>288</v>
      </c>
      <c r="H28" s="124">
        <f t="shared" si="1"/>
        <v>3884.64</v>
      </c>
      <c r="I28" s="124"/>
    </row>
    <row r="29" spans="1:9" x14ac:dyDescent="0.2">
      <c r="A29" s="1" t="s">
        <v>158</v>
      </c>
      <c r="B29" s="6">
        <v>480</v>
      </c>
      <c r="C29" s="95">
        <f>'DOE25'!F30</f>
        <v>0</v>
      </c>
      <c r="D29" s="95">
        <f>'DOE25'!G30</f>
        <v>3345.94</v>
      </c>
      <c r="E29" s="95">
        <f>'DOE25'!H30</f>
        <v>2635.47</v>
      </c>
      <c r="F29" s="95">
        <f>'DOE25'!I30</f>
        <v>0</v>
      </c>
      <c r="G29" s="24" t="s">
        <v>288</v>
      </c>
      <c r="H29" s="124">
        <f t="shared" si="1"/>
        <v>5981.41</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34015.300000000003</v>
      </c>
      <c r="D31" s="41">
        <f>SUM(D21:D30)</f>
        <v>8511.83</v>
      </c>
      <c r="E31" s="41">
        <f>SUM(E21:E30)</f>
        <v>118873.92000000001</v>
      </c>
      <c r="F31" s="41">
        <f>SUM(F21:F30)</f>
        <v>0</v>
      </c>
      <c r="G31" s="41">
        <f>SUM(G21:G30)</f>
        <v>0</v>
      </c>
      <c r="H31" s="41">
        <f t="shared" si="1"/>
        <v>161401.05000000002</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2795.51</v>
      </c>
      <c r="E34" s="95">
        <f>'DOE25'!H35</f>
        <v>0</v>
      </c>
      <c r="F34" s="95">
        <f>'DOE25'!I35</f>
        <v>0</v>
      </c>
      <c r="G34" s="24" t="s">
        <v>288</v>
      </c>
      <c r="H34" s="124">
        <f t="shared" ref="H34:H51" si="2">SUM(C34:G34)</f>
        <v>2795.51</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105530</v>
      </c>
      <c r="D45" s="24" t="s">
        <v>288</v>
      </c>
      <c r="E45" s="24" t="s">
        <v>288</v>
      </c>
      <c r="F45" s="24" t="s">
        <v>288</v>
      </c>
      <c r="G45" s="24" t="s">
        <v>288</v>
      </c>
      <c r="H45" s="124">
        <f t="shared" si="2"/>
        <v>105530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24589.48</v>
      </c>
      <c r="E47" s="95">
        <f>'DOE25'!H48</f>
        <v>0</v>
      </c>
      <c r="F47" s="95">
        <f>'DOE25'!I48</f>
        <v>0</v>
      </c>
      <c r="G47" s="95">
        <f>'DOE25'!J48</f>
        <v>550615.06000000006</v>
      </c>
      <c r="H47" s="124">
        <f t="shared" si="2"/>
        <v>575204.54</v>
      </c>
      <c r="I47" s="124"/>
    </row>
    <row r="48" spans="1:9" x14ac:dyDescent="0.2">
      <c r="A48" s="1" t="s">
        <v>882</v>
      </c>
      <c r="B48" s="6">
        <v>753</v>
      </c>
      <c r="C48" s="95">
        <f>'DOE25'!F49</f>
        <v>4731.33</v>
      </c>
      <c r="D48" s="95" t="str">
        <f>'DOE25'!G49</f>
        <v xml:space="preserve"> </v>
      </c>
      <c r="E48" s="95">
        <f>'DOE25'!H49</f>
        <v>0</v>
      </c>
      <c r="F48" s="95">
        <f>'DOE25'!I49</f>
        <v>0</v>
      </c>
      <c r="G48" s="95">
        <f>'DOE25'!J49</f>
        <v>0</v>
      </c>
      <c r="H48" s="124">
        <f t="shared" si="2"/>
        <v>4731.33</v>
      </c>
      <c r="I48" s="124"/>
    </row>
    <row r="49" spans="1:9" ht="12" thickBot="1" x14ac:dyDescent="0.25">
      <c r="A49" s="29" t="s">
        <v>883</v>
      </c>
      <c r="B49" s="71">
        <v>770</v>
      </c>
      <c r="C49" s="95">
        <f>'DOE25'!F50</f>
        <v>393419.89999999997</v>
      </c>
      <c r="D49" s="24" t="s">
        <v>288</v>
      </c>
      <c r="E49" s="24" t="s">
        <v>288</v>
      </c>
      <c r="F49" s="24" t="s">
        <v>288</v>
      </c>
      <c r="G49" s="24" t="s">
        <v>288</v>
      </c>
      <c r="H49" s="124">
        <f t="shared" si="2"/>
        <v>393419.89999999997</v>
      </c>
      <c r="I49" s="124"/>
    </row>
    <row r="50" spans="1:9" ht="12.75" thickTop="1" thickBot="1" x14ac:dyDescent="0.25">
      <c r="A50" s="38" t="s">
        <v>884</v>
      </c>
      <c r="B50" s="48"/>
      <c r="C50" s="41">
        <f>SUM(C34:C49)</f>
        <v>503681.23</v>
      </c>
      <c r="D50" s="41">
        <f>SUM(D34:D49)</f>
        <v>27384.989999999998</v>
      </c>
      <c r="E50" s="41">
        <f>SUM(E34:E49)</f>
        <v>0</v>
      </c>
      <c r="F50" s="41">
        <f>SUM(F34:F49)</f>
        <v>0</v>
      </c>
      <c r="G50" s="41">
        <f>SUM(G34:G49)</f>
        <v>550615.06000000006</v>
      </c>
      <c r="H50" s="41">
        <f t="shared" si="2"/>
        <v>1081681.28</v>
      </c>
      <c r="I50" s="124"/>
    </row>
    <row r="51" spans="1:9" ht="12" thickTop="1" x14ac:dyDescent="0.2">
      <c r="A51" s="38" t="s">
        <v>885</v>
      </c>
      <c r="B51" s="2"/>
      <c r="C51" s="41">
        <f>C50+C31</f>
        <v>537696.53</v>
      </c>
      <c r="D51" s="41">
        <f>D50+D31</f>
        <v>35896.82</v>
      </c>
      <c r="E51" s="41">
        <f>E50+E31</f>
        <v>118873.92000000001</v>
      </c>
      <c r="F51" s="41">
        <f>F50+F31</f>
        <v>0</v>
      </c>
      <c r="G51" s="41">
        <f>G50+G31</f>
        <v>550615.06000000006</v>
      </c>
      <c r="H51" s="41">
        <f t="shared" si="2"/>
        <v>1243082.33</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1533782</v>
      </c>
      <c r="D56" s="95">
        <f>'DOE25'!G60</f>
        <v>0</v>
      </c>
      <c r="E56" s="95">
        <f>'DOE25'!H60</f>
        <v>0</v>
      </c>
      <c r="F56" s="95">
        <f>'DOE25'!I60</f>
        <v>0</v>
      </c>
      <c r="G56" s="95">
        <f>'DOE25'!J60</f>
        <v>0</v>
      </c>
      <c r="H56" s="124">
        <f t="shared" ref="H56:H63" si="3">SUM(C56:G56)</f>
        <v>1533782</v>
      </c>
      <c r="I56"/>
    </row>
    <row r="57" spans="1:9" x14ac:dyDescent="0.2">
      <c r="A57" s="1" t="s">
        <v>164</v>
      </c>
      <c r="B57" s="6" t="s">
        <v>165</v>
      </c>
      <c r="C57" s="95">
        <f>'DOE25'!F79</f>
        <v>556157.24</v>
      </c>
      <c r="D57" s="24" t="s">
        <v>288</v>
      </c>
      <c r="E57" s="95">
        <f>'DOE25'!H79</f>
        <v>0</v>
      </c>
      <c r="F57" s="24" t="s">
        <v>288</v>
      </c>
      <c r="G57" s="24" t="s">
        <v>288</v>
      </c>
      <c r="H57" s="124">
        <f t="shared" si="3"/>
        <v>556157.24</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0</v>
      </c>
      <c r="D59" s="95">
        <f>'DOE25'!G96</f>
        <v>0</v>
      </c>
      <c r="E59" s="95">
        <f>'DOE25'!H96</f>
        <v>0</v>
      </c>
      <c r="F59" s="95">
        <f>'DOE25'!I96</f>
        <v>0</v>
      </c>
      <c r="G59" s="95">
        <f>'DOE25'!J96</f>
        <v>1080.3399999999999</v>
      </c>
      <c r="H59" s="124">
        <f t="shared" si="3"/>
        <v>1080.3399999999999</v>
      </c>
      <c r="I59"/>
    </row>
    <row r="60" spans="1:9" x14ac:dyDescent="0.2">
      <c r="A60" s="1" t="s">
        <v>170</v>
      </c>
      <c r="B60" s="118" t="s">
        <v>171</v>
      </c>
      <c r="C60" s="24" t="s">
        <v>288</v>
      </c>
      <c r="D60" s="95">
        <f>'DOE25'!G97</f>
        <v>3882.25</v>
      </c>
      <c r="E60" s="24" t="s">
        <v>288</v>
      </c>
      <c r="F60" s="24" t="s">
        <v>288</v>
      </c>
      <c r="G60" s="24" t="s">
        <v>288</v>
      </c>
      <c r="H60" s="124">
        <f t="shared" si="3"/>
        <v>3882.25</v>
      </c>
      <c r="I60"/>
    </row>
    <row r="61" spans="1:9" ht="12" thickBot="1" x14ac:dyDescent="0.25">
      <c r="A61" s="1" t="s">
        <v>172</v>
      </c>
      <c r="B61" s="118" t="s">
        <v>173</v>
      </c>
      <c r="C61" s="95">
        <f>SUM('DOE25'!F98:F110)</f>
        <v>134865.38</v>
      </c>
      <c r="D61" s="95">
        <f>SUM('DOE25'!G98:G110)</f>
        <v>0</v>
      </c>
      <c r="E61" s="95">
        <f>SUM('DOE25'!H98:H110)</f>
        <v>5835.49</v>
      </c>
      <c r="F61" s="95">
        <f>SUM('DOE25'!I98:I110)</f>
        <v>0</v>
      </c>
      <c r="G61" s="95">
        <f>SUM('DOE25'!J98:J110)</f>
        <v>0</v>
      </c>
      <c r="H61" s="124">
        <f t="shared" si="3"/>
        <v>140700.87</v>
      </c>
      <c r="I61"/>
    </row>
    <row r="62" spans="1:9" ht="12.75" thickTop="1" thickBot="1" x14ac:dyDescent="0.25">
      <c r="A62" s="29" t="s">
        <v>174</v>
      </c>
      <c r="B62" s="6"/>
      <c r="C62" s="130">
        <f>SUM(C57:C61)</f>
        <v>691022.62</v>
      </c>
      <c r="D62" s="130">
        <f>SUM(D57:D61)</f>
        <v>3882.25</v>
      </c>
      <c r="E62" s="130">
        <f>SUM(E57:E61)</f>
        <v>5835.49</v>
      </c>
      <c r="F62" s="130">
        <f>SUM(F57:F61)</f>
        <v>0</v>
      </c>
      <c r="G62" s="130">
        <f>SUM(G57:G61)</f>
        <v>1080.3399999999999</v>
      </c>
      <c r="H62" s="124">
        <f t="shared" si="3"/>
        <v>701820.7</v>
      </c>
      <c r="I62"/>
    </row>
    <row r="63" spans="1:9" ht="12" thickTop="1" x14ac:dyDescent="0.2">
      <c r="A63" s="29" t="s">
        <v>175</v>
      </c>
      <c r="B63" s="6"/>
      <c r="C63" s="22">
        <f>C56+C62</f>
        <v>2224804.62</v>
      </c>
      <c r="D63" s="22">
        <f>D56+D62</f>
        <v>3882.25</v>
      </c>
      <c r="E63" s="22">
        <f>E56+E62</f>
        <v>5835.49</v>
      </c>
      <c r="F63" s="22">
        <f>F56+F62</f>
        <v>0</v>
      </c>
      <c r="G63" s="22">
        <f>G56+G62</f>
        <v>1080.3399999999999</v>
      </c>
      <c r="H63" s="124">
        <f t="shared" si="3"/>
        <v>2235602.7000000002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576820</v>
      </c>
      <c r="D67" s="24"/>
      <c r="E67" s="24"/>
      <c r="F67" s="24"/>
      <c r="G67" s="24"/>
      <c r="H67" s="124">
        <f t="shared" si="4"/>
        <v>576820</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576820</v>
      </c>
      <c r="D70" s="139">
        <f>D69</f>
        <v>0</v>
      </c>
      <c r="E70" s="139">
        <f>E69</f>
        <v>0</v>
      </c>
      <c r="F70" s="139">
        <f>F69</f>
        <v>0</v>
      </c>
      <c r="G70" s="139">
        <f>G69</f>
        <v>0</v>
      </c>
      <c r="H70" s="124">
        <f t="shared" si="4"/>
        <v>576820</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3726.37</v>
      </c>
      <c r="D76" s="24" t="s">
        <v>288</v>
      </c>
      <c r="E76" s="95">
        <f>SUM('DOE25'!H127:H130)</f>
        <v>0</v>
      </c>
      <c r="F76" s="95">
        <f>SUM('DOE25'!I127:I130)</f>
        <v>0</v>
      </c>
      <c r="G76" s="24" t="s">
        <v>288</v>
      </c>
      <c r="H76" s="124">
        <f t="shared" si="4"/>
        <v>3726.37</v>
      </c>
      <c r="I76"/>
    </row>
    <row r="77" spans="1:9" ht="12" thickBot="1" x14ac:dyDescent="0.25">
      <c r="A77" s="1" t="s">
        <v>258</v>
      </c>
      <c r="B77" s="6" t="s">
        <v>180</v>
      </c>
      <c r="C77" s="95">
        <f>SUM('DOE25'!F131:F135)</f>
        <v>0</v>
      </c>
      <c r="D77" s="95">
        <f>SUM('DOE25'!G131:G135)</f>
        <v>10160.33</v>
      </c>
      <c r="E77" s="95">
        <f>SUM('DOE25'!H131:H135)</f>
        <v>0</v>
      </c>
      <c r="F77" s="95">
        <f>SUM('DOE25'!I131:I135)</f>
        <v>0</v>
      </c>
      <c r="G77" s="95">
        <f>SUM('DOE25'!J131:J135)</f>
        <v>0</v>
      </c>
      <c r="H77" s="124">
        <f t="shared" si="4"/>
        <v>10160.33</v>
      </c>
      <c r="I77"/>
    </row>
    <row r="78" spans="1:9" ht="12.75" thickTop="1" thickBot="1" x14ac:dyDescent="0.25">
      <c r="A78" s="29" t="s">
        <v>259</v>
      </c>
      <c r="B78" s="6"/>
      <c r="C78" s="130">
        <f>SUM(C72:C77)</f>
        <v>3726.37</v>
      </c>
      <c r="D78" s="130">
        <f>SUM(D72:D77)</f>
        <v>10160.33</v>
      </c>
      <c r="E78" s="130">
        <f>SUM(E72:E77)</f>
        <v>0</v>
      </c>
      <c r="F78" s="130">
        <f>SUM(F72:F77)</f>
        <v>0</v>
      </c>
      <c r="G78" s="130">
        <f>SUM(G72:G77)</f>
        <v>0</v>
      </c>
      <c r="H78" s="124">
        <f t="shared" si="4"/>
        <v>13886.7</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580546.37</v>
      </c>
      <c r="D81" s="130">
        <f>SUM(D79:D80)+D78+D70</f>
        <v>10160.33</v>
      </c>
      <c r="E81" s="130">
        <f>SUM(E79:E80)+E78+E70</f>
        <v>0</v>
      </c>
      <c r="F81" s="130">
        <f>SUM(F79:F80)+F78+F70</f>
        <v>0</v>
      </c>
      <c r="G81" s="130">
        <f>SUM(G79:G80)+G78+G70</f>
        <v>0</v>
      </c>
      <c r="H81" s="130">
        <f t="shared" si="4"/>
        <v>590706.69999999995</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51922.02</v>
      </c>
      <c r="E88" s="326">
        <f>SUM('DOE25'!H153:H162)</f>
        <v>223491.62</v>
      </c>
      <c r="F88" s="326">
        <f>SUM('DOE25'!I153:I162)</f>
        <v>0</v>
      </c>
      <c r="G88" s="24" t="s">
        <v>288</v>
      </c>
      <c r="H88" s="124">
        <f t="shared" si="5"/>
        <v>275413.64</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0</v>
      </c>
      <c r="D91" s="131">
        <f>SUM(D85:D90)</f>
        <v>51922.02</v>
      </c>
      <c r="E91" s="131">
        <f>SUM(E85:E90)</f>
        <v>223491.62</v>
      </c>
      <c r="F91" s="131">
        <f>SUM(F85:F90)</f>
        <v>0</v>
      </c>
      <c r="G91" s="24" t="s">
        <v>288</v>
      </c>
      <c r="H91" s="124">
        <f t="shared" si="5"/>
        <v>275413.64</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20000</v>
      </c>
      <c r="E96" s="95">
        <f>'DOE25'!H180</f>
        <v>0</v>
      </c>
      <c r="F96" s="95">
        <f>'DOE25'!I180</f>
        <v>0</v>
      </c>
      <c r="G96" s="95">
        <f>'DOE25'!J180</f>
        <v>35000</v>
      </c>
      <c r="H96" s="124">
        <f t="shared" si="5"/>
        <v>55000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20000</v>
      </c>
      <c r="E103" s="86">
        <f>SUM(E93:E102)</f>
        <v>0</v>
      </c>
      <c r="F103" s="86">
        <f>SUM(F93:F102)</f>
        <v>0</v>
      </c>
      <c r="G103" s="86">
        <f>SUM(G93:G102)</f>
        <v>35000</v>
      </c>
      <c r="H103" s="86">
        <f t="shared" si="5"/>
        <v>55000</v>
      </c>
    </row>
    <row r="104" spans="1:8" ht="12.75" thickTop="1" thickBot="1" x14ac:dyDescent="0.25">
      <c r="A104" s="33" t="s">
        <v>761</v>
      </c>
      <c r="C104" s="86">
        <f>C63+C81+C91+C103</f>
        <v>2805350.99</v>
      </c>
      <c r="D104" s="86">
        <f>D63+D81+D91+D103</f>
        <v>85964.599999999991</v>
      </c>
      <c r="E104" s="86">
        <f>E63+E81+E91+E103</f>
        <v>229327.11</v>
      </c>
      <c r="F104" s="86">
        <f>F63+F81+F91+F103</f>
        <v>0</v>
      </c>
      <c r="G104" s="86">
        <f>G63+G81+G103</f>
        <v>36080.339999999997</v>
      </c>
      <c r="H104" s="86">
        <f t="shared" si="5"/>
        <v>3156723.04</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1220731.8599999999</v>
      </c>
      <c r="D109" s="24" t="s">
        <v>288</v>
      </c>
      <c r="E109" s="95">
        <f>('DOE25'!L277)+('DOE25'!L296)+('DOE25'!L315)</f>
        <v>83772.81</v>
      </c>
      <c r="F109" s="24" t="s">
        <v>288</v>
      </c>
      <c r="G109" s="24" t="s">
        <v>288</v>
      </c>
      <c r="H109" s="124">
        <f t="shared" ref="H109:H115" si="6">SUM(C109:G109)</f>
        <v>1304504.67</v>
      </c>
    </row>
    <row r="110" spans="1:8" x14ac:dyDescent="0.2">
      <c r="A110" t="s">
        <v>198</v>
      </c>
      <c r="B110" s="32" t="s">
        <v>199</v>
      </c>
      <c r="C110" s="95">
        <f>('DOE25'!L199)+('DOE25'!L217)+('DOE25'!L235)</f>
        <v>162811.45000000001</v>
      </c>
      <c r="D110" s="24" t="s">
        <v>288</v>
      </c>
      <c r="E110" s="95">
        <f>('DOE25'!L278)+('DOE25'!L297)+('DOE25'!L316)</f>
        <v>0</v>
      </c>
      <c r="F110" s="24" t="s">
        <v>288</v>
      </c>
      <c r="G110" s="24" t="s">
        <v>288</v>
      </c>
      <c r="H110" s="124">
        <f t="shared" si="6"/>
        <v>162811.45000000001</v>
      </c>
    </row>
    <row r="111" spans="1:8" x14ac:dyDescent="0.2">
      <c r="A111" t="s">
        <v>200</v>
      </c>
      <c r="B111" s="32" t="s">
        <v>165</v>
      </c>
      <c r="C111" s="95">
        <f>('DOE25'!L200)+('DOE25'!L218)+('DOE25'!L236)</f>
        <v>10000</v>
      </c>
      <c r="D111" s="24" t="s">
        <v>288</v>
      </c>
      <c r="E111" s="95">
        <f>('DOE25'!L279)+('DOE25'!L298)+('DOE25'!L317)</f>
        <v>0</v>
      </c>
      <c r="F111" s="24" t="s">
        <v>288</v>
      </c>
      <c r="G111" s="24" t="s">
        <v>288</v>
      </c>
      <c r="H111" s="124">
        <f t="shared" si="6"/>
        <v>10000</v>
      </c>
    </row>
    <row r="112" spans="1:8" x14ac:dyDescent="0.2">
      <c r="A112" t="s">
        <v>201</v>
      </c>
      <c r="B112" s="32" t="s">
        <v>167</v>
      </c>
      <c r="C112" s="95">
        <f>('DOE25'!L201)+('DOE25'!L219)+('DOE25'!L237)</f>
        <v>102648.41</v>
      </c>
      <c r="D112" s="24" t="s">
        <v>288</v>
      </c>
      <c r="E112" s="95">
        <f>+('DOE25'!L280)+('DOE25'!L299)+('DOE25'!L318)</f>
        <v>4004.49</v>
      </c>
      <c r="F112" s="24" t="s">
        <v>288</v>
      </c>
      <c r="G112" s="24" t="s">
        <v>288</v>
      </c>
      <c r="H112" s="124">
        <f t="shared" si="6"/>
        <v>106652.90000000001</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1496191.7199999997</v>
      </c>
      <c r="D115" s="86">
        <f>SUM(D109:D114)</f>
        <v>0</v>
      </c>
      <c r="E115" s="86">
        <f>SUM(E109:E114)</f>
        <v>87777.3</v>
      </c>
      <c r="F115" s="86">
        <f>SUM(F109:F114)</f>
        <v>0</v>
      </c>
      <c r="G115" s="86">
        <f>SUM(G109:G114)</f>
        <v>0</v>
      </c>
      <c r="H115" s="86">
        <f t="shared" si="6"/>
        <v>1583969.0199999998</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235940.06</v>
      </c>
      <c r="D118" s="24" t="s">
        <v>288</v>
      </c>
      <c r="E118" s="95">
        <f>+('DOE25'!L282)+('DOE25'!L301)+('DOE25'!L320)</f>
        <v>50170.51</v>
      </c>
      <c r="F118" s="24" t="s">
        <v>288</v>
      </c>
      <c r="G118" s="24" t="s">
        <v>288</v>
      </c>
      <c r="H118" s="124">
        <f t="shared" ref="H118:H145" si="7">SUM(C118:G118)</f>
        <v>286110.57</v>
      </c>
    </row>
    <row r="119" spans="1:8" x14ac:dyDescent="0.2">
      <c r="A119" t="s">
        <v>208</v>
      </c>
      <c r="B119" s="32" t="s">
        <v>209</v>
      </c>
      <c r="C119" s="95">
        <f>('DOE25'!L204)+('DOE25'!L222)+('DOE25'!L240)</f>
        <v>57705.369999999995</v>
      </c>
      <c r="D119" s="24" t="s">
        <v>288</v>
      </c>
      <c r="E119" s="95">
        <f>+('DOE25'!L283)+('DOE25'!L302)+('DOE25'!L321)</f>
        <v>85755.29</v>
      </c>
      <c r="F119" s="24" t="s">
        <v>288</v>
      </c>
      <c r="G119" s="24" t="s">
        <v>288</v>
      </c>
      <c r="H119" s="124">
        <f t="shared" si="7"/>
        <v>143460.65999999997</v>
      </c>
    </row>
    <row r="120" spans="1:8" x14ac:dyDescent="0.2">
      <c r="A120" t="s">
        <v>210</v>
      </c>
      <c r="B120" s="32" t="s">
        <v>211</v>
      </c>
      <c r="C120" s="95">
        <f>('DOE25'!L205)+('DOE25'!L223)+('DOE25'!L241)</f>
        <v>350164.71</v>
      </c>
      <c r="D120" s="24" t="s">
        <v>288</v>
      </c>
      <c r="E120" s="95">
        <f>+('DOE25'!L284)+('DOE25'!L303)+('DOE25'!L322)</f>
        <v>1698.1299999999999</v>
      </c>
      <c r="F120" s="24" t="s">
        <v>288</v>
      </c>
      <c r="G120" s="24" t="s">
        <v>288</v>
      </c>
      <c r="H120" s="124">
        <f t="shared" si="7"/>
        <v>351862.84</v>
      </c>
    </row>
    <row r="121" spans="1:8" x14ac:dyDescent="0.2">
      <c r="A121" t="s">
        <v>212</v>
      </c>
      <c r="B121" s="32" t="s">
        <v>213</v>
      </c>
      <c r="C121" s="95">
        <f>('DOE25'!L206)+('DOE25'!L224)+('DOE25'!L242)</f>
        <v>209883.68</v>
      </c>
      <c r="D121" s="24" t="s">
        <v>288</v>
      </c>
      <c r="E121" s="95">
        <f>+('DOE25'!L285)+('DOE25'!L304)+('DOE25'!L323)</f>
        <v>840</v>
      </c>
      <c r="F121" s="24" t="s">
        <v>288</v>
      </c>
      <c r="G121" s="24" t="s">
        <v>288</v>
      </c>
      <c r="H121" s="124">
        <f t="shared" si="7"/>
        <v>210723.68</v>
      </c>
    </row>
    <row r="122" spans="1:8" x14ac:dyDescent="0.2">
      <c r="A122" t="s">
        <v>214</v>
      </c>
      <c r="B122" s="32" t="s">
        <v>215</v>
      </c>
      <c r="C122" s="95">
        <f>('DOE25'!L207)+('DOE25'!L225)+('DOE25'!L243)</f>
        <v>0</v>
      </c>
      <c r="D122" s="24" t="s">
        <v>288</v>
      </c>
      <c r="E122" s="95">
        <f>+('DOE25'!L286)+('DOE25'!L305)+('DOE25'!L324)</f>
        <v>377.78</v>
      </c>
      <c r="F122" s="24" t="s">
        <v>288</v>
      </c>
      <c r="G122" s="24" t="s">
        <v>288</v>
      </c>
      <c r="H122" s="124">
        <f t="shared" si="7"/>
        <v>377.78</v>
      </c>
    </row>
    <row r="123" spans="1:8" x14ac:dyDescent="0.2">
      <c r="A123" t="s">
        <v>216</v>
      </c>
      <c r="B123" s="32" t="s">
        <v>217</v>
      </c>
      <c r="C123" s="95">
        <f>('DOE25'!L208)+('DOE25'!L226)+('DOE25'!L244)</f>
        <v>413726.91000000003</v>
      </c>
      <c r="D123" s="24" t="s">
        <v>288</v>
      </c>
      <c r="E123" s="95">
        <f>+('DOE25'!L287)+('DOE25'!L306)+('DOE25'!L325)</f>
        <v>0</v>
      </c>
      <c r="F123" s="24" t="s">
        <v>288</v>
      </c>
      <c r="G123" s="24" t="s">
        <v>288</v>
      </c>
      <c r="H123" s="124">
        <f t="shared" si="7"/>
        <v>413726.91000000003</v>
      </c>
    </row>
    <row r="124" spans="1:8" x14ac:dyDescent="0.2">
      <c r="A124" t="s">
        <v>218</v>
      </c>
      <c r="B124" s="32" t="s">
        <v>219</v>
      </c>
      <c r="C124" s="95">
        <f>('DOE25'!L209)+('DOE25'!L227)+('DOE25'!L245+'DOE25'!L255)</f>
        <v>80027.12</v>
      </c>
      <c r="D124" s="24" t="s">
        <v>288</v>
      </c>
      <c r="E124" s="95">
        <f>+('DOE25'!L288)+('DOE25'!L307)+('DOE25'!L326)</f>
        <v>0</v>
      </c>
      <c r="F124" s="24" t="s">
        <v>288</v>
      </c>
      <c r="G124" s="24" t="s">
        <v>288</v>
      </c>
      <c r="H124" s="124">
        <f t="shared" si="7"/>
        <v>80027.12</v>
      </c>
    </row>
    <row r="125" spans="1:8" x14ac:dyDescent="0.2">
      <c r="A125" t="s">
        <v>220</v>
      </c>
      <c r="B125" s="32" t="s">
        <v>221</v>
      </c>
      <c r="C125" s="95">
        <f>('DOE25'!L210)+('DOE25'!L228)+('DOE25'!L246)</f>
        <v>5789.55</v>
      </c>
      <c r="D125" s="24" t="s">
        <v>288</v>
      </c>
      <c r="E125" s="95">
        <f>+('DOE25'!L289)+('DOE25'!L308)+('DOE25'!L327)</f>
        <v>0</v>
      </c>
      <c r="F125" s="24" t="s">
        <v>288</v>
      </c>
      <c r="G125" s="24" t="s">
        <v>288</v>
      </c>
      <c r="H125" s="124">
        <f t="shared" si="7"/>
        <v>5789.55</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77412.329999999987</v>
      </c>
      <c r="E127" s="24" t="s">
        <v>288</v>
      </c>
      <c r="F127" s="24" t="s">
        <v>288</v>
      </c>
      <c r="G127" s="24" t="s">
        <v>288</v>
      </c>
      <c r="H127" s="124">
        <f t="shared" si="7"/>
        <v>77412.329999999987</v>
      </c>
    </row>
    <row r="128" spans="1:8" ht="12.75" thickTop="1" thickBot="1" x14ac:dyDescent="0.25">
      <c r="A128" s="33" t="s">
        <v>226</v>
      </c>
      <c r="C128" s="86">
        <f>SUM(C118:C127)</f>
        <v>1353237.4000000001</v>
      </c>
      <c r="D128" s="86">
        <f>SUM(D118:D127)</f>
        <v>77412.329999999987</v>
      </c>
      <c r="E128" s="86">
        <f>SUM(E118:E127)</f>
        <v>138841.71</v>
      </c>
      <c r="F128" s="86">
        <f>SUM(F118:F127)</f>
        <v>0</v>
      </c>
      <c r="G128" s="86">
        <f>SUM(G118:G127)</f>
        <v>0</v>
      </c>
      <c r="H128" s="86">
        <f t="shared" si="7"/>
        <v>1569491.4400000002</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2708.1</v>
      </c>
      <c r="F130" s="129">
        <f>SUM('DOE25'!L375:'DOE25'!L381)</f>
        <v>0</v>
      </c>
      <c r="G130" s="24" t="s">
        <v>288</v>
      </c>
      <c r="H130" s="124">
        <f t="shared" si="7"/>
        <v>2708.1</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20000</v>
      </c>
      <c r="D135" s="24" t="s">
        <v>288</v>
      </c>
      <c r="E135" s="129">
        <f>'DOE25'!L346</f>
        <v>0</v>
      </c>
      <c r="F135" s="24" t="s">
        <v>288</v>
      </c>
      <c r="G135" s="24" t="s">
        <v>288</v>
      </c>
      <c r="H135" s="124">
        <f t="shared" si="7"/>
        <v>20000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36080.340000000004</v>
      </c>
      <c r="D139" s="24" t="s">
        <v>288</v>
      </c>
      <c r="E139" s="24" t="s">
        <v>288</v>
      </c>
      <c r="F139" s="24" t="s">
        <v>288</v>
      </c>
      <c r="G139" s="24" t="s">
        <v>288</v>
      </c>
      <c r="H139" s="124">
        <f t="shared" si="7"/>
        <v>36080.340000000004</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-1080.3400000000038</v>
      </c>
      <c r="D141" s="24" t="s">
        <v>288</v>
      </c>
      <c r="E141" s="24" t="s">
        <v>288</v>
      </c>
      <c r="F141" s="24" t="s">
        <v>288</v>
      </c>
      <c r="G141" s="24" t="s">
        <v>288</v>
      </c>
      <c r="H141" s="124">
        <f t="shared" si="7"/>
        <v>-1080.3400000000038</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55000</v>
      </c>
      <c r="D144" s="141">
        <f>SUM(D130:D143)</f>
        <v>0</v>
      </c>
      <c r="E144" s="141">
        <f>SUM(E130:E143)</f>
        <v>2708.1</v>
      </c>
      <c r="F144" s="141">
        <f>SUM(F130:F143)</f>
        <v>0</v>
      </c>
      <c r="G144" s="141">
        <f>SUM(G130:G143)</f>
        <v>0</v>
      </c>
      <c r="H144" s="141">
        <f t="shared" si="7"/>
        <v>57708.1</v>
      </c>
    </row>
    <row r="145" spans="1:9" ht="12.75" thickTop="1" thickBot="1" x14ac:dyDescent="0.25">
      <c r="A145" s="33" t="s">
        <v>244</v>
      </c>
      <c r="C145" s="86">
        <f>(C115+C128+C144)</f>
        <v>2904429.12</v>
      </c>
      <c r="D145" s="86">
        <f>(D115+D128+D144)</f>
        <v>77412.329999999987</v>
      </c>
      <c r="E145" s="86">
        <f>(E115+E128+E144)</f>
        <v>229327.11000000002</v>
      </c>
      <c r="F145" s="86">
        <f>(F115+F128+F144)</f>
        <v>0</v>
      </c>
      <c r="G145" s="86">
        <f>(G115+G128+G144)</f>
        <v>0</v>
      </c>
      <c r="H145" s="86">
        <f t="shared" si="7"/>
        <v>3211168.56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Pittsburg</v>
      </c>
    </row>
    <row r="3" spans="1:4" x14ac:dyDescent="0.2">
      <c r="B3" s="187" t="s">
        <v>1799</v>
      </c>
    </row>
    <row r="4" spans="1:4" x14ac:dyDescent="0.2">
      <c r="B4" t="s">
        <v>61</v>
      </c>
      <c r="C4" s="178">
        <f>IF('DOE25'!F666+'DOE25'!F671=0,0,ROUND('DOE25'!F673,0))</f>
        <v>40988</v>
      </c>
    </row>
    <row r="5" spans="1:4" x14ac:dyDescent="0.2">
      <c r="B5" t="s">
        <v>700</v>
      </c>
      <c r="C5" s="178">
        <f>IF('DOE25'!G666+'DOE25'!G671=0,0,ROUND('DOE25'!G673,0))</f>
        <v>0</v>
      </c>
    </row>
    <row r="6" spans="1:4" x14ac:dyDescent="0.2">
      <c r="B6" t="s">
        <v>62</v>
      </c>
      <c r="C6" s="178">
        <f>IF('DOE25'!H666+'DOE25'!H671=0,0,ROUND('DOE25'!H673,0))</f>
        <v>35243</v>
      </c>
    </row>
    <row r="7" spans="1:4" x14ac:dyDescent="0.2">
      <c r="B7" t="s">
        <v>701</v>
      </c>
      <c r="C7" s="178">
        <f>IF('DOE25'!I666+'DOE25'!I671=0,0,ROUND('DOE25'!I673,0))</f>
        <v>38525</v>
      </c>
    </row>
    <row r="9" spans="1:4" x14ac:dyDescent="0.2">
      <c r="A9" s="186" t="s">
        <v>94</v>
      </c>
      <c r="B9" s="187" t="s">
        <v>1800</v>
      </c>
      <c r="C9" s="180" t="s">
        <v>720</v>
      </c>
      <c r="D9" s="180" t="s">
        <v>721</v>
      </c>
    </row>
    <row r="10" spans="1:4" x14ac:dyDescent="0.2">
      <c r="A10">
        <v>1100</v>
      </c>
      <c r="B10" t="s">
        <v>702</v>
      </c>
      <c r="C10" s="178">
        <f>ROUND('DOE25'!L198+'DOE25'!L216+'DOE25'!L234+'DOE25'!L277+'DOE25'!L296+'DOE25'!L315,0)</f>
        <v>1304505</v>
      </c>
      <c r="D10" s="181">
        <f>ROUND((C10/$C$28)*100,1)</f>
        <v>41.4</v>
      </c>
    </row>
    <row r="11" spans="1:4" x14ac:dyDescent="0.2">
      <c r="A11">
        <v>1200</v>
      </c>
      <c r="B11" t="s">
        <v>703</v>
      </c>
      <c r="C11" s="178">
        <f>ROUND('DOE25'!L199+'DOE25'!L217+'DOE25'!L235+'DOE25'!L278+'DOE25'!L297+'DOE25'!L316,0)</f>
        <v>162811</v>
      </c>
      <c r="D11" s="181">
        <f>ROUND((C11/$C$28)*100,1)</f>
        <v>5.2</v>
      </c>
    </row>
    <row r="12" spans="1:4" x14ac:dyDescent="0.2">
      <c r="A12">
        <v>1300</v>
      </c>
      <c r="B12" t="s">
        <v>704</v>
      </c>
      <c r="C12" s="178">
        <f>ROUND('DOE25'!L200+'DOE25'!L218+'DOE25'!L236+'DOE25'!L279+'DOE25'!L298+'DOE25'!L317,0)</f>
        <v>10000</v>
      </c>
      <c r="D12" s="181">
        <f>ROUND((C12/$C$28)*100,1)</f>
        <v>0.3</v>
      </c>
    </row>
    <row r="13" spans="1:4" x14ac:dyDescent="0.2">
      <c r="A13">
        <v>1400</v>
      </c>
      <c r="B13" t="s">
        <v>705</v>
      </c>
      <c r="C13" s="178">
        <f>ROUND('DOE25'!L201+'DOE25'!L219+'DOE25'!L237+'DOE25'!L280+'DOE25'!L299+'DOE25'!L318,0)</f>
        <v>106653</v>
      </c>
      <c r="D13" s="181">
        <f>ROUND((C13/$C$28)*100,1)</f>
        <v>3.4</v>
      </c>
    </row>
    <row r="14" spans="1:4" x14ac:dyDescent="0.2">
      <c r="D14" s="181"/>
    </row>
    <row r="15" spans="1:4" x14ac:dyDescent="0.2">
      <c r="A15">
        <v>2100</v>
      </c>
      <c r="B15" t="s">
        <v>706</v>
      </c>
      <c r="C15" s="178">
        <f>ROUND('DOE25'!L203+'DOE25'!L221+'DOE25'!L239+'DOE25'!L282+'DOE25'!L301+'DOE25'!L320,0)</f>
        <v>286111</v>
      </c>
      <c r="D15" s="181">
        <f t="shared" ref="D15:D27" si="0">ROUND((C15/$C$28)*100,1)</f>
        <v>9.1</v>
      </c>
    </row>
    <row r="16" spans="1:4" x14ac:dyDescent="0.2">
      <c r="A16">
        <v>2200</v>
      </c>
      <c r="B16" t="s">
        <v>707</v>
      </c>
      <c r="C16" s="178">
        <f>ROUND('DOE25'!L204+'DOE25'!L222+'DOE25'!L240+'DOE25'!L283+'DOE25'!L302+'DOE25'!L321,0)</f>
        <v>143461</v>
      </c>
      <c r="D16" s="181">
        <f t="shared" si="0"/>
        <v>4.5999999999999996</v>
      </c>
    </row>
    <row r="17" spans="1:4" x14ac:dyDescent="0.2">
      <c r="A17" s="182" t="s">
        <v>723</v>
      </c>
      <c r="B17" t="s">
        <v>738</v>
      </c>
      <c r="C17" s="178">
        <f>ROUND('DOE25'!L205+'DOE25'!L210+'DOE25'!L223+'DOE25'!L228+'DOE25'!L241+'DOE25'!L246+'DOE25'!L284+'DOE25'!L289+'DOE25'!L303+'DOE25'!L308+'DOE25'!L322+'DOE25'!L327,0)</f>
        <v>357652</v>
      </c>
      <c r="D17" s="181">
        <f t="shared" si="0"/>
        <v>11.4</v>
      </c>
    </row>
    <row r="18" spans="1:4" x14ac:dyDescent="0.2">
      <c r="A18">
        <v>2400</v>
      </c>
      <c r="B18" t="s">
        <v>711</v>
      </c>
      <c r="C18" s="178">
        <f>ROUND('DOE25'!L206+'DOE25'!L224+'DOE25'!L242+'DOE25'!L285+'DOE25'!L304+'DOE25'!L323,0)</f>
        <v>210724</v>
      </c>
      <c r="D18" s="181">
        <f t="shared" si="0"/>
        <v>6.7</v>
      </c>
    </row>
    <row r="19" spans="1:4" x14ac:dyDescent="0.2">
      <c r="A19">
        <v>2500</v>
      </c>
      <c r="B19" t="s">
        <v>708</v>
      </c>
      <c r="C19" s="178">
        <f>ROUND('DOE25'!L207+'DOE25'!L225+'DOE25'!L243+'DOE25'!L286+'DOE25'!L305+'DOE25'!L324,0)</f>
        <v>378</v>
      </c>
      <c r="D19" s="181">
        <f t="shared" si="0"/>
        <v>0</v>
      </c>
    </row>
    <row r="20" spans="1:4" x14ac:dyDescent="0.2">
      <c r="A20">
        <v>2600</v>
      </c>
      <c r="B20" t="s">
        <v>709</v>
      </c>
      <c r="C20" s="178">
        <f>ROUND('DOE25'!L208+'DOE25'!L226+'DOE25'!L244+'DOE25'!L287+'DOE25'!L306+'DOE25'!L325,0)</f>
        <v>413727</v>
      </c>
      <c r="D20" s="181">
        <f t="shared" si="0"/>
        <v>13.1</v>
      </c>
    </row>
    <row r="21" spans="1:4" x14ac:dyDescent="0.2">
      <c r="A21">
        <v>2700</v>
      </c>
      <c r="B21" t="s">
        <v>710</v>
      </c>
      <c r="C21" s="178">
        <f>ROUND('DOE25'!L209+'DOE25'!L227+'DOE25'!L245+'DOE25'!L288+'DOE25'!L307+'DOE25'!L326,0)</f>
        <v>80027</v>
      </c>
      <c r="D21" s="181">
        <f t="shared" si="0"/>
        <v>2.5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73529.75</v>
      </c>
      <c r="D27" s="181">
        <f t="shared" si="0"/>
        <v>2.2999999999999998</v>
      </c>
    </row>
    <row r="28" spans="1:4" x14ac:dyDescent="0.2">
      <c r="B28" s="186" t="s">
        <v>719</v>
      </c>
      <c r="C28" s="179">
        <f>SUM(C10:C27)</f>
        <v>3149578.75</v>
      </c>
      <c r="D28" s="183">
        <f>ROUND(SUM(D10:D27),0)</f>
        <v>100</v>
      </c>
    </row>
    <row r="29" spans="1:4" x14ac:dyDescent="0.2">
      <c r="A29">
        <v>4000</v>
      </c>
      <c r="B29" t="s">
        <v>724</v>
      </c>
      <c r="C29" s="178">
        <f>ROUND('DOE25'!L256+'DOE25'!L337+'DOE25'!L375+'DOE25'!L376+'DOE25'!L377+'DOE25'!L378+'DOE25'!L379+'DOE25'!L380+'DOE25'!L381,0)</f>
        <v>2708</v>
      </c>
    </row>
    <row r="30" spans="1:4" x14ac:dyDescent="0.2">
      <c r="B30" s="186" t="s">
        <v>725</v>
      </c>
      <c r="C30" s="179">
        <f>SUM(C28:C29)</f>
        <v>3152286.75</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1533782</v>
      </c>
      <c r="D35" s="181">
        <f t="shared" ref="D35:D40" si="1">ROUND((C35/$C$41)*100,1)</f>
        <v>49.5</v>
      </c>
    </row>
    <row r="36" spans="1:4" x14ac:dyDescent="0.2">
      <c r="B36" s="184" t="s">
        <v>739</v>
      </c>
      <c r="C36" s="178">
        <f>SUM('DOE25'!F112:J112)-SUM('DOE25'!G97:G110)+('DOE25'!F175+'DOE25'!F176+'DOE25'!I175+'DOE25'!I176)-C35</f>
        <v>697938.45000000019</v>
      </c>
      <c r="D36" s="181">
        <f t="shared" si="1"/>
        <v>22.5</v>
      </c>
    </row>
    <row r="37" spans="1:4" x14ac:dyDescent="0.2">
      <c r="A37" s="182" t="s">
        <v>835</v>
      </c>
      <c r="B37" s="184" t="s">
        <v>728</v>
      </c>
      <c r="C37" s="178">
        <f>ROUND('DOE25'!F117+'DOE25'!F118,0)</f>
        <v>576820</v>
      </c>
      <c r="D37" s="181">
        <f t="shared" si="1"/>
        <v>18.600000000000001</v>
      </c>
    </row>
    <row r="38" spans="1:4" x14ac:dyDescent="0.2">
      <c r="A38" s="182" t="s">
        <v>734</v>
      </c>
      <c r="B38" s="184" t="s">
        <v>729</v>
      </c>
      <c r="C38" s="178">
        <f>ROUND(SUM('DOE25'!F140:J140)-SUM('DOE25'!F117:F119),0)</f>
        <v>13887</v>
      </c>
      <c r="D38" s="181">
        <f t="shared" si="1"/>
        <v>0.4</v>
      </c>
    </row>
    <row r="39" spans="1:4" x14ac:dyDescent="0.2">
      <c r="A39">
        <v>4000</v>
      </c>
      <c r="B39" s="184" t="s">
        <v>730</v>
      </c>
      <c r="C39" s="178">
        <f>ROUND('DOE25'!F170+'DOE25'!G170+'DOE25'!H170+'DOE25'!I170,0)</f>
        <v>275414</v>
      </c>
      <c r="D39" s="181">
        <f t="shared" si="1"/>
        <v>8.9</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3097841.45</v>
      </c>
      <c r="D41" s="183">
        <f>SUM(D35:D40)</f>
        <v>99.9</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7" sqref="C7:M7"/>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Pittsburg</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v>19</v>
      </c>
      <c r="B4" s="218">
        <v>1</v>
      </c>
      <c r="C4" s="387" t="s">
        <v>1802</v>
      </c>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v>19</v>
      </c>
      <c r="B5" s="218">
        <v>3</v>
      </c>
      <c r="C5" s="387" t="s">
        <v>1803</v>
      </c>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v>19</v>
      </c>
      <c r="B6" s="218">
        <v>6</v>
      </c>
      <c r="C6" s="387" t="s">
        <v>1804</v>
      </c>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v>19</v>
      </c>
      <c r="B7" s="218">
        <v>3</v>
      </c>
      <c r="C7" s="387" t="s">
        <v>1805</v>
      </c>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240</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73</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f>IF('School Level Expenditures'!$B$2='School Tables'!W76,'School Tables'!AD76,"")</f>
        <v>73</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f>IF('School Level Expenditures'!$B$2=A243,'School Tables'!H243,"")</f>
        <v>240</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2022-09-19T14:31:10Z</cp:lastPrinted>
  <dcterms:created xsi:type="dcterms:W3CDTF">1997-12-04T19:04:30Z</dcterms:created>
  <dcterms:modified xsi:type="dcterms:W3CDTF">2022-12-20T16:05:14Z</dcterms:modified>
</cp:coreProperties>
</file>