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C93B048-2E99-46B3-A18D-1A76FDFB144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13" l="1"/>
  <c r="F15" i="13" l="1"/>
  <c r="F6" i="13"/>
  <c r="E13" i="17" l="1"/>
  <c r="E9" i="17"/>
  <c r="H161" i="1"/>
  <c r="H155" i="1"/>
  <c r="H15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C12" i="10" l="1"/>
  <c r="E13" i="13"/>
  <c r="C13" i="13" s="1"/>
  <c r="I409" i="1"/>
  <c r="E121" i="2"/>
  <c r="A40" i="12"/>
  <c r="G477" i="1"/>
  <c r="G409" i="1"/>
  <c r="H646" i="1" s="1"/>
  <c r="J646" i="1" s="1"/>
  <c r="C13" i="10"/>
  <c r="G662" i="1"/>
  <c r="C120" i="2"/>
  <c r="C112" i="2"/>
  <c r="E119" i="2"/>
  <c r="H409" i="1"/>
  <c r="H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E128" i="2"/>
  <c r="E115" i="2"/>
  <c r="F661" i="1"/>
  <c r="F665" i="1" s="1"/>
  <c r="F668" i="1" s="1"/>
  <c r="F194" i="1"/>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<sst xmlns="http://schemas.openxmlformats.org/spreadsheetml/2006/main" count="6504" uniqueCount="1802">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</sst>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1361</v>
      </c>
      <c r="B2" s="126">
        <f>INDEX('School Tables'!$AH$3:$AH$208,MATCH('DOE25'!A2,'School Tables'!$AJ$3:$AJ$208,0))</f>
        <v>447</v>
      </c>
      <c r="C2" s="126">
        <f>INDEX('School Tables'!$AI$3:$AI$208,MATCH('DOE25'!A2,'School Tables'!$AJ$3:$AJ$208,0))</f>
        <v>447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1322197.33</v>
      </c>
      <c r="G9" s="18">
        <v>21646.18</v>
      </c>
      <c r="H9" s="18">
        <v>-106404.17</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106850.04</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3103.32</v>
      </c>
      <c r="G13" s="18">
        <v>71146</v>
      </c>
      <c r="H13" s="18">
        <v>113955.74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10983.4</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5109.4399999999996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1341393.49</v>
      </c>
      <c r="G19" s="41">
        <f>SUM(G9:G18)</f>
        <v>92792.18</v>
      </c>
      <c r="H19" s="41">
        <f>SUM(H9:H18)</f>
        <v>7551.570000000007</v>
      </c>
      <c r="I19" s="41">
        <f>SUM(I9:I18)</f>
        <v>0</v>
      </c>
      <c r="J19" s="41">
        <f>SUM(J9:J18)</f>
        <v>106850.04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46287.040000000001</v>
      </c>
      <c r="G24" s="18">
        <v>54914.33</v>
      </c>
      <c r="H24" s="18">
        <v>4302.8999999999996</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2905.12</v>
      </c>
      <c r="G30" s="18"/>
      <c r="H30" s="18">
        <v>1326.69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49192.160000000003</v>
      </c>
      <c r="G32" s="41">
        <f>SUM(G22:G31)</f>
        <v>54914.33</v>
      </c>
      <c r="H32" s="41">
        <f>SUM(H22:H31)</f>
        <v>5629.59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293109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37877.85</v>
      </c>
      <c r="H48" s="18">
        <v>-36500.04</v>
      </c>
      <c r="I48" s="18"/>
      <c r="J48" s="13">
        <f>SUM(I460)</f>
        <v>106850.04</v>
      </c>
      <c r="K48" s="24" t="s">
        <v>288</v>
      </c>
      <c r="L48" s="24" t="s">
        <v>288</v>
      </c>
      <c r="M48" s="8"/>
      <c r="N48" s="265"/>
    </row>
    <row r="49" spans="1:14" s="3" customFormat="1" ht="12.2" customHeight="1" x14ac:dyDescent="0.15">
      <c r="A49" s="1" t="s">
        <v>859</v>
      </c>
      <c r="B49" s="2" t="s">
        <v>289</v>
      </c>
      <c r="C49" s="6">
        <v>34</v>
      </c>
      <c r="D49" s="2"/>
      <c r="E49" s="6">
        <v>753</v>
      </c>
      <c r="F49" s="18">
        <v>500030.38</v>
      </c>
      <c r="G49" s="18"/>
      <c r="H49" s="18">
        <v>38422.019999999997</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449061.95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1292201.33</v>
      </c>
      <c r="G51" s="41">
        <f>SUM(G35:G50)</f>
        <v>37877.85</v>
      </c>
      <c r="H51" s="41">
        <f>SUM(H35:H50)</f>
        <v>1921.9799999999959</v>
      </c>
      <c r="I51" s="41">
        <f>SUM(I35:I50)</f>
        <v>0</v>
      </c>
      <c r="J51" s="41">
        <f>SUM(J35:J50)</f>
        <v>106850.04</v>
      </c>
      <c r="K51" s="45" t="s">
        <v>288</v>
      </c>
      <c r="L51" s="45" t="s">
        <v>288</v>
      </c>
      <c r="N51" s="263"/>
    </row>
    <row r="52" spans="1:14" s="3" customFormat="1" ht="12.2" customHeight="1" thickTop="1" x14ac:dyDescent="0.15">
      <c r="A52" s="38" t="s">
        <v>455</v>
      </c>
      <c r="B52" s="39" t="s">
        <v>289</v>
      </c>
      <c r="C52" s="6">
        <v>37</v>
      </c>
      <c r="D52" s="39" t="s">
        <v>653</v>
      </c>
      <c r="E52" s="39"/>
      <c r="F52" s="41">
        <f>F51+F32</f>
        <v>1341393.49</v>
      </c>
      <c r="G52" s="41">
        <f>G51+G32</f>
        <v>92792.18</v>
      </c>
      <c r="H52" s="41">
        <f>H51+H32</f>
        <v>7551.5699999999961</v>
      </c>
      <c r="I52" s="41">
        <f>I51+I32</f>
        <v>0</v>
      </c>
      <c r="J52" s="41">
        <f>J51+J32</f>
        <v>106850.04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5238938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5238938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54527.94</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68000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231244.79</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353772.73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2.19</v>
      </c>
      <c r="G96" s="18"/>
      <c r="H96" s="18"/>
      <c r="I96" s="18"/>
      <c r="J96" s="18">
        <v>128.02000000000001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5543.15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28738.39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307670.59000000003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336411.17000000004</v>
      </c>
      <c r="G111" s="41">
        <f>SUM(G96:G110)</f>
        <v>5543.15</v>
      </c>
      <c r="H111" s="41">
        <f>SUM(H96:H110)</f>
        <v>0</v>
      </c>
      <c r="I111" s="41">
        <f>SUM(I96:I110)</f>
        <v>0</v>
      </c>
      <c r="J111" s="41">
        <f>SUM(J96:J110)</f>
        <v>128.02000000000001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5929121.9000000004</v>
      </c>
      <c r="G112" s="41">
        <f>G60+G111</f>
        <v>5543.15</v>
      </c>
      <c r="H112" s="41">
        <f>H60+H79+H94+H111</f>
        <v>0</v>
      </c>
      <c r="I112" s="41">
        <f>I60+I111</f>
        <v>0</v>
      </c>
      <c r="J112" s="41">
        <f>J60+J111</f>
        <v>128.02000000000001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2492119.1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623234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3123333.94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45684.62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3590.73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45684.62</v>
      </c>
      <c r="G136" s="41">
        <f>SUM(G123:G135)</f>
        <v>3590.73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3169018.56</v>
      </c>
      <c r="G140" s="41">
        <f>G121+SUM(G136:G137)</f>
        <v>3590.73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10853.11</f>
        <v>10853.11</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144794.87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4527.6+9309.58+22867.78+13750</f>
        <v>50454.96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232853.05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221467.08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71108.240000000005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4608.87+37591.03+4707.41</f>
        <v>46907.31</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45258.37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71108.240000000005</v>
      </c>
      <c r="G163" s="41">
        <f>SUM(G150:G162)</f>
        <v>232853.05</v>
      </c>
      <c r="H163" s="41">
        <f>SUM(H150:H162)</f>
        <v>519735.69999999995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2324.04</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73432.28</v>
      </c>
      <c r="G170" s="41">
        <f>G147+G163+SUM(G164:G169)</f>
        <v>232853.05</v>
      </c>
      <c r="H170" s="41">
        <f>H147+H163+SUM(H164:H169)</f>
        <v>519735.69999999995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9171572.7400000002</v>
      </c>
      <c r="G194" s="47">
        <f>G112+G140+G170+G193</f>
        <v>241986.93</v>
      </c>
      <c r="H194" s="47">
        <f>H112+H140+H170+H193</f>
        <v>519735.69999999995</v>
      </c>
      <c r="I194" s="47">
        <f>I112+I140+I170+I193</f>
        <v>0</v>
      </c>
      <c r="J194" s="47">
        <f>J112+J140+J193</f>
        <v>50128.02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2302481.62</v>
      </c>
      <c r="G198" s="18">
        <v>1137477.18</v>
      </c>
      <c r="H198" s="18">
        <v>18426.2</v>
      </c>
      <c r="I198" s="18">
        <v>98335.49</v>
      </c>
      <c r="J198" s="18">
        <v>21016.75</v>
      </c>
      <c r="K198" s="18">
        <v>4109.1499999999996</v>
      </c>
      <c r="L198" s="19">
        <f>SUM(F198:K198)</f>
        <v>3581846.39</v>
      </c>
      <c r="M198" s="8"/>
      <c r="N198" s="265"/>
    </row>
    <row r="199" spans="1:14" s="3" customFormat="1" ht="12.2" customHeight="1" x14ac:dyDescent="0.15">
      <c r="A199" s="1" t="s">
        <v>439</v>
      </c>
      <c r="B199" s="2" t="s">
        <v>341</v>
      </c>
      <c r="C199" s="2" t="s">
        <v>291</v>
      </c>
      <c r="D199" s="2" t="s">
        <v>431</v>
      </c>
      <c r="E199" s="6">
        <v>1200</v>
      </c>
      <c r="F199" s="18">
        <v>972259.86</v>
      </c>
      <c r="G199" s="18">
        <v>505042.22</v>
      </c>
      <c r="H199" s="18">
        <v>298068.95</v>
      </c>
      <c r="I199" s="18">
        <v>1814.88</v>
      </c>
      <c r="J199" s="18">
        <v>3579.16</v>
      </c>
      <c r="K199" s="18"/>
      <c r="L199" s="19">
        <f>SUM(F199:K199)</f>
        <v>1780765.0699999998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93097.63</v>
      </c>
      <c r="G201" s="18">
        <v>15647.57</v>
      </c>
      <c r="H201" s="18">
        <v>13048.63</v>
      </c>
      <c r="I201" s="18">
        <v>7002.58</v>
      </c>
      <c r="J201" s="18">
        <v>7999.95</v>
      </c>
      <c r="K201" s="18">
        <v>1402.15</v>
      </c>
      <c r="L201" s="19">
        <f>SUM(F201:K201)</f>
        <v>138198.51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209383.93</v>
      </c>
      <c r="G203" s="18">
        <v>123077.52</v>
      </c>
      <c r="H203" s="18">
        <v>284960.92</v>
      </c>
      <c r="I203" s="18">
        <v>4251.75</v>
      </c>
      <c r="J203" s="18"/>
      <c r="K203" s="18"/>
      <c r="L203" s="19">
        <f t="shared" ref="L203:L209" si="0">SUM(F203:K203)</f>
        <v>621674.12</v>
      </c>
      <c r="M203" s="8"/>
      <c r="N203" s="265"/>
    </row>
    <row r="204" spans="1:14" s="3" customFormat="1" ht="12.2" customHeight="1" x14ac:dyDescent="0.15">
      <c r="A204" s="1" t="s">
        <v>443</v>
      </c>
      <c r="B204" s="2" t="s">
        <v>341</v>
      </c>
      <c r="C204" s="2" t="s">
        <v>295</v>
      </c>
      <c r="D204" s="2" t="s">
        <v>431</v>
      </c>
      <c r="E204" s="6">
        <v>2200</v>
      </c>
      <c r="F204" s="18">
        <v>73458.48</v>
      </c>
      <c r="G204" s="18">
        <v>80204.83</v>
      </c>
      <c r="H204" s="18">
        <v>380.8</v>
      </c>
      <c r="I204" s="18">
        <v>5917.42</v>
      </c>
      <c r="J204" s="18"/>
      <c r="K204" s="18">
        <v>1912.47</v>
      </c>
      <c r="L204" s="19">
        <f t="shared" si="0"/>
        <v>161874</v>
      </c>
      <c r="M204" s="8"/>
      <c r="N204" s="265"/>
    </row>
    <row r="205" spans="1:14" s="3" customFormat="1" ht="12.2" customHeight="1" x14ac:dyDescent="0.15">
      <c r="A205" s="1" t="s">
        <v>444</v>
      </c>
      <c r="B205" s="2" t="s">
        <v>341</v>
      </c>
      <c r="C205" s="2" t="s">
        <v>296</v>
      </c>
      <c r="D205" s="2" t="s">
        <v>431</v>
      </c>
      <c r="E205" s="6">
        <v>2300</v>
      </c>
      <c r="F205" s="18">
        <v>53595</v>
      </c>
      <c r="G205" s="18">
        <v>23042.400000000001</v>
      </c>
      <c r="H205" s="18">
        <v>359354.28</v>
      </c>
      <c r="I205" s="18">
        <v>60.5</v>
      </c>
      <c r="J205" s="18"/>
      <c r="K205" s="18">
        <v>3394.83</v>
      </c>
      <c r="L205" s="19">
        <f t="shared" si="0"/>
        <v>439447.01000000007</v>
      </c>
      <c r="M205" s="8"/>
      <c r="N205" s="265"/>
    </row>
    <row r="206" spans="1:14" s="3" customFormat="1" ht="12.2" customHeight="1" x14ac:dyDescent="0.15">
      <c r="A206" s="1" t="s">
        <v>445</v>
      </c>
      <c r="B206" s="2" t="s">
        <v>341</v>
      </c>
      <c r="C206" s="2" t="s">
        <v>297</v>
      </c>
      <c r="D206" s="2" t="s">
        <v>431</v>
      </c>
      <c r="E206" s="6">
        <v>2400</v>
      </c>
      <c r="F206" s="18">
        <v>285714.06</v>
      </c>
      <c r="G206" s="18">
        <v>166290.94</v>
      </c>
      <c r="H206" s="18">
        <v>2550.84</v>
      </c>
      <c r="I206" s="18"/>
      <c r="J206" s="18"/>
      <c r="K206" s="18">
        <v>1909</v>
      </c>
      <c r="L206" s="19">
        <f t="shared" si="0"/>
        <v>456464.84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177878</v>
      </c>
      <c r="G208" s="18">
        <v>101389.42</v>
      </c>
      <c r="H208" s="18">
        <v>230931.55</v>
      </c>
      <c r="I208" s="18">
        <v>123989.59</v>
      </c>
      <c r="J208" s="18">
        <v>102908.05</v>
      </c>
      <c r="K208" s="18"/>
      <c r="L208" s="19">
        <f t="shared" si="0"/>
        <v>737096.61</v>
      </c>
      <c r="M208" s="8"/>
      <c r="N208" s="265"/>
    </row>
    <row r="209" spans="1:14" s="3" customFormat="1" ht="12.2" customHeight="1" x14ac:dyDescent="0.15">
      <c r="A209" s="1" t="s">
        <v>448</v>
      </c>
      <c r="B209" s="2" t="s">
        <v>341</v>
      </c>
      <c r="C209" s="2" t="s">
        <v>300</v>
      </c>
      <c r="D209" s="2" t="s">
        <v>431</v>
      </c>
      <c r="E209" s="6">
        <v>2700</v>
      </c>
      <c r="F209" s="18"/>
      <c r="G209" s="18"/>
      <c r="H209" s="18">
        <v>250605.73</v>
      </c>
      <c r="I209" s="18"/>
      <c r="J209" s="18"/>
      <c r="K209" s="18"/>
      <c r="L209" s="19">
        <f t="shared" si="0"/>
        <v>250605.73</v>
      </c>
      <c r="M209" s="8"/>
      <c r="N209" s="265"/>
    </row>
    <row r="210" spans="1:14" s="3" customFormat="1" ht="12.2" customHeight="1" x14ac:dyDescent="0.15">
      <c r="A210" s="1" t="s">
        <v>449</v>
      </c>
      <c r="B210" s="2" t="s">
        <v>341</v>
      </c>
      <c r="C210" s="2" t="s">
        <v>343</v>
      </c>
      <c r="D210" s="2" t="s">
        <v>431</v>
      </c>
      <c r="E210" s="6">
        <v>2800</v>
      </c>
      <c r="F210" s="18"/>
      <c r="G210" s="18"/>
      <c r="H210" s="18">
        <v>31563</v>
      </c>
      <c r="I210" s="18"/>
      <c r="J210" s="18"/>
      <c r="K210" s="18"/>
      <c r="L210" s="19">
        <f>SUM(F210:K210)</f>
        <v>31563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4167868.58</v>
      </c>
      <c r="G212" s="41">
        <f t="shared" si="1"/>
        <v>2152172.08</v>
      </c>
      <c r="H212" s="41">
        <f t="shared" si="1"/>
        <v>1489890.9</v>
      </c>
      <c r="I212" s="41">
        <f t="shared" si="1"/>
        <v>241372.21000000002</v>
      </c>
      <c r="J212" s="41">
        <f t="shared" si="1"/>
        <v>135503.91</v>
      </c>
      <c r="K212" s="41">
        <f t="shared" si="1"/>
        <v>12727.599999999999</v>
      </c>
      <c r="L212" s="41">
        <f t="shared" si="1"/>
        <v>8199535.2800000003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v>154677.75</v>
      </c>
      <c r="G254" s="18">
        <v>63603.24</v>
      </c>
      <c r="H254" s="18">
        <v>15706.85</v>
      </c>
      <c r="I254" s="18">
        <v>498.62</v>
      </c>
      <c r="J254" s="18"/>
      <c r="K254" s="18"/>
      <c r="L254" s="19">
        <f t="shared" si="6"/>
        <v>234486.46</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156418.14000000001</v>
      </c>
      <c r="I256" s="18"/>
      <c r="J256" s="18"/>
      <c r="K256" s="18"/>
      <c r="L256" s="19">
        <f t="shared" si="6"/>
        <v>156418.14000000001</v>
      </c>
      <c r="M256" s="8"/>
      <c r="N256" s="265"/>
    </row>
    <row r="257" spans="1:14" s="3" customFormat="1" ht="12.2" customHeight="1" thickTop="1" thickBot="1" x14ac:dyDescent="0.2">
      <c r="A257" s="38" t="s">
        <v>461</v>
      </c>
      <c r="B257" s="40">
        <v>10</v>
      </c>
      <c r="C257" s="40">
        <v>7</v>
      </c>
      <c r="D257" s="39" t="s">
        <v>431</v>
      </c>
      <c r="E257" s="40"/>
      <c r="F257" s="41">
        <f t="shared" ref="F257:K257" si="7">SUM(F251:F256)</f>
        <v>154677.75</v>
      </c>
      <c r="G257" s="41">
        <f t="shared" si="7"/>
        <v>63603.24</v>
      </c>
      <c r="H257" s="41">
        <f t="shared" si="7"/>
        <v>172124.99000000002</v>
      </c>
      <c r="I257" s="41">
        <f t="shared" si="7"/>
        <v>498.62</v>
      </c>
      <c r="J257" s="41">
        <f t="shared" si="7"/>
        <v>0</v>
      </c>
      <c r="K257" s="41">
        <f t="shared" si="7"/>
        <v>0</v>
      </c>
      <c r="L257" s="41">
        <f>SUM(F257:K257)</f>
        <v>390904.6</v>
      </c>
      <c r="M257" s="8"/>
      <c r="N257" s="265"/>
    </row>
    <row r="258" spans="1:14" s="3" customFormat="1" ht="12.2" customHeight="1" thickTop="1" x14ac:dyDescent="0.15">
      <c r="A258" s="38" t="s">
        <v>462</v>
      </c>
      <c r="B258" s="40">
        <v>10</v>
      </c>
      <c r="C258" s="40">
        <v>8</v>
      </c>
      <c r="D258" s="39" t="s">
        <v>431</v>
      </c>
      <c r="E258" s="40"/>
      <c r="F258" s="41">
        <f t="shared" ref="F258:L258" si="8">F212+F230+F248+F257</f>
        <v>4322546.33</v>
      </c>
      <c r="G258" s="41">
        <f t="shared" si="8"/>
        <v>2215775.3200000003</v>
      </c>
      <c r="H258" s="41">
        <f t="shared" si="8"/>
        <v>1662015.89</v>
      </c>
      <c r="I258" s="41">
        <f t="shared" si="8"/>
        <v>241870.83000000002</v>
      </c>
      <c r="J258" s="41">
        <f t="shared" si="8"/>
        <v>135503.91</v>
      </c>
      <c r="K258" s="41">
        <f t="shared" si="8"/>
        <v>12727.599999999999</v>
      </c>
      <c r="L258" s="41">
        <f t="shared" si="8"/>
        <v>8590439.8800000008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24305.05</v>
      </c>
      <c r="L261" s="19">
        <f>SUM(F261:K261)</f>
        <v>24305.05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7657.8</v>
      </c>
      <c r="L262" s="19">
        <f>SUM(F262:K262)</f>
        <v>7657.8</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81962.850000000006</v>
      </c>
      <c r="L271" s="41">
        <f t="shared" si="9"/>
        <v>81962.850000000006</v>
      </c>
      <c r="M271" s="8"/>
      <c r="N271" s="265"/>
    </row>
    <row r="272" spans="1:14" s="34" customFormat="1" ht="12.2" customHeight="1" thickTop="1" x14ac:dyDescent="0.2">
      <c r="A272" s="43" t="s">
        <v>464</v>
      </c>
      <c r="B272" s="40">
        <v>10</v>
      </c>
      <c r="C272" s="40">
        <v>18</v>
      </c>
      <c r="D272" s="39" t="s">
        <v>431</v>
      </c>
      <c r="E272" s="40"/>
      <c r="F272" s="42">
        <f t="shared" ref="F272:L272" si="11">F258+F271</f>
        <v>4322546.33</v>
      </c>
      <c r="G272" s="42">
        <f t="shared" si="11"/>
        <v>2215775.3200000003</v>
      </c>
      <c r="H272" s="42">
        <f t="shared" si="11"/>
        <v>1662015.89</v>
      </c>
      <c r="I272" s="42">
        <f t="shared" si="11"/>
        <v>241870.83000000002</v>
      </c>
      <c r="J272" s="42">
        <f t="shared" si="11"/>
        <v>135503.91</v>
      </c>
      <c r="K272" s="42">
        <f t="shared" si="11"/>
        <v>94690.450000000012</v>
      </c>
      <c r="L272" s="42">
        <f t="shared" si="11"/>
        <v>8672402.7300000004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45342.87</v>
      </c>
      <c r="G277" s="18">
        <v>26955.3</v>
      </c>
      <c r="H277" s="18"/>
      <c r="I277" s="18">
        <v>42968.65</v>
      </c>
      <c r="J277" s="18">
        <v>33239.440000000002</v>
      </c>
      <c r="K277" s="18"/>
      <c r="L277" s="19">
        <f>SUM(F277:K277)</f>
        <v>148506.26</v>
      </c>
      <c r="M277" s="8"/>
      <c r="N277" s="265"/>
    </row>
    <row r="278" spans="1:14" s="3" customFormat="1" ht="12.2" customHeight="1" x14ac:dyDescent="0.15">
      <c r="A278" s="1" t="s">
        <v>439</v>
      </c>
      <c r="B278" s="2" t="s">
        <v>357</v>
      </c>
      <c r="C278" s="2" t="s">
        <v>291</v>
      </c>
      <c r="D278" s="2" t="s">
        <v>431</v>
      </c>
      <c r="E278" s="6">
        <v>1200</v>
      </c>
      <c r="F278" s="18">
        <v>20039.16</v>
      </c>
      <c r="G278" s="18">
        <v>14373.2</v>
      </c>
      <c r="H278" s="18">
        <v>63885.66</v>
      </c>
      <c r="I278" s="18">
        <v>8936.0300000000007</v>
      </c>
      <c r="J278" s="18"/>
      <c r="K278" s="18"/>
      <c r="L278" s="19">
        <f>SUM(F278:K278)</f>
        <v>107234.05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32716.77</v>
      </c>
      <c r="G280" s="18">
        <v>7597.91</v>
      </c>
      <c r="H280" s="18">
        <v>156</v>
      </c>
      <c r="I280" s="18">
        <v>3857.99</v>
      </c>
      <c r="J280" s="18"/>
      <c r="K280" s="18"/>
      <c r="L280" s="19">
        <f>SUM(F280:K280)</f>
        <v>44328.67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65994.45</v>
      </c>
      <c r="G282" s="18">
        <v>30065.11</v>
      </c>
      <c r="H282" s="18"/>
      <c r="I282" s="18"/>
      <c r="J282" s="18"/>
      <c r="K282" s="18"/>
      <c r="L282" s="19">
        <f t="shared" ref="L282:L288" si="12">SUM(F282:K282)</f>
        <v>96059.56</v>
      </c>
      <c r="M282" s="8"/>
      <c r="N282" s="265"/>
    </row>
    <row r="283" spans="1:14" s="3" customFormat="1" ht="12.2" customHeight="1" x14ac:dyDescent="0.15">
      <c r="A283" s="1" t="s">
        <v>443</v>
      </c>
      <c r="B283" s="2" t="s">
        <v>357</v>
      </c>
      <c r="C283" s="2" t="s">
        <v>295</v>
      </c>
      <c r="D283" s="2" t="s">
        <v>431</v>
      </c>
      <c r="E283" s="6">
        <v>2200</v>
      </c>
      <c r="F283" s="18">
        <v>18590.28</v>
      </c>
      <c r="G283" s="18">
        <v>3606.87</v>
      </c>
      <c r="H283" s="18">
        <v>36734.39</v>
      </c>
      <c r="I283" s="18"/>
      <c r="J283" s="18"/>
      <c r="K283" s="18"/>
      <c r="L283" s="19">
        <f t="shared" si="12"/>
        <v>58931.539999999994</v>
      </c>
      <c r="M283" s="8"/>
      <c r="N283" s="265"/>
    </row>
    <row r="284" spans="1:14" s="3" customFormat="1" ht="12.2" customHeight="1" x14ac:dyDescent="0.15">
      <c r="A284" s="1" t="s">
        <v>444</v>
      </c>
      <c r="B284" s="2" t="s">
        <v>357</v>
      </c>
      <c r="C284" s="2" t="s">
        <v>296</v>
      </c>
      <c r="D284" s="2" t="s">
        <v>431</v>
      </c>
      <c r="E284" s="6">
        <v>2300</v>
      </c>
      <c r="F284" s="18">
        <v>8750</v>
      </c>
      <c r="G284" s="18"/>
      <c r="H284" s="18"/>
      <c r="I284" s="18"/>
      <c r="J284" s="18"/>
      <c r="K284" s="18">
        <v>399.15</v>
      </c>
      <c r="L284" s="19">
        <f t="shared" si="12"/>
        <v>9149.15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14533.4</v>
      </c>
      <c r="L286" s="19">
        <f t="shared" si="12"/>
        <v>14533.4</v>
      </c>
      <c r="M286" s="8"/>
      <c r="N286" s="265"/>
    </row>
    <row r="287" spans="1:14" s="3" customFormat="1" ht="12.2" customHeight="1" x14ac:dyDescent="0.15">
      <c r="A287" s="1" t="s">
        <v>447</v>
      </c>
      <c r="B287" s="2" t="s">
        <v>357</v>
      </c>
      <c r="C287" s="2" t="s">
        <v>299</v>
      </c>
      <c r="D287" s="2" t="s">
        <v>431</v>
      </c>
      <c r="E287" s="6">
        <v>2600</v>
      </c>
      <c r="F287" s="18"/>
      <c r="G287" s="18"/>
      <c r="H287" s="18"/>
      <c r="I287" s="18"/>
      <c r="J287" s="18">
        <v>4430</v>
      </c>
      <c r="K287" s="18"/>
      <c r="L287" s="19">
        <f t="shared" si="12"/>
        <v>4430</v>
      </c>
      <c r="M287" s="8"/>
      <c r="N287" s="265"/>
    </row>
    <row r="288" spans="1:14" s="3" customFormat="1" ht="12.2" customHeight="1" x14ac:dyDescent="0.15">
      <c r="A288" s="1" t="s">
        <v>448</v>
      </c>
      <c r="B288" s="2" t="s">
        <v>357</v>
      </c>
      <c r="C288" s="2" t="s">
        <v>300</v>
      </c>
      <c r="D288" s="2" t="s">
        <v>431</v>
      </c>
      <c r="E288" s="6">
        <v>2700</v>
      </c>
      <c r="F288" s="18"/>
      <c r="G288" s="18"/>
      <c r="H288" s="18">
        <v>1000</v>
      </c>
      <c r="I288" s="18"/>
      <c r="J288" s="18"/>
      <c r="K288" s="18"/>
      <c r="L288" s="19">
        <f t="shared" si="12"/>
        <v>1000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191433.53</v>
      </c>
      <c r="G291" s="42">
        <f t="shared" si="13"/>
        <v>82598.39</v>
      </c>
      <c r="H291" s="42">
        <f t="shared" si="13"/>
        <v>101776.05</v>
      </c>
      <c r="I291" s="42">
        <f t="shared" si="13"/>
        <v>55762.67</v>
      </c>
      <c r="J291" s="42">
        <f t="shared" si="13"/>
        <v>37669.440000000002</v>
      </c>
      <c r="K291" s="42">
        <f t="shared" si="13"/>
        <v>14932.55</v>
      </c>
      <c r="L291" s="41">
        <f t="shared" si="13"/>
        <v>484172.63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v>21751.14</v>
      </c>
      <c r="G336" s="18">
        <v>12290.51</v>
      </c>
      <c r="H336" s="18">
        <v>784.85</v>
      </c>
      <c r="I336" s="18"/>
      <c r="J336" s="18">
        <v>736.97</v>
      </c>
      <c r="K336" s="18"/>
      <c r="L336" s="19">
        <f t="shared" si="18"/>
        <v>35563.47</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21751.14</v>
      </c>
      <c r="G338" s="41">
        <f t="shared" si="19"/>
        <v>12290.51</v>
      </c>
      <c r="H338" s="41">
        <f t="shared" si="19"/>
        <v>784.85</v>
      </c>
      <c r="I338" s="41">
        <f t="shared" si="19"/>
        <v>0</v>
      </c>
      <c r="J338" s="41">
        <f t="shared" si="19"/>
        <v>736.97</v>
      </c>
      <c r="K338" s="41">
        <f t="shared" si="19"/>
        <v>0</v>
      </c>
      <c r="L338" s="41">
        <f t="shared" si="18"/>
        <v>35563.47</v>
      </c>
      <c r="M338" s="8"/>
      <c r="N338" s="265"/>
    </row>
    <row r="339" spans="1:43" s="3" customFormat="1" ht="12.2" customHeight="1" thickTop="1" x14ac:dyDescent="0.15">
      <c r="A339" s="38" t="s">
        <v>468</v>
      </c>
      <c r="B339" s="40">
        <v>14</v>
      </c>
      <c r="C339" s="40">
        <v>7</v>
      </c>
      <c r="D339" s="39" t="s">
        <v>431</v>
      </c>
      <c r="E339" s="40"/>
      <c r="F339" s="41">
        <f t="shared" ref="F339:L339" si="20">F291+F310+F329+F338</f>
        <v>213184.66999999998</v>
      </c>
      <c r="G339" s="41">
        <f t="shared" si="20"/>
        <v>94888.9</v>
      </c>
      <c r="H339" s="41">
        <f t="shared" si="20"/>
        <v>102560.90000000001</v>
      </c>
      <c r="I339" s="41">
        <f t="shared" si="20"/>
        <v>55762.67</v>
      </c>
      <c r="J339" s="41">
        <f t="shared" si="20"/>
        <v>38406.410000000003</v>
      </c>
      <c r="K339" s="41">
        <f t="shared" si="20"/>
        <v>14932.55</v>
      </c>
      <c r="L339" s="41">
        <f t="shared" si="20"/>
        <v>519736.1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213184.66999999998</v>
      </c>
      <c r="G353" s="41">
        <f>G339</f>
        <v>94888.9</v>
      </c>
      <c r="H353" s="41">
        <f>H339</f>
        <v>102560.90000000001</v>
      </c>
      <c r="I353" s="41">
        <f>I339</f>
        <v>55762.67</v>
      </c>
      <c r="J353" s="41">
        <f>J339</f>
        <v>38406.410000000003</v>
      </c>
      <c r="K353" s="47">
        <f>K339+K352</f>
        <v>14932.55</v>
      </c>
      <c r="L353" s="41">
        <f>L339+L352</f>
        <v>519736.1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211180.35</v>
      </c>
      <c r="I359" s="18">
        <v>1136.52</v>
      </c>
      <c r="J359" s="18"/>
      <c r="K359" s="18"/>
      <c r="L359" s="13">
        <f>SUM(F359:K359)</f>
        <v>212316.87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211180.35</v>
      </c>
      <c r="I363" s="47">
        <f t="shared" si="22"/>
        <v>1136.52</v>
      </c>
      <c r="J363" s="47">
        <f t="shared" si="22"/>
        <v>0</v>
      </c>
      <c r="K363" s="47">
        <f t="shared" si="22"/>
        <v>0</v>
      </c>
      <c r="L363" s="47">
        <f t="shared" si="22"/>
        <v>212316.87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1136.52</v>
      </c>
      <c r="G369" s="63"/>
      <c r="H369" s="63"/>
      <c r="I369" s="56">
        <f>SUM(F369:H369)</f>
        <v>1136.52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1136.52</v>
      </c>
      <c r="G370" s="47">
        <f>SUM(G368:G369)</f>
        <v>0</v>
      </c>
      <c r="H370" s="47">
        <f>SUM(H368:H369)</f>
        <v>0</v>
      </c>
      <c r="I370" s="47">
        <f>SUM(I368:I369)</f>
        <v>1136.52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50000</v>
      </c>
      <c r="H390" s="18"/>
      <c r="I390" s="18"/>
      <c r="J390" s="24" t="s">
        <v>288</v>
      </c>
      <c r="K390" s="24" t="s">
        <v>288</v>
      </c>
      <c r="L390" s="56">
        <f t="shared" si="25"/>
        <v>50000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0</v>
      </c>
      <c r="I394" s="65">
        <f>SUM(I388:I393)</f>
        <v>0</v>
      </c>
      <c r="J394" s="45" t="s">
        <v>288</v>
      </c>
      <c r="K394" s="45" t="s">
        <v>288</v>
      </c>
      <c r="L394" s="47">
        <f>SUM(L388:L393)</f>
        <v>50000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128.02000000000001</v>
      </c>
      <c r="I397" s="18"/>
      <c r="J397" s="24" t="s">
        <v>288</v>
      </c>
      <c r="K397" s="24" t="s">
        <v>288</v>
      </c>
      <c r="L397" s="56">
        <f t="shared" si="26"/>
        <v>128.02000000000001</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128.02000000000001</v>
      </c>
      <c r="I402" s="47">
        <f>SUM(I396:I401)</f>
        <v>0</v>
      </c>
      <c r="J402" s="45" t="s">
        <v>288</v>
      </c>
      <c r="K402" s="45" t="s">
        <v>288</v>
      </c>
      <c r="L402" s="47">
        <f>SUM(L396:L401)</f>
        <v>128.02000000000001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128.02000000000001</v>
      </c>
      <c r="I409" s="47">
        <f>I394+I402+I408</f>
        <v>0</v>
      </c>
      <c r="J409" s="24" t="s">
        <v>288</v>
      </c>
      <c r="K409" s="24" t="s">
        <v>288</v>
      </c>
      <c r="L409" s="47">
        <f>L394+L402+L408</f>
        <v>50128.02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106850.04</v>
      </c>
      <c r="G441" s="18"/>
      <c r="H441" s="18"/>
      <c r="I441" s="56">
        <f t="shared" si="33"/>
        <v>106850.04</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106850.04</v>
      </c>
      <c r="G447" s="13">
        <f>SUM(G440:G446)</f>
        <v>0</v>
      </c>
      <c r="H447" s="13">
        <f>SUM(H440:H446)</f>
        <v>0</v>
      </c>
      <c r="I447" s="13">
        <f>SUM(I440:I446)</f>
        <v>106850.04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106850.04</v>
      </c>
      <c r="G460" s="18"/>
      <c r="H460" s="18"/>
      <c r="I460" s="56">
        <f t="shared" si="34"/>
        <v>106850.04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106850.04</v>
      </c>
      <c r="G461" s="83">
        <f>SUM(G455:G460)</f>
        <v>0</v>
      </c>
      <c r="H461" s="83">
        <f>SUM(H455:H460)</f>
        <v>0</v>
      </c>
      <c r="I461" s="83">
        <f>SUM(I455:I460)</f>
        <v>106850.04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106850.04</v>
      </c>
      <c r="G462" s="42">
        <f>G453+G461</f>
        <v>0</v>
      </c>
      <c r="H462" s="42">
        <f>H453+H461</f>
        <v>0</v>
      </c>
      <c r="I462" s="42">
        <f>I453+I461</f>
        <v>106850.04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793031.32</v>
      </c>
      <c r="G466" s="18">
        <v>8207.7900000000009</v>
      </c>
      <c r="H466" s="18">
        <v>1922.38</v>
      </c>
      <c r="I466" s="18"/>
      <c r="J466" s="18">
        <v>56722.02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9171572.7400000002</v>
      </c>
      <c r="G469" s="18">
        <v>241986.93</v>
      </c>
      <c r="H469" s="18">
        <v>519735.7</v>
      </c>
      <c r="I469" s="18"/>
      <c r="J469" s="18">
        <v>50128.02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9171572.7400000002</v>
      </c>
      <c r="G471" s="53">
        <f>SUM(G469:G470)</f>
        <v>241986.93</v>
      </c>
      <c r="H471" s="53">
        <f>SUM(H469:H470)</f>
        <v>519735.7</v>
      </c>
      <c r="I471" s="53">
        <f>SUM(I469:I470)</f>
        <v>0</v>
      </c>
      <c r="J471" s="53">
        <f>SUM(J469:J470)</f>
        <v>50128.02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8672402.7300000004</v>
      </c>
      <c r="G473" s="18">
        <v>212316.87</v>
      </c>
      <c r="H473" s="18">
        <v>519736.1</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8672402.7300000004</v>
      </c>
      <c r="G475" s="53">
        <f>SUM(G473:G474)</f>
        <v>212316.87</v>
      </c>
      <c r="H475" s="53">
        <f>SUM(H473:H474)</f>
        <v>519736.1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1292201.33</v>
      </c>
      <c r="G477" s="53">
        <f>(G466+G471)- G475</f>
        <v>37877.850000000006</v>
      </c>
      <c r="H477" s="53">
        <f>(H466+H471)- H475</f>
        <v>1921.9800000000396</v>
      </c>
      <c r="I477" s="53">
        <f>(I466+I471)- I475</f>
        <v>0</v>
      </c>
      <c r="J477" s="53">
        <f>(J466+J471)- J475</f>
        <v>106850.04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992299.02</v>
      </c>
      <c r="G522" s="18">
        <v>519415.42</v>
      </c>
      <c r="H522" s="18">
        <v>361954.61</v>
      </c>
      <c r="I522" s="18">
        <v>10750.91</v>
      </c>
      <c r="J522" s="18">
        <v>3579.16</v>
      </c>
      <c r="K522" s="18"/>
      <c r="L522" s="88">
        <f>SUM(F522:K522)</f>
        <v>1887999.1199999996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992299.02</v>
      </c>
      <c r="G525" s="108">
        <f t="shared" ref="G525:L525" si="36">SUM(G522:G524)</f>
        <v>519415.42</v>
      </c>
      <c r="H525" s="108">
        <f t="shared" si="36"/>
        <v>361954.61</v>
      </c>
      <c r="I525" s="108">
        <f t="shared" si="36"/>
        <v>10750.91</v>
      </c>
      <c r="J525" s="108">
        <f t="shared" si="36"/>
        <v>3579.16</v>
      </c>
      <c r="K525" s="108">
        <f t="shared" si="36"/>
        <v>0</v>
      </c>
      <c r="L525" s="89">
        <f t="shared" si="36"/>
        <v>1887999.1199999996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206235.98</v>
      </c>
      <c r="G527" s="18">
        <v>114546.29</v>
      </c>
      <c r="H527" s="18">
        <v>98482.83</v>
      </c>
      <c r="I527" s="18">
        <v>465.54</v>
      </c>
      <c r="J527" s="18"/>
      <c r="K527" s="18"/>
      <c r="L527" s="88">
        <f>SUM(F527:K527)</f>
        <v>419730.64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206235.98</v>
      </c>
      <c r="G530" s="89">
        <f t="shared" ref="G530:L530" si="37">SUM(G527:G529)</f>
        <v>114546.29</v>
      </c>
      <c r="H530" s="89">
        <f t="shared" si="37"/>
        <v>98482.83</v>
      </c>
      <c r="I530" s="89">
        <f t="shared" si="37"/>
        <v>465.54</v>
      </c>
      <c r="J530" s="89">
        <f t="shared" si="37"/>
        <v>0</v>
      </c>
      <c r="K530" s="89">
        <f t="shared" si="37"/>
        <v>0</v>
      </c>
      <c r="L530" s="89">
        <f t="shared" si="37"/>
        <v>419730.64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25192.7</v>
      </c>
      <c r="G532" s="18">
        <v>12308.7</v>
      </c>
      <c r="H532" s="18"/>
      <c r="I532" s="18"/>
      <c r="J532" s="18"/>
      <c r="K532" s="18"/>
      <c r="L532" s="88">
        <f>SUM(F532:K532)</f>
        <v>37501.4</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25192.7</v>
      </c>
      <c r="G535" s="89">
        <f t="shared" ref="G535:L535" si="38">SUM(G532:G534)</f>
        <v>12308.7</v>
      </c>
      <c r="H535" s="89">
        <f t="shared" si="38"/>
        <v>0</v>
      </c>
      <c r="I535" s="89">
        <f t="shared" si="38"/>
        <v>0</v>
      </c>
      <c r="J535" s="89">
        <f t="shared" si="38"/>
        <v>0</v>
      </c>
      <c r="K535" s="89">
        <f t="shared" si="38"/>
        <v>0</v>
      </c>
      <c r="L535" s="89">
        <f t="shared" si="38"/>
        <v>37501.4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60492.92</v>
      </c>
      <c r="I542" s="18"/>
      <c r="J542" s="18"/>
      <c r="K542" s="18"/>
      <c r="L542" s="88">
        <f>SUM(F542:K542)</f>
        <v>60492.92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60492.92</v>
      </c>
      <c r="I545" s="192">
        <f t="shared" si="40"/>
        <v>0</v>
      </c>
      <c r="J545" s="192">
        <f t="shared" si="40"/>
        <v>0</v>
      </c>
      <c r="K545" s="192">
        <f t="shared" si="40"/>
        <v>0</v>
      </c>
      <c r="L545" s="192">
        <f t="shared" si="40"/>
        <v>60492.92</v>
      </c>
      <c r="M545" s="8"/>
      <c r="N545" s="265"/>
    </row>
    <row r="546" spans="1:14" s="3" customFormat="1" ht="12.2" customHeight="1" thickTop="1" x14ac:dyDescent="0.15">
      <c r="A546" s="98" t="s">
        <v>72</v>
      </c>
      <c r="B546" s="107">
        <v>21</v>
      </c>
      <c r="C546" s="107">
        <v>21</v>
      </c>
      <c r="D546" s="158" t="s">
        <v>432</v>
      </c>
      <c r="E546" s="107"/>
      <c r="F546" s="89">
        <f>F525+F530+F535+F540+F545</f>
        <v>1223727.7</v>
      </c>
      <c r="G546" s="89">
        <f t="shared" ref="G546:L546" si="41">G525+G530+G535+G540+G545</f>
        <v>646270.40999999992</v>
      </c>
      <c r="H546" s="89">
        <f t="shared" si="41"/>
        <v>520930.36</v>
      </c>
      <c r="I546" s="89">
        <f t="shared" si="41"/>
        <v>11216.45</v>
      </c>
      <c r="J546" s="89">
        <f t="shared" si="41"/>
        <v>3579.16</v>
      </c>
      <c r="K546" s="89">
        <f t="shared" si="41"/>
        <v>0</v>
      </c>
      <c r="L546" s="89">
        <f t="shared" si="41"/>
        <v>2405724.0799999996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1887999.1199999996</v>
      </c>
      <c r="G550" s="87">
        <f>L527</f>
        <v>419730.64</v>
      </c>
      <c r="H550" s="87">
        <f>L532</f>
        <v>37501.4</v>
      </c>
      <c r="I550" s="87">
        <f>L537</f>
        <v>0</v>
      </c>
      <c r="J550" s="87">
        <f>L542</f>
        <v>60492.92</v>
      </c>
      <c r="K550" s="87">
        <f>SUM(F550:J550)</f>
        <v>2405724.0799999996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1887999.1199999996</v>
      </c>
      <c r="G553" s="89">
        <f t="shared" si="42"/>
        <v>419730.64</v>
      </c>
      <c r="H553" s="89">
        <f t="shared" si="42"/>
        <v>37501.4</v>
      </c>
      <c r="I553" s="89">
        <f t="shared" si="42"/>
        <v>0</v>
      </c>
      <c r="J553" s="89">
        <f t="shared" si="42"/>
        <v>60492.92</v>
      </c>
      <c r="K553" s="89">
        <f t="shared" si="42"/>
        <v>2405724.0799999996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71004</v>
      </c>
      <c r="G563" s="18">
        <v>24948.79</v>
      </c>
      <c r="H563" s="18">
        <v>130</v>
      </c>
      <c r="I563" s="18"/>
      <c r="J563" s="18"/>
      <c r="K563" s="18"/>
      <c r="L563" s="88">
        <f>SUM(F563:K563)</f>
        <v>96082.790000000008</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71004</v>
      </c>
      <c r="G566" s="89">
        <f t="shared" si="44"/>
        <v>24948.79</v>
      </c>
      <c r="H566" s="89">
        <f t="shared" si="44"/>
        <v>130</v>
      </c>
      <c r="I566" s="89">
        <f t="shared" si="44"/>
        <v>0</v>
      </c>
      <c r="J566" s="89">
        <f t="shared" si="44"/>
        <v>0</v>
      </c>
      <c r="K566" s="89">
        <f t="shared" si="44"/>
        <v>0</v>
      </c>
      <c r="L566" s="89">
        <f t="shared" si="44"/>
        <v>96082.790000000008</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71004</v>
      </c>
      <c r="G572" s="89">
        <f t="shared" ref="G572:L572" si="46">G561+G566+G571</f>
        <v>24948.79</v>
      </c>
      <c r="H572" s="89">
        <f t="shared" si="46"/>
        <v>130</v>
      </c>
      <c r="I572" s="89">
        <f t="shared" si="46"/>
        <v>0</v>
      </c>
      <c r="J572" s="89">
        <f t="shared" si="46"/>
        <v>0</v>
      </c>
      <c r="K572" s="89">
        <f t="shared" si="46"/>
        <v>0</v>
      </c>
      <c r="L572" s="89">
        <f t="shared" si="46"/>
        <v>96082.790000000008</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187488.31</v>
      </c>
      <c r="G583" s="18"/>
      <c r="H583" s="18"/>
      <c r="I583" s="87">
        <f t="shared" si="47"/>
        <v>187488.31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157534.20000000001</v>
      </c>
      <c r="I592" s="18"/>
      <c r="J592" s="18"/>
      <c r="K592" s="104">
        <f t="shared" ref="K592:K598" si="48">SUM(H592:J592)</f>
        <v>157534.20000000001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60492.92</v>
      </c>
      <c r="I593" s="18"/>
      <c r="J593" s="18"/>
      <c r="K593" s="104">
        <f t="shared" si="48"/>
        <v>60492.92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13423.38</v>
      </c>
      <c r="I595" s="18"/>
      <c r="J595" s="18"/>
      <c r="K595" s="104">
        <f t="shared" si="48"/>
        <v>13423.38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19155.23</v>
      </c>
      <c r="I596" s="18"/>
      <c r="J596" s="18"/>
      <c r="K596" s="104">
        <f t="shared" si="48"/>
        <v>19155.23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250605.73</v>
      </c>
      <c r="I599" s="108">
        <f>SUM(I592:I598)</f>
        <v>0</v>
      </c>
      <c r="J599" s="108">
        <f>SUM(J592:J598)</f>
        <v>0</v>
      </c>
      <c r="K599" s="108">
        <f>SUM(K592:K598)</f>
        <v>250605.73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675.09</v>
      </c>
      <c r="I604" s="18"/>
      <c r="J604" s="18"/>
      <c r="K604" s="104">
        <f>SUM(H604:J604)</f>
        <v>675.09</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173235.23</v>
      </c>
      <c r="I605" s="18"/>
      <c r="J605" s="18"/>
      <c r="K605" s="104">
        <f>SUM(H605:J605)</f>
        <v>173235.23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173910.32</v>
      </c>
      <c r="I606" s="108">
        <f>SUM(I603:I605)</f>
        <v>0</v>
      </c>
      <c r="J606" s="108">
        <f>SUM(J603:J605)</f>
        <v>0</v>
      </c>
      <c r="K606" s="108">
        <f>SUM(K603:K605)</f>
        <v>173910.32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8530</v>
      </c>
      <c r="G612" s="18">
        <v>2163.9699999999998</v>
      </c>
      <c r="H612" s="18"/>
      <c r="I612" s="18"/>
      <c r="J612" s="18"/>
      <c r="K612" s="18"/>
      <c r="L612" s="88">
        <f>SUM(F612:K612)</f>
        <v>10693.97</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8530</v>
      </c>
      <c r="G615" s="108">
        <f t="shared" si="49"/>
        <v>2163.9699999999998</v>
      </c>
      <c r="H615" s="108">
        <f t="shared" si="49"/>
        <v>0</v>
      </c>
      <c r="I615" s="108">
        <f t="shared" si="49"/>
        <v>0</v>
      </c>
      <c r="J615" s="108">
        <f t="shared" si="49"/>
        <v>0</v>
      </c>
      <c r="K615" s="108">
        <f t="shared" si="49"/>
        <v>0</v>
      </c>
      <c r="L615" s="89">
        <f t="shared" si="49"/>
        <v>10693.97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1341393.49</v>
      </c>
      <c r="H618" s="109">
        <f>SUM(F52)</f>
        <v>1341393.49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92792.18</v>
      </c>
      <c r="H619" s="109">
        <f>SUM(G52)</f>
        <v>92792.18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7551.570000000007</v>
      </c>
      <c r="H620" s="109">
        <f>SUM(H52)</f>
        <v>7551.5699999999961</v>
      </c>
      <c r="I620" s="121" t="s">
        <v>877</v>
      </c>
      <c r="J620" s="109">
        <f>G620-H620</f>
        <v>1.0913936421275139E-11</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106850.04</v>
      </c>
      <c r="H622" s="109">
        <f>SUM(J52)</f>
        <v>106850.04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1292201.33</v>
      </c>
      <c r="H623" s="109">
        <f>F477</f>
        <v>1292201.33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37877.85</v>
      </c>
      <c r="H624" s="109">
        <f>G477</f>
        <v>37877.850000000006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1921.9799999999959</v>
      </c>
      <c r="H625" s="109">
        <f>H477</f>
        <v>1921.9800000000396</v>
      </c>
      <c r="I625" s="121" t="s">
        <v>103</v>
      </c>
      <c r="J625" s="109">
        <f t="shared" si="50"/>
        <v>-4.3655745685100555E-11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106850.04</v>
      </c>
      <c r="H627" s="109">
        <f>J477</f>
        <v>106850.04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9171572.7400000002</v>
      </c>
      <c r="H628" s="104">
        <f>SUM(F469)</f>
        <v>9171572.7400000002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241986.93</v>
      </c>
      <c r="H629" s="104">
        <f>SUM(G469)</f>
        <v>241986.93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519735.69999999995</v>
      </c>
      <c r="H630" s="104">
        <f>SUM(H469)</f>
        <v>519735.7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50128.02</v>
      </c>
      <c r="H632" s="104">
        <f>SUM(J469)</f>
        <v>50128.02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8672402.7300000004</v>
      </c>
      <c r="H633" s="104">
        <f>SUM(F473)</f>
        <v>8672402.7300000004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519736.1</v>
      </c>
      <c r="H634" s="104">
        <f>SUM(H473)</f>
        <v>519736.1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1136.52</v>
      </c>
      <c r="H635" s="104">
        <f>I370</f>
        <v>1136.52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212316.87</v>
      </c>
      <c r="H636" s="104">
        <f>SUM(G473)</f>
        <v>212316.87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50128.02</v>
      </c>
      <c r="H638" s="164">
        <f>SUM(J469)</f>
        <v>50128.02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106850.04</v>
      </c>
      <c r="H640" s="104">
        <f>SUM(F462)</f>
        <v>106850.04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106850.04</v>
      </c>
      <c r="H643" s="104">
        <f>SUM(I462)</f>
        <v>106850.04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128.02000000000001</v>
      </c>
      <c r="H645" s="104">
        <f>H409</f>
        <v>128.02000000000001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50128.02</v>
      </c>
      <c r="H647" s="104">
        <f>L409</f>
        <v>50128.02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250605.73</v>
      </c>
      <c r="H648" s="104">
        <f>L209+L227+L245</f>
        <v>250605.73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173910.32</v>
      </c>
      <c r="H649" s="104">
        <f>(J258+J339)-(J256+J337)</f>
        <v>173910.32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250605.73</v>
      </c>
      <c r="H650" s="104">
        <f>H599</f>
        <v>250605.73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8896024.7799999993</v>
      </c>
      <c r="G661" s="19">
        <f>(L230+L310+L360)</f>
        <v>0</v>
      </c>
      <c r="H661" s="19">
        <f>(L248+L329+L361)</f>
        <v>0</v>
      </c>
      <c r="I661" s="19">
        <f>SUM(F661:H661)</f>
        <v>8896024.7799999993</v>
      </c>
      <c r="J661" s="13"/>
      <c r="K661" s="13"/>
      <c r="L661" s="13"/>
      <c r="M661" s="9"/>
    </row>
    <row r="662" spans="1:13" s="3" customFormat="1" ht="12.2" customHeight="1" x14ac:dyDescent="0.2">
      <c r="A662" s="1" t="s">
        <v>127</v>
      </c>
      <c r="F662" s="19">
        <f>(L359/IF(SUM(L359:L361)=0,1,SUM(L359:L361))*(SUM(G97:G110)))</f>
        <v>5543.15</v>
      </c>
      <c r="G662" s="19">
        <f>(L360/IF(SUM(L359:L361)=0,1,SUM(L359:L361))*(SUM(G97:G110)))</f>
        <v>0</v>
      </c>
      <c r="H662" s="19">
        <f>(L361/IF(SUM(L359:L361)=0,1,SUM(L359:L361))*(SUM(G97:G110)))</f>
        <v>0</v>
      </c>
      <c r="I662" s="19">
        <f>SUM(F662:H662)</f>
        <v>5543.15</v>
      </c>
      <c r="J662"/>
      <c r="K662" s="13"/>
      <c r="L662" s="13"/>
      <c r="M662" s="8"/>
    </row>
    <row r="663" spans="1:13" s="3" customFormat="1" ht="12.2" customHeight="1" x14ac:dyDescent="0.2">
      <c r="A663" s="1" t="s">
        <v>128</v>
      </c>
      <c r="F663" s="19">
        <f>(L209+L288)-(J209+J288)</f>
        <v>251605.73</v>
      </c>
      <c r="G663" s="19">
        <f>(L227+L307)-(J227+J307)</f>
        <v>0</v>
      </c>
      <c r="H663" s="19">
        <f>(L245+L326)-(J245+J326)</f>
        <v>0</v>
      </c>
      <c r="I663" s="19">
        <f>SUM(F663:H663)</f>
        <v>251605.73</v>
      </c>
      <c r="J663"/>
      <c r="K663" s="13"/>
      <c r="L663" s="13"/>
      <c r="M663" s="9"/>
    </row>
    <row r="664" spans="1:13" s="3" customFormat="1" ht="12.2" customHeight="1" x14ac:dyDescent="0.15">
      <c r="A664" s="197" t="s">
        <v>129</v>
      </c>
      <c r="B664" s="169"/>
      <c r="C664" s="169"/>
      <c r="D664" s="169"/>
      <c r="E664" s="169"/>
      <c r="F664" s="198">
        <f>SUM(F576:F588)+SUM(H603:H605)+SUM(L612)</f>
        <v>372092.6</v>
      </c>
      <c r="G664" s="198">
        <f>SUM(G576:G588)+SUM(I603:I605)+L613</f>
        <v>0</v>
      </c>
      <c r="H664" s="198">
        <f>SUM(H576:H588)+SUM(J603:J605)+L614</f>
        <v>0</v>
      </c>
      <c r="I664" s="19">
        <f>SUM(F664:H664)</f>
        <v>372092.6</v>
      </c>
      <c r="J664" s="13"/>
      <c r="K664" s="13"/>
      <c r="L664" s="13"/>
      <c r="M664" s="9"/>
    </row>
    <row r="665" spans="1:13" s="3" customFormat="1" ht="12.2" customHeight="1" x14ac:dyDescent="0.15">
      <c r="A665" s="1" t="s">
        <v>130</v>
      </c>
      <c r="F665" s="19">
        <f>F661-SUM(F662:F664)</f>
        <v>8266783.2999999989</v>
      </c>
      <c r="G665" s="19">
        <f>G661-SUM(G662:G664)</f>
        <v>0</v>
      </c>
      <c r="H665" s="19">
        <f>H661-SUM(H662:H664)</f>
        <v>0</v>
      </c>
      <c r="I665" s="19">
        <f>I661-SUM(I662:I664)</f>
        <v>8266783.2999999989</v>
      </c>
      <c r="J665" s="13"/>
      <c r="K665" s="13"/>
      <c r="L665" s="13"/>
      <c r="M665" s="8"/>
    </row>
    <row r="666" spans="1:13" s="3" customFormat="1" ht="12.2" customHeight="1" x14ac:dyDescent="0.2">
      <c r="A666" s="1" t="s">
        <v>131</v>
      </c>
      <c r="F666" s="245">
        <v>371.19</v>
      </c>
      <c r="G666" s="246"/>
      <c r="H666" s="246"/>
      <c r="I666" s="19">
        <f>SUM(F666:H666)</f>
        <v>371.19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22271.03</v>
      </c>
      <c r="G668" s="19" t="e">
        <f>ROUND(G665/G666,2)</f>
        <v>#DIV/0!</v>
      </c>
      <c r="H668" s="19" t="e">
        <f>ROUND(H665/H666,2)</f>
        <v>#DIV/0!</v>
      </c>
      <c r="I668" s="19">
        <f>ROUND(I665/I666,2)</f>
        <v>22271.03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22271.03</v>
      </c>
      <c r="G673" s="19" t="e">
        <f>ROUND((G665+G670)/(G666+G671),2)</f>
        <v>#DIV/0!</v>
      </c>
      <c r="H673" s="19" t="e">
        <f>ROUND((H665+H670)/(H666+H671),2)</f>
        <v>#DIV/0!</v>
      </c>
      <c r="I673" s="19">
        <f>ROUND((I665+I670)/(I666+I671),2)</f>
        <v>22271.03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50454.96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4527.6+22867.78</f>
        <v>27395.379999999997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9309.58+13750</f>
        <v>23059.58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10853.11</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Plymouth</v>
      </c>
      <c r="C5" s="375"/>
      <c r="D5" s="375"/>
      <c r="E5" s="375"/>
      <c r="F5" s="375"/>
    </row>
    <row r="8" spans="1:9" ht="18" x14ac:dyDescent="0.25">
      <c r="A8" s="312" t="s">
        <v>1568</v>
      </c>
      <c r="F8" s="319" t="s">
        <v>1586</v>
      </c>
    </row>
    <row r="9" spans="1:9" ht="15" x14ac:dyDescent="0.2">
      <c r="A9" s="310" t="s">
        <v>1569</v>
      </c>
      <c r="B9" s="313">
        <f>'DOE25'!G97</f>
        <v>5543.15</v>
      </c>
      <c r="F9" s="310" t="s">
        <v>1582</v>
      </c>
    </row>
    <row r="10" spans="1:9" ht="15" x14ac:dyDescent="0.2">
      <c r="A10" s="310" t="s">
        <v>1570</v>
      </c>
      <c r="B10" s="313">
        <f>'DOE25'!G112-'DOE25'!G97</f>
        <v>0</v>
      </c>
      <c r="F10" s="310" t="s">
        <v>1583</v>
      </c>
    </row>
    <row r="11" spans="1:9" ht="15" x14ac:dyDescent="0.2">
      <c r="A11" s="310" t="s">
        <v>1571</v>
      </c>
      <c r="B11" s="313">
        <f>'DOE25'!G140</f>
        <v>3590.73</v>
      </c>
      <c r="F11" s="310" t="s">
        <v>1584</v>
      </c>
    </row>
    <row r="12" spans="1:9" ht="15" x14ac:dyDescent="0.2">
      <c r="A12" s="310" t="s">
        <v>1572</v>
      </c>
      <c r="B12" s="313">
        <f>'DOE25'!G170</f>
        <v>232853.05</v>
      </c>
      <c r="F12" s="310" t="s">
        <v>1585</v>
      </c>
    </row>
    <row r="13" spans="1:9" ht="15" x14ac:dyDescent="0.2">
      <c r="A13" s="310" t="s">
        <v>1573</v>
      </c>
      <c r="B13" s="313">
        <f>'DOE25'!G193-'DOE25'!G180</f>
        <v>0</v>
      </c>
      <c r="F13" s="310" t="s">
        <v>1595</v>
      </c>
    </row>
    <row r="14" spans="1:9" ht="18" x14ac:dyDescent="0.25">
      <c r="A14" s="312" t="s">
        <v>732</v>
      </c>
      <c r="B14" s="314">
        <f>SUM(B9:B13)</f>
        <v>241986.93</v>
      </c>
    </row>
    <row r="16" spans="1:9" ht="18" x14ac:dyDescent="0.25">
      <c r="A16" s="312" t="s">
        <v>786</v>
      </c>
      <c r="F16" s="319" t="s">
        <v>1587</v>
      </c>
    </row>
    <row r="17" spans="1:6" ht="15" x14ac:dyDescent="0.2">
      <c r="A17" s="310" t="s">
        <v>1574</v>
      </c>
      <c r="B17" s="313">
        <f>'DOE25'!L363-'DOE25'!L362</f>
        <v>212316.87</v>
      </c>
      <c r="F17" s="310" t="s">
        <v>1588</v>
      </c>
    </row>
    <row r="18" spans="1:6" ht="15" x14ac:dyDescent="0.2">
      <c r="A18" s="310" t="s">
        <v>1575</v>
      </c>
      <c r="B18" s="323"/>
      <c r="F18" s="319" t="s">
        <v>1612</v>
      </c>
    </row>
    <row r="19" spans="1:6" ht="18" x14ac:dyDescent="0.25">
      <c r="A19" s="312" t="s">
        <v>725</v>
      </c>
      <c r="B19" s="314">
        <f>SUM(B17:B18)</f>
        <v>212316.87</v>
      </c>
    </row>
    <row r="21" spans="1:6" ht="18.75" thickBot="1" x14ac:dyDescent="0.3">
      <c r="A21" s="312" t="s">
        <v>1576</v>
      </c>
    </row>
    <row r="22" spans="1:6" ht="18.75" thickTop="1" x14ac:dyDescent="0.25">
      <c r="A22" s="312" t="s">
        <v>1577</v>
      </c>
      <c r="B22" s="318">
        <f>B14-B19</f>
        <v>29670.059999999998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8207.7900000000009</v>
      </c>
      <c r="F31" s="310" t="s">
        <v>1592</v>
      </c>
    </row>
    <row r="33" spans="1:6" ht="15" x14ac:dyDescent="0.2">
      <c r="A33" s="310" t="s">
        <v>1635</v>
      </c>
      <c r="B33" s="313">
        <f>'DOE25'!G477</f>
        <v>37877.850000000006</v>
      </c>
      <c r="F33" s="310" t="s">
        <v>1593</v>
      </c>
    </row>
    <row r="36" spans="1:6" ht="15" x14ac:dyDescent="0.2">
      <c r="A36" s="310" t="s">
        <v>1579</v>
      </c>
      <c r="B36" s="324">
        <v>10471.85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Plymouth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2347824.4900000002</v>
      </c>
      <c r="C9" s="228">
        <f>'DOE25'!G198+'DOE25'!G216+'DOE25'!G234+'DOE25'!G277+'DOE25'!G296+'DOE25'!G315</f>
        <v>1164432.48</v>
      </c>
    </row>
    <row r="10" spans="1:3" x14ac:dyDescent="0.2">
      <c r="A10" t="s">
        <v>775</v>
      </c>
      <c r="B10" s="239">
        <v>2248557.17</v>
      </c>
      <c r="C10" s="239">
        <v>1154938.1399999999</v>
      </c>
    </row>
    <row r="11" spans="1:3" x14ac:dyDescent="0.2">
      <c r="A11" t="s">
        <v>776</v>
      </c>
      <c r="B11" s="239">
        <v>2779.52</v>
      </c>
      <c r="C11" s="239">
        <v>231</v>
      </c>
    </row>
    <row r="12" spans="1:3" x14ac:dyDescent="0.2">
      <c r="A12" t="s">
        <v>777</v>
      </c>
      <c r="B12" s="239">
        <v>96487.8</v>
      </c>
      <c r="C12" s="239">
        <v>9263.34</v>
      </c>
    </row>
    <row r="13" spans="1:3" x14ac:dyDescent="0.2">
      <c r="A13" t="str">
        <f>IF(B9=B13,IF(C9=C13,"Check Total OK","Check Total Error"),"Check Total Error")</f>
        <v>Check Total OK</v>
      </c>
      <c r="B13" s="230">
        <f>SUM(B10:B12)</f>
        <v>2347824.4899999998</v>
      </c>
      <c r="C13" s="230">
        <f>SUM(C10:C12)</f>
        <v>1164432.48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992299.02</v>
      </c>
      <c r="C18" s="228">
        <f>'DOE25'!G199+'DOE25'!G217+'DOE25'!G235+'DOE25'!G278+'DOE25'!G297+'DOE25'!G316</f>
        <v>519415.42</v>
      </c>
    </row>
    <row r="19" spans="1:3" x14ac:dyDescent="0.2">
      <c r="A19" t="s">
        <v>775</v>
      </c>
      <c r="B19" s="239">
        <v>421858.14</v>
      </c>
      <c r="C19" s="239">
        <v>243654.86</v>
      </c>
    </row>
    <row r="20" spans="1:3" x14ac:dyDescent="0.2">
      <c r="A20" t="s">
        <v>776</v>
      </c>
      <c r="B20" s="239">
        <v>460059.04</v>
      </c>
      <c r="C20" s="239">
        <v>229218.08</v>
      </c>
    </row>
    <row r="21" spans="1:3" x14ac:dyDescent="0.2">
      <c r="A21" t="s">
        <v>777</v>
      </c>
      <c r="B21" s="239">
        <v>110381.84</v>
      </c>
      <c r="C21" s="239">
        <v>46542.48</v>
      </c>
    </row>
    <row r="22" spans="1:3" x14ac:dyDescent="0.2">
      <c r="A22" t="str">
        <f>IF(B18=B22,IF(C18=C22,"Check Total OK","Check Total Error"),"Check Total Error")</f>
        <v>Check Total OK</v>
      </c>
      <c r="B22" s="230">
        <f>SUM(B19:B21)</f>
        <v>992299.0199999999</v>
      </c>
      <c r="C22" s="230">
        <f>SUM(C19:C21)</f>
        <v>519415.41999999993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125814.40000000001</v>
      </c>
      <c r="C36" s="234">
        <f>'DOE25'!G201+'DOE25'!G219+'DOE25'!G237+'DOE25'!G280+'DOE25'!G299+'DOE25'!G318</f>
        <v>23245.48</v>
      </c>
    </row>
    <row r="37" spans="1:3" x14ac:dyDescent="0.2">
      <c r="A37" t="s">
        <v>775</v>
      </c>
      <c r="B37" s="239">
        <v>117284.4</v>
      </c>
      <c r="C37" s="239">
        <v>21081.51</v>
      </c>
    </row>
    <row r="38" spans="1:3" x14ac:dyDescent="0.2">
      <c r="A38" t="s">
        <v>776</v>
      </c>
      <c r="B38" s="239"/>
      <c r="C38" s="239"/>
    </row>
    <row r="39" spans="1:3" x14ac:dyDescent="0.2">
      <c r="A39" t="s">
        <v>777</v>
      </c>
      <c r="B39" s="239">
        <v>8530</v>
      </c>
      <c r="C39" s="239">
        <v>2163.9699999999998</v>
      </c>
    </row>
    <row r="40" spans="1:3" x14ac:dyDescent="0.2">
      <c r="A40" t="str">
        <f>IF(B36=B40,IF(C36=C40,"Check Total OK","Check Total Error"),"Check Total Error")</f>
        <v>Check Total OK</v>
      </c>
      <c r="B40" s="230">
        <f>SUM(B37:B39)</f>
        <v>125814.39999999999</v>
      </c>
      <c r="C40" s="230">
        <f>SUM(C37:C39)</f>
        <v>23245.48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0" zoomScaleNormal="12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Plymouth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5500809.9699999997</v>
      </c>
      <c r="D5" s="20">
        <f>SUM('DOE25'!L198:L201)+SUM('DOE25'!L216:L219)+SUM('DOE25'!L234:L237)-F5-G5-H5</f>
        <v>5462702.8099999996</v>
      </c>
      <c r="E5" s="242"/>
      <c r="F5" s="243"/>
      <c r="G5" s="53">
        <f>SUM('DOE25'!J198:J201)+SUM('DOE25'!J216:J219)+SUM('DOE25'!J234:J237)</f>
        <v>32595.86</v>
      </c>
      <c r="H5" s="53">
        <f>SUM('DOE25'!K198:K201)+SUM('DOE25'!K216:K219)+SUM('DOE25'!K234:K237)</f>
        <v>5511.2999999999993</v>
      </c>
      <c r="I5" s="255"/>
    </row>
    <row r="6" spans="1:9" x14ac:dyDescent="0.2">
      <c r="A6" s="32">
        <v>2100</v>
      </c>
      <c r="B6" t="s">
        <v>796</v>
      </c>
      <c r="C6" s="274">
        <f t="shared" si="0"/>
        <v>621674.12</v>
      </c>
      <c r="D6" s="20">
        <f>'DOE25'!L203+'DOE25'!L221+'DOE25'!L239-F6-G6-H6</f>
        <v>30327.119999999995</v>
      </c>
      <c r="E6" s="242"/>
      <c r="F6" s="243">
        <f>138694+109004+93833+89926+79956+79934</f>
        <v>591347</v>
      </c>
      <c r="G6" s="53">
        <f>'DOE25'!J203+'DOE25'!J221+'DOE25'!J239</f>
        <v>0</v>
      </c>
      <c r="H6" s="53">
        <f>'DOE25'!K203+'DOE25'!K221+'DOE25'!K239</f>
        <v>0</v>
      </c>
      <c r="I6" s="255"/>
    </row>
    <row r="7" spans="1:9" x14ac:dyDescent="0.2">
      <c r="A7" s="32">
        <v>2200</v>
      </c>
      <c r="B7" t="s">
        <v>821</v>
      </c>
      <c r="C7" s="274">
        <f t="shared" si="0"/>
        <v>161874</v>
      </c>
      <c r="D7" s="20">
        <f>'DOE25'!L204+'DOE25'!L222+'DOE25'!L240-F7-G7-H7</f>
        <v>159961.53</v>
      </c>
      <c r="E7" s="242"/>
      <c r="F7" s="243"/>
      <c r="G7" s="53">
        <f>'DOE25'!J204+'DOE25'!J222+'DOE25'!J240</f>
        <v>0</v>
      </c>
      <c r="H7" s="53">
        <f>'DOE25'!K204+'DOE25'!K222+'DOE25'!K240</f>
        <v>1912.47</v>
      </c>
      <c r="I7" s="255"/>
    </row>
    <row r="8" spans="1:9" x14ac:dyDescent="0.2">
      <c r="A8" s="32">
        <v>2300</v>
      </c>
      <c r="B8" t="s">
        <v>797</v>
      </c>
      <c r="C8" s="274">
        <f t="shared" si="0"/>
        <v>299275.72000000009</v>
      </c>
      <c r="D8" s="242"/>
      <c r="E8" s="20">
        <f>'DOE25'!L205+'DOE25'!L223+'DOE25'!L241-F8-G8-H8-D9-D11</f>
        <v>295880.89000000007</v>
      </c>
      <c r="F8" s="243"/>
      <c r="G8" s="53">
        <f>'DOE25'!J205+'DOE25'!J223+'DOE25'!J241</f>
        <v>0</v>
      </c>
      <c r="H8" s="53">
        <f>'DOE25'!K205+'DOE25'!K223+'DOE25'!K241</f>
        <v>3394.83</v>
      </c>
      <c r="I8" s="255"/>
    </row>
    <row r="9" spans="1:9" ht="14.25" x14ac:dyDescent="0.2">
      <c r="A9" s="32">
        <v>2310</v>
      </c>
      <c r="B9" s="184" t="s">
        <v>888</v>
      </c>
      <c r="C9" s="274">
        <f t="shared" si="0"/>
        <v>27819.41</v>
      </c>
      <c r="D9" s="243">
        <f>11505.69+2904.6+1662.37+8450+3296.75</f>
        <v>27819.41</v>
      </c>
      <c r="E9" s="242"/>
      <c r="F9" s="252"/>
      <c r="G9" s="252"/>
      <c r="H9" s="252"/>
      <c r="I9" s="255"/>
    </row>
    <row r="10" spans="1:9" ht="14.25" x14ac:dyDescent="0.2">
      <c r="A10" s="32">
        <v>2317</v>
      </c>
      <c r="B10" s="184" t="s">
        <v>889</v>
      </c>
      <c r="C10" s="274">
        <f t="shared" si="0"/>
        <v>8450</v>
      </c>
      <c r="D10" s="242"/>
      <c r="E10" s="243">
        <v>8450</v>
      </c>
      <c r="F10" s="252"/>
      <c r="G10" s="252"/>
      <c r="H10" s="252"/>
      <c r="I10" s="255"/>
    </row>
    <row r="11" spans="1:9" ht="14.25" x14ac:dyDescent="0.2">
      <c r="A11" s="32">
        <v>2321</v>
      </c>
      <c r="B11" s="184" t="s">
        <v>890</v>
      </c>
      <c r="C11" s="274">
        <f t="shared" si="0"/>
        <v>112351.88</v>
      </c>
      <c r="D11" s="243">
        <v>112351.88</v>
      </c>
      <c r="E11" s="242"/>
      <c r="F11" s="252"/>
      <c r="G11" s="252"/>
      <c r="H11" s="252"/>
      <c r="I11" s="255"/>
    </row>
    <row r="12" spans="1:9" x14ac:dyDescent="0.2">
      <c r="A12" s="32">
        <v>2400</v>
      </c>
      <c r="B12" t="s">
        <v>711</v>
      </c>
      <c r="C12" s="274">
        <f t="shared" si="0"/>
        <v>456464.84</v>
      </c>
      <c r="D12" s="20">
        <f>'DOE25'!L206+'DOE25'!L224+'DOE25'!L242-F12-G12-H12</f>
        <v>454555.84</v>
      </c>
      <c r="E12" s="242"/>
      <c r="F12" s="243"/>
      <c r="G12" s="53">
        <f>'DOE25'!J206+'DOE25'!J224+'DOE25'!J242</f>
        <v>0</v>
      </c>
      <c r="H12" s="53">
        <f>'DOE25'!K206+'DOE25'!K224+'DOE25'!K242</f>
        <v>1909</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737096.61</v>
      </c>
      <c r="D14" s="20">
        <f>'DOE25'!L208+'DOE25'!L226+'DOE25'!L244-F14-G14-H14</f>
        <v>634188.55999999994</v>
      </c>
      <c r="E14" s="242"/>
      <c r="F14" s="243"/>
      <c r="G14" s="53">
        <f>'DOE25'!J208+'DOE25'!J226+'DOE25'!J244</f>
        <v>102908.05</v>
      </c>
      <c r="H14" s="53">
        <f>'DOE25'!K208+'DOE25'!K226+'DOE25'!K244</f>
        <v>0</v>
      </c>
      <c r="I14" s="255"/>
    </row>
    <row r="15" spans="1:9" x14ac:dyDescent="0.2">
      <c r="A15" s="32">
        <v>2700</v>
      </c>
      <c r="B15" t="s">
        <v>799</v>
      </c>
      <c r="C15" s="274">
        <f t="shared" si="0"/>
        <v>250605.73</v>
      </c>
      <c r="D15" s="20">
        <f>'DOE25'!L209+'DOE25'!L227+'DOE25'!L245-F15-G15-H15</f>
        <v>18456.73000000001</v>
      </c>
      <c r="E15" s="242"/>
      <c r="F15" s="243">
        <f>174622+57527</f>
        <v>232149</v>
      </c>
      <c r="G15" s="53">
        <f>'DOE25'!J209+'DOE25'!J227+'DOE25'!J245</f>
        <v>0</v>
      </c>
      <c r="H15" s="53">
        <f>'DOE25'!K209+'DOE25'!K227+'DOE25'!K245</f>
        <v>0</v>
      </c>
      <c r="I15" s="255"/>
    </row>
    <row r="16" spans="1:9" x14ac:dyDescent="0.2">
      <c r="A16" s="32">
        <v>2800</v>
      </c>
      <c r="B16" t="s">
        <v>800</v>
      </c>
      <c r="C16" s="274">
        <f t="shared" si="0"/>
        <v>31563</v>
      </c>
      <c r="D16" s="242"/>
      <c r="E16" s="20">
        <f>'DOE25'!L210+'DOE25'!L228+'DOE25'!L246-F16-G16-H16</f>
        <v>31563</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234486.46</v>
      </c>
      <c r="D19" s="20">
        <f>'DOE25'!L254-F19-G19-H19</f>
        <v>234486.46</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156418.14000000001</v>
      </c>
      <c r="D22" s="242"/>
      <c r="E22" s="242"/>
      <c r="F22" s="242"/>
      <c r="G22" s="53">
        <f>'DOE25'!L256+'DOE25'!L337</f>
        <v>156418.14000000001</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31962.85</v>
      </c>
      <c r="D25" s="242"/>
      <c r="E25" s="242"/>
      <c r="F25" s="254"/>
      <c r="G25" s="252"/>
      <c r="H25" s="252"/>
      <c r="I25" s="253">
        <f>'DOE25'!L261+'DOE25'!L262+'DOE25'!L342+'DOE25'!L343</f>
        <v>31962.85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212316.87</v>
      </c>
      <c r="D29" s="282">
        <f>'DOE25'!L359+'DOE25'!L360+'DOE25'!L361-'DOE25'!I368-F29-G29-H29</f>
        <v>133713.87</v>
      </c>
      <c r="E29" s="242"/>
      <c r="F29" s="243">
        <v>78603</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519736.09999999992</v>
      </c>
      <c r="D31" s="20">
        <f>'DOE25'!L291+'DOE25'!L310+'DOE25'!L329+'DOE25'!L334+'DOE25'!L335+'DOE25'!L336-F31-G31-H31</f>
        <v>466397.13999999996</v>
      </c>
      <c r="E31" s="242"/>
      <c r="F31" s="243"/>
      <c r="G31" s="53">
        <f>'DOE25'!J291+'DOE25'!J310+'DOE25'!J329+'DOE25'!J334+'DOE25'!J335+'DOE25'!J336</f>
        <v>38406.410000000003</v>
      </c>
      <c r="H31" s="53">
        <f>'DOE25'!K291+'DOE25'!K310+'DOE25'!K329+'DOE25'!K334+'DOE25'!K335+'DOE25'!K336</f>
        <v>14932.55</v>
      </c>
      <c r="I31" s="255"/>
    </row>
    <row r="32" spans="1:9" ht="12" thickBot="1" x14ac:dyDescent="0.25">
      <c r="C32" s="275"/>
      <c r="G32" s="250"/>
      <c r="H32" s="250"/>
      <c r="I32" s="257"/>
    </row>
    <row r="33" spans="1:9" ht="12" thickTop="1" x14ac:dyDescent="0.2">
      <c r="B33" t="s">
        <v>809</v>
      </c>
      <c r="D33" s="244">
        <f t="shared" ref="D33:I33" si="1">SUM(D5:D31)</f>
        <v>7734961.3499999996</v>
      </c>
      <c r="E33" s="244">
        <f t="shared" si="1"/>
        <v>335893.89000000007</v>
      </c>
      <c r="F33" s="244">
        <f t="shared" si="1"/>
        <v>902099</v>
      </c>
      <c r="G33" s="244">
        <f t="shared" si="1"/>
        <v>330328.46000000008</v>
      </c>
      <c r="H33" s="244">
        <f t="shared" si="1"/>
        <v>27660.149999999998</v>
      </c>
      <c r="I33" s="244">
        <f t="shared" si="1"/>
        <v>31962.85</v>
      </c>
    </row>
    <row r="35" spans="1:9" ht="12" thickBot="1" x14ac:dyDescent="0.25">
      <c r="B35" s="250" t="s">
        <v>831</v>
      </c>
      <c r="D35" s="251">
        <f>E33</f>
        <v>335893.89000000007</v>
      </c>
      <c r="E35" s="247"/>
      <c r="F35" s="328" t="s">
        <v>1617</v>
      </c>
      <c r="G35" s="329"/>
      <c r="H35" s="329"/>
      <c r="I35" s="329"/>
    </row>
    <row r="36" spans="1:9" ht="12" thickTop="1" x14ac:dyDescent="0.2">
      <c r="B36" t="s">
        <v>810</v>
      </c>
      <c r="D36" s="20">
        <f>D33</f>
        <v>7734961.3499999996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Plymouth</v>
      </c>
      <c r="B2" s="126">
        <f>'DOE25'!B2</f>
        <v>447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8683707.9100000001</v>
      </c>
      <c r="G4" s="299">
        <f>'DOE25'!L212+'DOE25'!L291</f>
        <v>8683707.9100000001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Plymouth Elementary School</v>
      </c>
      <c r="B6" s="300">
        <f>IFERROR(VLOOKUP(A6,'School Tables'!$C$3:$D$365,2,FALSE),"")</f>
        <v>22355</v>
      </c>
      <c r="C6" s="293" t="str">
        <f>IFERROR(INDEX('School Tables'!$B$3:$B$365,MATCH('School Level Expenditures'!B6,'School Tables'!$D$3:$D$365,0)),"")</f>
        <v>Plymouth</v>
      </c>
      <c r="D6" s="290">
        <v>8199535.2800000003</v>
      </c>
      <c r="E6" s="290">
        <v>484172.63</v>
      </c>
      <c r="F6" s="303">
        <f t="shared" ref="F6:F20" si="0">D6+E6</f>
        <v>8683707.9100000001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8199535.2800000003</v>
      </c>
      <c r="E21" s="338">
        <f>SUM(E5:E20)</f>
        <v>484172.63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Plymouth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1322197.33</v>
      </c>
      <c r="D8" s="95">
        <f>'DOE25'!G9</f>
        <v>21646.18</v>
      </c>
      <c r="E8" s="95">
        <f>'DOE25'!H9</f>
        <v>-106404.17</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106850.04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3103.32</v>
      </c>
      <c r="D12" s="95">
        <f>'DOE25'!G13</f>
        <v>71146</v>
      </c>
      <c r="E12" s="95">
        <f>'DOE25'!H13</f>
        <v>113955.74</v>
      </c>
      <c r="F12" s="95">
        <f>'DOE25'!I13</f>
        <v>0</v>
      </c>
      <c r="G12" s="95">
        <f>'DOE25'!J13</f>
        <v>0</v>
      </c>
      <c r="H12" s="124"/>
      <c r="I12" s="124"/>
    </row>
    <row r="13" spans="1:9" x14ac:dyDescent="0.2">
      <c r="A13" s="1" t="s">
        <v>144</v>
      </c>
      <c r="B13" s="6">
        <v>150</v>
      </c>
      <c r="C13" s="95">
        <f>'DOE25'!F14</f>
        <v>10983.4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5109.4399999999996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1341393.49</v>
      </c>
      <c r="D18" s="41">
        <f>SUM(D8:D17)</f>
        <v>92792.18</v>
      </c>
      <c r="E18" s="41">
        <f>SUM(E8:E17)</f>
        <v>7551.570000000007</v>
      </c>
      <c r="F18" s="41">
        <f>SUM(F8:F17)</f>
        <v>0</v>
      </c>
      <c r="G18" s="41">
        <f>SUM(G8:G17)</f>
        <v>106850.04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46287.040000000001</v>
      </c>
      <c r="D23" s="95">
        <f>'DOE25'!G24</f>
        <v>54914.33</v>
      </c>
      <c r="E23" s="95">
        <f>'DOE25'!H24</f>
        <v>4302.8999999999996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2905.12</v>
      </c>
      <c r="D29" s="95">
        <f>'DOE25'!G30</f>
        <v>0</v>
      </c>
      <c r="E29" s="95">
        <f>'DOE25'!H30</f>
        <v>1326.69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49192.160000000003</v>
      </c>
      <c r="D31" s="41">
        <f>SUM(D21:D30)</f>
        <v>54914.33</v>
      </c>
      <c r="E31" s="41">
        <f>SUM(E21:E30)</f>
        <v>5629.59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293109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37877.85</v>
      </c>
      <c r="E47" s="95">
        <f>'DOE25'!H48</f>
        <v>-36500.04</v>
      </c>
      <c r="F47" s="95">
        <f>'DOE25'!I48</f>
        <v>0</v>
      </c>
      <c r="G47" s="95">
        <f>'DOE25'!J48</f>
        <v>106850.04</v>
      </c>
      <c r="H47" s="124"/>
      <c r="I47" s="124"/>
    </row>
    <row r="48" spans="1:9" x14ac:dyDescent="0.2">
      <c r="A48" s="1" t="s">
        <v>882</v>
      </c>
      <c r="B48" s="6">
        <v>753</v>
      </c>
      <c r="C48" s="95">
        <f>'DOE25'!F49</f>
        <v>500030.38</v>
      </c>
      <c r="D48" s="95">
        <f>'DOE25'!G49</f>
        <v>0</v>
      </c>
      <c r="E48" s="95">
        <f>'DOE25'!H49</f>
        <v>38422.019999999997</v>
      </c>
      <c r="F48" s="95">
        <f>'DOE25'!I49</f>
        <v>0</v>
      </c>
      <c r="G48" s="95">
        <f>'DOE25'!J49</f>
        <v>0</v>
      </c>
      <c r="H48" s="124"/>
      <c r="I48" s="124"/>
    </row>
    <row r="49" spans="1:9" ht="12" thickBot="1" x14ac:dyDescent="0.25">
      <c r="A49" s="29" t="s">
        <v>883</v>
      </c>
      <c r="B49" s="71">
        <v>770</v>
      </c>
      <c r="C49" s="95">
        <f>'DOE25'!F50</f>
        <v>449061.95</v>
      </c>
      <c r="D49" s="24" t="s">
        <v>288</v>
      </c>
      <c r="E49" s="24" t="s">
        <v>288</v>
      </c>
      <c r="F49" s="24" t="s">
        <v>288</v>
      </c>
      <c r="G49" s="24" t="s">
        <v>288</v>
      </c>
      <c r="H49" s="124"/>
      <c r="I49" s="124"/>
    </row>
    <row r="50" spans="1:9" ht="12.75" thickTop="1" thickBot="1" x14ac:dyDescent="0.25">
      <c r="A50" s="38" t="s">
        <v>884</v>
      </c>
      <c r="B50" s="48"/>
      <c r="C50" s="41">
        <f>SUM(C34:C49)</f>
        <v>1292201.33</v>
      </c>
      <c r="D50" s="41">
        <f>SUM(D34:D49)</f>
        <v>37877.85</v>
      </c>
      <c r="E50" s="41">
        <f>SUM(E34:E49)</f>
        <v>1921.9799999999959</v>
      </c>
      <c r="F50" s="41">
        <f>SUM(F34:F49)</f>
        <v>0</v>
      </c>
      <c r="G50" s="41">
        <f>SUM(G34:G49)</f>
        <v>106850.04</v>
      </c>
      <c r="H50" s="124"/>
      <c r="I50" s="124"/>
    </row>
    <row r="51" spans="1:9" ht="12" thickTop="1" x14ac:dyDescent="0.2">
      <c r="A51" s="38" t="s">
        <v>885</v>
      </c>
      <c r="B51" s="2"/>
      <c r="C51" s="41">
        <f>C50+C31</f>
        <v>1341393.49</v>
      </c>
      <c r="D51" s="41">
        <f>D50+D31</f>
        <v>92792.18</v>
      </c>
      <c r="E51" s="41">
        <f>E50+E31</f>
        <v>7551.5699999999961</v>
      </c>
      <c r="F51" s="41">
        <f>F50+F31</f>
        <v>0</v>
      </c>
      <c r="G51" s="41">
        <f>G50+G31</f>
        <v>106850.04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5238938</v>
      </c>
      <c r="D56" s="95">
        <f>'DOE25'!G60</f>
        <v>0</v>
      </c>
      <c r="E56" s="95">
        <f>'DOE25'!H60</f>
        <v>0</v>
      </c>
      <c r="F56" s="95">
        <f>'DOE25'!I60</f>
        <v>0</v>
      </c>
      <c r="G56" s="95">
        <f>'DOE25'!J60</f>
        <v>0</v>
      </c>
      <c r="H56"/>
      <c r="I56"/>
    </row>
    <row r="57" spans="1:9" x14ac:dyDescent="0.2">
      <c r="A57" s="1" t="s">
        <v>164</v>
      </c>
      <c r="B57" s="6" t="s">
        <v>165</v>
      </c>
      <c r="C57" s="95">
        <f>'DOE25'!F79</f>
        <v>353772.73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2.19</v>
      </c>
      <c r="D59" s="95">
        <f>'DOE25'!G96</f>
        <v>0</v>
      </c>
      <c r="E59" s="95">
        <f>'DOE25'!H96</f>
        <v>0</v>
      </c>
      <c r="F59" s="95">
        <f>'DOE25'!I96</f>
        <v>0</v>
      </c>
      <c r="G59" s="95">
        <f>'DOE25'!J96</f>
        <v>128.02000000000001</v>
      </c>
      <c r="H59"/>
      <c r="I59"/>
    </row>
    <row r="60" spans="1:9" x14ac:dyDescent="0.2">
      <c r="A60" s="1" t="s">
        <v>170</v>
      </c>
      <c r="B60" s="118" t="s">
        <v>171</v>
      </c>
      <c r="C60" s="24" t="s">
        <v>288</v>
      </c>
      <c r="D60" s="95">
        <f>'DOE25'!G97</f>
        <v>5543.15</v>
      </c>
      <c r="E60" s="24" t="s">
        <v>288</v>
      </c>
      <c r="F60" s="24" t="s">
        <v>288</v>
      </c>
      <c r="G60" s="24" t="s">
        <v>288</v>
      </c>
      <c r="H60"/>
      <c r="I60"/>
    </row>
    <row r="61" spans="1:9" ht="12" thickBot="1" x14ac:dyDescent="0.25">
      <c r="A61" s="1" t="s">
        <v>172</v>
      </c>
      <c r="B61" s="118" t="s">
        <v>173</v>
      </c>
      <c r="C61" s="95">
        <f>SUM('DOE25'!F98:F110)</f>
        <v>336408.98000000004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690183.9</v>
      </c>
      <c r="D62" s="130">
        <f>SUM(D57:D61)</f>
        <v>5543.15</v>
      </c>
      <c r="E62" s="130">
        <f>SUM(E57:E61)</f>
        <v>0</v>
      </c>
      <c r="F62" s="130">
        <f>SUM(F57:F61)</f>
        <v>0</v>
      </c>
      <c r="G62" s="130">
        <f>SUM(G57:G61)</f>
        <v>128.02000000000001</v>
      </c>
      <c r="H62"/>
      <c r="I62"/>
    </row>
    <row r="63" spans="1:9" ht="12" thickTop="1" x14ac:dyDescent="0.2">
      <c r="A63" s="29" t="s">
        <v>175</v>
      </c>
      <c r="B63" s="6"/>
      <c r="C63" s="22">
        <f>C56+C62</f>
        <v>5929121.9000000004</v>
      </c>
      <c r="D63" s="22">
        <f>D56+D62</f>
        <v>5543.15</v>
      </c>
      <c r="E63" s="22">
        <f>E56+E62</f>
        <v>0</v>
      </c>
      <c r="F63" s="22">
        <f>F56+F62</f>
        <v>0</v>
      </c>
      <c r="G63" s="22">
        <f>G56+G62</f>
        <v>128.02000000000001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2492119.1</v>
      </c>
      <c r="D66" s="24" t="s">
        <v>288</v>
      </c>
      <c r="E66" s="24" t="s">
        <v>288</v>
      </c>
      <c r="F66" s="24" t="s">
        <v>288</v>
      </c>
      <c r="G66" s="24" t="s">
        <v>288</v>
      </c>
      <c r="H66"/>
      <c r="I66"/>
    </row>
    <row r="67" spans="1:9" x14ac:dyDescent="0.2">
      <c r="A67" s="1" t="s">
        <v>770</v>
      </c>
      <c r="B67" s="6">
        <v>3112</v>
      </c>
      <c r="C67" s="95">
        <f>'DOE25'!F118</f>
        <v>623234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7980.84</v>
      </c>
      <c r="D69" s="95">
        <f>'DOE25'!G120</f>
        <v>0</v>
      </c>
      <c r="E69" s="95">
        <f>'DOE25'!H120</f>
        <v>0</v>
      </c>
      <c r="F69" s="95">
        <f>'DOE25'!I120</f>
        <v>0</v>
      </c>
      <c r="G69" s="95">
        <f>'DOE25'!J120</f>
        <v>0</v>
      </c>
      <c r="H69"/>
      <c r="I69"/>
    </row>
    <row r="70" spans="1:9" ht="12" thickTop="1" x14ac:dyDescent="0.2">
      <c r="A70" s="29" t="s">
        <v>252</v>
      </c>
      <c r="B70" s="2"/>
      <c r="C70" s="139">
        <f>SUM(C66:C69)</f>
        <v>3123333.94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45684.62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3590.73</v>
      </c>
      <c r="E77" s="95">
        <f>SUM('DOE25'!H131:H135)</f>
        <v>0</v>
      </c>
      <c r="F77" s="95">
        <f>SUM('DOE25'!I131:I135)</f>
        <v>0</v>
      </c>
      <c r="G77" s="95">
        <f>SUM('DOE25'!J131:J135)</f>
        <v>0</v>
      </c>
      <c r="H77"/>
      <c r="I77"/>
    </row>
    <row r="78" spans="1:9" ht="12.75" thickTop="1" thickBot="1" x14ac:dyDescent="0.25">
      <c r="A78" s="29" t="s">
        <v>259</v>
      </c>
      <c r="B78" s="6"/>
      <c r="C78" s="130">
        <f>SUM(C72:C77)</f>
        <v>45684.62</v>
      </c>
      <c r="D78" s="130">
        <f>SUM(D72:D77)</f>
        <v>3590.73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3169018.56</v>
      </c>
      <c r="D81" s="130">
        <f>SUM(D79:D80)+D78+D70</f>
        <v>3590.73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10853.11</v>
      </c>
      <c r="F87" s="95">
        <f>SUM('DOE25'!I149:I152)</f>
        <v>0</v>
      </c>
      <c r="G87" s="24" t="s">
        <v>288</v>
      </c>
    </row>
    <row r="88" spans="1:9" x14ac:dyDescent="0.2">
      <c r="A88" s="287" t="s">
        <v>747</v>
      </c>
      <c r="B88" s="325" t="s">
        <v>184</v>
      </c>
      <c r="C88" s="326">
        <f>SUM('DOE25'!F153:F162)</f>
        <v>71108.240000000005</v>
      </c>
      <c r="D88" s="326">
        <f>SUM('DOE25'!G153:G162)</f>
        <v>232853.05</v>
      </c>
      <c r="E88" s="326">
        <f>SUM('DOE25'!H153:H162)</f>
        <v>508882.58999999997</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2324.04</v>
      </c>
      <c r="D90" s="24" t="s">
        <v>288</v>
      </c>
      <c r="E90" s="24" t="s">
        <v>288</v>
      </c>
      <c r="F90" s="24" t="s">
        <v>288</v>
      </c>
      <c r="G90" s="24" t="s">
        <v>288</v>
      </c>
    </row>
    <row r="91" spans="1:9" ht="12.75" thickTop="1" thickBot="1" x14ac:dyDescent="0.25">
      <c r="A91" s="33" t="s">
        <v>750</v>
      </c>
      <c r="C91" s="131">
        <f>SUM(C85:C90)</f>
        <v>73432.28</v>
      </c>
      <c r="D91" s="131">
        <f>SUM(D85:D90)</f>
        <v>232853.05</v>
      </c>
      <c r="E91" s="131">
        <f>SUM(E85:E90)</f>
        <v>519735.69999999995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9171572.7400000002</v>
      </c>
      <c r="D104" s="86">
        <f>D63+D81+D91+D103</f>
        <v>241986.93</v>
      </c>
      <c r="E104" s="86">
        <f>E63+E81+E91+E103</f>
        <v>519735.69999999995</v>
      </c>
      <c r="F104" s="86">
        <f>F63+F81+F91+F103</f>
        <v>0</v>
      </c>
      <c r="G104" s="86">
        <f>G63+G81+G103</f>
        <v>50128.02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3581846.39</v>
      </c>
      <c r="D109" s="24" t="s">
        <v>288</v>
      </c>
      <c r="E109" s="95">
        <f>('DOE25'!L277)+('DOE25'!L296)+('DOE25'!L315)</f>
        <v>148506.26</v>
      </c>
      <c r="F109" s="24" t="s">
        <v>288</v>
      </c>
      <c r="G109" s="24" t="s">
        <v>288</v>
      </c>
    </row>
    <row r="110" spans="1:7" x14ac:dyDescent="0.2">
      <c r="A110" t="s">
        <v>198</v>
      </c>
      <c r="B110" s="32" t="s">
        <v>199</v>
      </c>
      <c r="C110" s="95">
        <f>('DOE25'!L199)+('DOE25'!L217)+('DOE25'!L235)</f>
        <v>1780765.0699999998</v>
      </c>
      <c r="D110" s="24" t="s">
        <v>288</v>
      </c>
      <c r="E110" s="95">
        <f>('DOE25'!L278)+('DOE25'!L297)+('DOE25'!L316)</f>
        <v>107234.05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138198.51</v>
      </c>
      <c r="D112" s="24" t="s">
        <v>288</v>
      </c>
      <c r="E112" s="95">
        <f>+('DOE25'!L280)+('DOE25'!L299)+('DOE25'!L318)</f>
        <v>44328.67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234486.46</v>
      </c>
      <c r="D114" s="24" t="s">
        <v>288</v>
      </c>
      <c r="E114" s="95">
        <f>+ SUM('DOE25'!L334:L336)</f>
        <v>35563.47</v>
      </c>
      <c r="F114" s="24" t="s">
        <v>288</v>
      </c>
      <c r="G114" s="24" t="s">
        <v>288</v>
      </c>
    </row>
    <row r="115" spans="1:7" ht="12.75" thickTop="1" thickBot="1" x14ac:dyDescent="0.25">
      <c r="A115" s="33" t="s">
        <v>205</v>
      </c>
      <c r="C115" s="86">
        <f>SUM(C109:C114)</f>
        <v>5735296.4299999997</v>
      </c>
      <c r="D115" s="86">
        <f>SUM(D109:D114)</f>
        <v>0</v>
      </c>
      <c r="E115" s="86">
        <f>SUM(E109:E114)</f>
        <v>335632.44999999995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621674.12</v>
      </c>
      <c r="D118" s="24" t="s">
        <v>288</v>
      </c>
      <c r="E118" s="95">
        <f>+('DOE25'!L282)+('DOE25'!L301)+('DOE25'!L320)</f>
        <v>96059.56</v>
      </c>
      <c r="F118" s="24" t="s">
        <v>288</v>
      </c>
      <c r="G118" s="24" t="s">
        <v>288</v>
      </c>
    </row>
    <row r="119" spans="1:7" x14ac:dyDescent="0.2">
      <c r="A119" t="s">
        <v>208</v>
      </c>
      <c r="B119" s="32" t="s">
        <v>209</v>
      </c>
      <c r="C119" s="95">
        <f>('DOE25'!L204)+('DOE25'!L222)+('DOE25'!L240)</f>
        <v>161874</v>
      </c>
      <c r="D119" s="24" t="s">
        <v>288</v>
      </c>
      <c r="E119" s="95">
        <f>+('DOE25'!L283)+('DOE25'!L302)+('DOE25'!L321)</f>
        <v>58931.539999999994</v>
      </c>
      <c r="F119" s="24" t="s">
        <v>288</v>
      </c>
      <c r="G119" s="24" t="s">
        <v>288</v>
      </c>
    </row>
    <row r="120" spans="1:7" x14ac:dyDescent="0.2">
      <c r="A120" t="s">
        <v>210</v>
      </c>
      <c r="B120" s="32" t="s">
        <v>211</v>
      </c>
      <c r="C120" s="95">
        <f>('DOE25'!L205)+('DOE25'!L223)+('DOE25'!L241)</f>
        <v>439447.01000000007</v>
      </c>
      <c r="D120" s="24" t="s">
        <v>288</v>
      </c>
      <c r="E120" s="95">
        <f>+('DOE25'!L284)+('DOE25'!L303)+('DOE25'!L322)</f>
        <v>9149.15</v>
      </c>
      <c r="F120" s="24" t="s">
        <v>288</v>
      </c>
      <c r="G120" s="24" t="s">
        <v>288</v>
      </c>
    </row>
    <row r="121" spans="1:7" x14ac:dyDescent="0.2">
      <c r="A121" t="s">
        <v>212</v>
      </c>
      <c r="B121" s="32" t="s">
        <v>213</v>
      </c>
      <c r="C121" s="95">
        <f>('DOE25'!L206)+('DOE25'!L224)+('DOE25'!L242)</f>
        <v>456464.84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14533.4</v>
      </c>
      <c r="F122" s="24" t="s">
        <v>288</v>
      </c>
      <c r="G122" s="24" t="s">
        <v>288</v>
      </c>
    </row>
    <row r="123" spans="1:7" x14ac:dyDescent="0.2">
      <c r="A123" t="s">
        <v>216</v>
      </c>
      <c r="B123" s="32" t="s">
        <v>217</v>
      </c>
      <c r="C123" s="95">
        <f>('DOE25'!L208)+('DOE25'!L226)+('DOE25'!L244)</f>
        <v>737096.61</v>
      </c>
      <c r="D123" s="24" t="s">
        <v>288</v>
      </c>
      <c r="E123" s="95">
        <f>+('DOE25'!L287)+('DOE25'!L306)+('DOE25'!L325)</f>
        <v>4430</v>
      </c>
      <c r="F123" s="24" t="s">
        <v>288</v>
      </c>
      <c r="G123" s="24" t="s">
        <v>288</v>
      </c>
    </row>
    <row r="124" spans="1:7" x14ac:dyDescent="0.2">
      <c r="A124" t="s">
        <v>218</v>
      </c>
      <c r="B124" s="32" t="s">
        <v>219</v>
      </c>
      <c r="C124" s="95">
        <f>('DOE25'!L209)+('DOE25'!L227)+('DOE25'!L245+'DOE25'!L255)</f>
        <v>250605.73</v>
      </c>
      <c r="D124" s="24" t="s">
        <v>288</v>
      </c>
      <c r="E124" s="95">
        <f>+('DOE25'!L288)+('DOE25'!L307)+('DOE25'!L326)</f>
        <v>1000</v>
      </c>
      <c r="F124" s="24" t="s">
        <v>288</v>
      </c>
      <c r="G124" s="24" t="s">
        <v>288</v>
      </c>
    </row>
    <row r="125" spans="1:7" x14ac:dyDescent="0.2">
      <c r="A125" t="s">
        <v>220</v>
      </c>
      <c r="B125" s="32" t="s">
        <v>221</v>
      </c>
      <c r="C125" s="95">
        <f>('DOE25'!L210)+('DOE25'!L228)+('DOE25'!L246)</f>
        <v>31563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212316.87</v>
      </c>
      <c r="E127" s="24" t="s">
        <v>288</v>
      </c>
      <c r="F127" s="24" t="s">
        <v>288</v>
      </c>
      <c r="G127" s="24" t="s">
        <v>288</v>
      </c>
    </row>
    <row r="128" spans="1:7" ht="12.75" thickTop="1" thickBot="1" x14ac:dyDescent="0.25">
      <c r="A128" s="33" t="s">
        <v>226</v>
      </c>
      <c r="C128" s="86">
        <f>SUM(C118:C127)</f>
        <v>2698725.31</v>
      </c>
      <c r="D128" s="86">
        <f>SUM(D118:D127)</f>
        <v>212316.87</v>
      </c>
      <c r="E128" s="86">
        <f>SUM(E118:E127)</f>
        <v>184103.64999999997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156418.14000000001</v>
      </c>
      <c r="D130" s="24" t="s">
        <v>288</v>
      </c>
      <c r="E130" s="129">
        <f>'DOE25'!L337</f>
        <v>0</v>
      </c>
      <c r="F130" s="129">
        <f>SUM('DOE25'!L375:'DOE25'!L381)</f>
        <v>0</v>
      </c>
      <c r="G130" s="24" t="s">
        <v>288</v>
      </c>
    </row>
    <row r="131" spans="1:7" x14ac:dyDescent="0.2">
      <c r="A131" t="s">
        <v>229</v>
      </c>
      <c r="B131" s="32">
        <v>5110</v>
      </c>
      <c r="C131" s="95">
        <f>'DOE25'!L261</f>
        <v>24305.05</v>
      </c>
      <c r="D131" s="24" t="s">
        <v>288</v>
      </c>
      <c r="E131" s="129">
        <f>'DOE25'!L342</f>
        <v>0</v>
      </c>
      <c r="F131" s="24" t="s">
        <v>288</v>
      </c>
      <c r="G131" s="24" t="s">
        <v>288</v>
      </c>
    </row>
    <row r="132" spans="1:7" x14ac:dyDescent="0.2">
      <c r="A132" t="s">
        <v>230</v>
      </c>
      <c r="B132" s="32">
        <v>5120</v>
      </c>
      <c r="C132" s="95">
        <f>'DOE25'!L262</f>
        <v>7657.8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50000</v>
      </c>
      <c r="D138" s="24" t="s">
        <v>288</v>
      </c>
      <c r="E138" s="24" t="s">
        <v>288</v>
      </c>
      <c r="F138" s="24" t="s">
        <v>288</v>
      </c>
      <c r="G138" s="24" t="s">
        <v>288</v>
      </c>
    </row>
    <row r="139" spans="1:7" x14ac:dyDescent="0.2">
      <c r="A139" t="s">
        <v>239</v>
      </c>
      <c r="B139" s="32">
        <v>5252</v>
      </c>
      <c r="C139" s="95">
        <f>'DOE25'!L402</f>
        <v>128.02000000000001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-128.0199999999968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238380.99</v>
      </c>
      <c r="D144" s="141">
        <f>SUM(D130:D143)</f>
        <v>0</v>
      </c>
      <c r="E144" s="141">
        <f>SUM(E130:E143)</f>
        <v>0</v>
      </c>
      <c r="F144" s="141">
        <f>SUM(F130:F143)</f>
        <v>0</v>
      </c>
      <c r="G144" s="141">
        <f>SUM(G130:G143)</f>
        <v>0</v>
      </c>
    </row>
    <row r="145" spans="1:9" ht="12.75" thickTop="1" thickBot="1" x14ac:dyDescent="0.25">
      <c r="A145" s="33" t="s">
        <v>244</v>
      </c>
      <c r="C145" s="86">
        <f>(C115+C128+C144)</f>
        <v>8672402.7300000004</v>
      </c>
      <c r="D145" s="86">
        <f>(D115+D128+D144)</f>
        <v>212316.87</v>
      </c>
      <c r="E145" s="86">
        <f>(E115+E128+E144)</f>
        <v>519736.09999999992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Plymouth</v>
      </c>
    </row>
    <row r="3" spans="1:4" x14ac:dyDescent="0.2">
      <c r="B3" s="187" t="s">
        <v>1799</v>
      </c>
    </row>
    <row r="4" spans="1:4" x14ac:dyDescent="0.2">
      <c r="B4" t="s">
        <v>61</v>
      </c>
      <c r="C4" s="178">
        <f>IF('DOE25'!F666+'DOE25'!F671=0,0,ROUND('DOE25'!F673,0))</f>
        <v>22271</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22271</v>
      </c>
    </row>
    <row r="9" spans="1:4" x14ac:dyDescent="0.2">
      <c r="A9" s="186" t="s">
        <v>94</v>
      </c>
      <c r="B9" s="187" t="s">
        <v>1800</v>
      </c>
      <c r="C9" s="180" t="s">
        <v>720</v>
      </c>
      <c r="D9" s="180" t="s">
        <v>721</v>
      </c>
    </row>
    <row r="10" spans="1:4" x14ac:dyDescent="0.2">
      <c r="A10">
        <v>1100</v>
      </c>
      <c r="B10" t="s">
        <v>702</v>
      </c>
      <c r="C10" s="178">
        <f>ROUND('DOE25'!L198+'DOE25'!L216+'DOE25'!L234+'DOE25'!L277+'DOE25'!L296+'DOE25'!L315,0)</f>
        <v>3730353</v>
      </c>
      <c r="D10" s="181">
        <f>ROUND((C10/$C$28)*100,1)</f>
        <v>40.700000000000003</v>
      </c>
    </row>
    <row r="11" spans="1:4" x14ac:dyDescent="0.2">
      <c r="A11">
        <v>1200</v>
      </c>
      <c r="B11" t="s">
        <v>703</v>
      </c>
      <c r="C11" s="178">
        <f>ROUND('DOE25'!L199+'DOE25'!L217+'DOE25'!L235+'DOE25'!L278+'DOE25'!L297+'DOE25'!L316,0)</f>
        <v>1887999</v>
      </c>
      <c r="D11" s="181">
        <f>ROUND((C11/$C$28)*100,1)</f>
        <v>20.6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182527</v>
      </c>
      <c r="D13" s="181">
        <f>ROUND((C13/$C$28)*100,1)</f>
        <v>2</v>
      </c>
    </row>
    <row r="14" spans="1:4" x14ac:dyDescent="0.2">
      <c r="D14" s="181"/>
    </row>
    <row r="15" spans="1:4" x14ac:dyDescent="0.2">
      <c r="A15">
        <v>2100</v>
      </c>
      <c r="B15" t="s">
        <v>706</v>
      </c>
      <c r="C15" s="178">
        <f>ROUND('DOE25'!L203+'DOE25'!L221+'DOE25'!L239+'DOE25'!L282+'DOE25'!L301+'DOE25'!L320,0)</f>
        <v>717734</v>
      </c>
      <c r="D15" s="181">
        <f t="shared" ref="D15:D27" si="0">ROUND((C15/$C$28)*100,1)</f>
        <v>7.8</v>
      </c>
    </row>
    <row r="16" spans="1:4" x14ac:dyDescent="0.2">
      <c r="A16">
        <v>2200</v>
      </c>
      <c r="B16" t="s">
        <v>707</v>
      </c>
      <c r="C16" s="178">
        <f>ROUND('DOE25'!L204+'DOE25'!L222+'DOE25'!L240+'DOE25'!L283+'DOE25'!L302+'DOE25'!L321,0)</f>
        <v>220806</v>
      </c>
      <c r="D16" s="181">
        <f t="shared" si="0"/>
        <v>2.4</v>
      </c>
    </row>
    <row r="17" spans="1:4" x14ac:dyDescent="0.2">
      <c r="A17" s="182" t="s">
        <v>723</v>
      </c>
      <c r="B17" t="s">
        <v>738</v>
      </c>
      <c r="C17" s="178">
        <f>ROUND('DOE25'!L205+'DOE25'!L210+'DOE25'!L223+'DOE25'!L228+'DOE25'!L241+'DOE25'!L246+'DOE25'!L284+'DOE25'!L289+'DOE25'!L303+'DOE25'!L308+'DOE25'!L322+'DOE25'!L327,0)</f>
        <v>480159</v>
      </c>
      <c r="D17" s="181">
        <f t="shared" si="0"/>
        <v>5.2</v>
      </c>
    </row>
    <row r="18" spans="1:4" x14ac:dyDescent="0.2">
      <c r="A18">
        <v>2400</v>
      </c>
      <c r="B18" t="s">
        <v>711</v>
      </c>
      <c r="C18" s="178">
        <f>ROUND('DOE25'!L206+'DOE25'!L224+'DOE25'!L242+'DOE25'!L285+'DOE25'!L304+'DOE25'!L323,0)</f>
        <v>456465</v>
      </c>
      <c r="D18" s="181">
        <f t="shared" si="0"/>
        <v>5</v>
      </c>
    </row>
    <row r="19" spans="1:4" x14ac:dyDescent="0.2">
      <c r="A19">
        <v>2500</v>
      </c>
      <c r="B19" t="s">
        <v>708</v>
      </c>
      <c r="C19" s="178">
        <f>ROUND('DOE25'!L207+'DOE25'!L225+'DOE25'!L243+'DOE25'!L286+'DOE25'!L305+'DOE25'!L324,0)</f>
        <v>14533</v>
      </c>
      <c r="D19" s="181">
        <f t="shared" si="0"/>
        <v>0.2</v>
      </c>
    </row>
    <row r="20" spans="1:4" x14ac:dyDescent="0.2">
      <c r="A20">
        <v>2600</v>
      </c>
      <c r="B20" t="s">
        <v>709</v>
      </c>
      <c r="C20" s="178">
        <f>ROUND('DOE25'!L208+'DOE25'!L226+'DOE25'!L244+'DOE25'!L287+'DOE25'!L306+'DOE25'!L325,0)</f>
        <v>741527</v>
      </c>
      <c r="D20" s="181">
        <f t="shared" si="0"/>
        <v>8.1</v>
      </c>
    </row>
    <row r="21" spans="1:4" x14ac:dyDescent="0.2">
      <c r="A21">
        <v>2700</v>
      </c>
      <c r="B21" t="s">
        <v>710</v>
      </c>
      <c r="C21" s="178">
        <f>ROUND('DOE25'!L209+'DOE25'!L227+'DOE25'!L245+'DOE25'!L288+'DOE25'!L307+'DOE25'!L326,0)</f>
        <v>251606</v>
      </c>
      <c r="D21" s="181">
        <f t="shared" si="0"/>
        <v>2.7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270050</v>
      </c>
      <c r="D24" s="181">
        <f t="shared" si="0"/>
        <v>2.9</v>
      </c>
    </row>
    <row r="25" spans="1:4" x14ac:dyDescent="0.2">
      <c r="A25">
        <v>5120</v>
      </c>
      <c r="B25" t="s">
        <v>716</v>
      </c>
      <c r="C25" s="178">
        <f>ROUND('DOE25'!L262+'DOE25'!L343,0)</f>
        <v>7658</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206773.85</v>
      </c>
      <c r="D27" s="181">
        <f t="shared" si="0"/>
        <v>2.2999999999999998</v>
      </c>
    </row>
    <row r="28" spans="1:4" x14ac:dyDescent="0.2">
      <c r="B28" s="186" t="s">
        <v>719</v>
      </c>
      <c r="C28" s="179">
        <f>SUM(C10:C27)</f>
        <v>9168190.8499999996</v>
      </c>
      <c r="D28" s="183">
        <f>ROUND(SUM(D10:D27),0)</f>
        <v>100</v>
      </c>
    </row>
    <row r="29" spans="1:4" x14ac:dyDescent="0.2">
      <c r="A29">
        <v>4000</v>
      </c>
      <c r="B29" t="s">
        <v>724</v>
      </c>
      <c r="C29" s="178">
        <f>ROUND('DOE25'!L256+'DOE25'!L337+'DOE25'!L375+'DOE25'!L376+'DOE25'!L377+'DOE25'!L378+'DOE25'!L379+'DOE25'!L380+'DOE25'!L381,0)</f>
        <v>156418</v>
      </c>
    </row>
    <row r="30" spans="1:4" x14ac:dyDescent="0.2">
      <c r="B30" s="186" t="s">
        <v>725</v>
      </c>
      <c r="C30" s="179">
        <f>SUM(C28:C29)</f>
        <v>9324608.8499999996</v>
      </c>
    </row>
    <row r="31" spans="1:4" x14ac:dyDescent="0.2">
      <c r="B31" s="33"/>
      <c r="C31" s="179"/>
    </row>
    <row r="32" spans="1:4" x14ac:dyDescent="0.2">
      <c r="A32">
        <v>5100</v>
      </c>
      <c r="B32" s="33" t="s">
        <v>726</v>
      </c>
      <c r="C32" s="179">
        <f>ROUND('DOE25'!L261+'DOE25'!L342,0)</f>
        <v>24305</v>
      </c>
    </row>
    <row r="34" spans="1:4" x14ac:dyDescent="0.2">
      <c r="A34" s="186" t="s">
        <v>94</v>
      </c>
      <c r="B34" s="187" t="s">
        <v>1801</v>
      </c>
      <c r="C34" s="180" t="s">
        <v>720</v>
      </c>
      <c r="D34" s="180" t="s">
        <v>721</v>
      </c>
    </row>
    <row r="35" spans="1:4" x14ac:dyDescent="0.2">
      <c r="A35">
        <v>1100</v>
      </c>
      <c r="B35" s="184" t="s">
        <v>727</v>
      </c>
      <c r="C35" s="178">
        <f>ROUND('DOE25'!F60+'DOE25'!G60+'DOE25'!H60+'DOE25'!I60+'DOE25'!J60,0)</f>
        <v>5238938</v>
      </c>
      <c r="D35" s="181">
        <f t="shared" ref="D35:D40" si="1">ROUND((C35/$C$41)*100,1)</f>
        <v>52.8</v>
      </c>
    </row>
    <row r="36" spans="1:4" x14ac:dyDescent="0.2">
      <c r="B36" s="184" t="s">
        <v>739</v>
      </c>
      <c r="C36" s="178">
        <f>SUM('DOE25'!F112:J112)-SUM('DOE25'!G97:G110)+('DOE25'!F175+'DOE25'!F176+'DOE25'!I175+'DOE25'!I176)-C35</f>
        <v>690311.91999999993</v>
      </c>
      <c r="D36" s="181">
        <f t="shared" si="1"/>
        <v>7</v>
      </c>
    </row>
    <row r="37" spans="1:4" x14ac:dyDescent="0.2">
      <c r="A37" s="182" t="s">
        <v>835</v>
      </c>
      <c r="B37" s="184" t="s">
        <v>728</v>
      </c>
      <c r="C37" s="178">
        <f>ROUND('DOE25'!F117+'DOE25'!F118,0)</f>
        <v>3115353</v>
      </c>
      <c r="D37" s="181">
        <f t="shared" si="1"/>
        <v>31.4</v>
      </c>
    </row>
    <row r="38" spans="1:4" x14ac:dyDescent="0.2">
      <c r="A38" s="182" t="s">
        <v>734</v>
      </c>
      <c r="B38" s="184" t="s">
        <v>729</v>
      </c>
      <c r="C38" s="178">
        <f>ROUND(SUM('DOE25'!F140:J140)-SUM('DOE25'!F117:F119),0)</f>
        <v>57256</v>
      </c>
      <c r="D38" s="181">
        <f t="shared" si="1"/>
        <v>0.6</v>
      </c>
    </row>
    <row r="39" spans="1:4" x14ac:dyDescent="0.2">
      <c r="A39">
        <v>4000</v>
      </c>
      <c r="B39" s="184" t="s">
        <v>730</v>
      </c>
      <c r="C39" s="178">
        <f>ROUND('DOE25'!F170+'DOE25'!G170+'DOE25'!H170+'DOE25'!I170,0)</f>
        <v>826021</v>
      </c>
      <c r="D39" s="181">
        <f t="shared" si="1"/>
        <v>8.3000000000000007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9927879.9199999999</v>
      </c>
      <c r="D41" s="183">
        <f>SUM(D35:D40)</f>
        <v>100.09999999999998</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Plymouth</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244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f>IF('School Level Expenditures'!$B$2=A247,'School Tables'!H247,"")</f>
        <v>244</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2022-08-24T13:23:41Z</cp:lastPrinted>
  <dcterms:created xsi:type="dcterms:W3CDTF">1997-12-04T19:04:30Z</dcterms:created>
  <dcterms:modified xsi:type="dcterms:W3CDTF">2022-12-20T16:08:19Z</dcterms:modified>
</cp:coreProperties>
</file>