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3BA7D44-D3DD-4107-91C7-8A7F1F9C917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14" l="1"/>
  <c r="E7" i="14"/>
  <c r="E8" i="14"/>
  <c r="D6" i="14"/>
  <c r="D9" i="14"/>
  <c r="D8" i="14"/>
  <c r="D7" i="14"/>
  <c r="F14" i="13"/>
  <c r="F15" i="13"/>
  <c r="F16" i="13"/>
  <c r="D26" i="14"/>
  <c r="D38" i="14"/>
  <c r="D37" i="14"/>
  <c r="B38" i="12"/>
  <c r="B37" i="12"/>
  <c r="C20" i="12"/>
  <c r="C19" i="12"/>
  <c r="B21" i="12"/>
  <c r="B20" i="12"/>
  <c r="B19" i="12"/>
  <c r="C11" i="12"/>
  <c r="C12" i="12"/>
  <c r="C10" i="12"/>
  <c r="B11" i="12"/>
  <c r="B10" i="12"/>
  <c r="E13" i="17"/>
  <c r="E11" i="17"/>
  <c r="E9" i="17"/>
  <c r="F57" i="1"/>
  <c r="G16" i="1"/>
  <c r="H583" i="1"/>
  <c r="G614" i="1"/>
  <c r="F614" i="1"/>
  <c r="K265" i="1"/>
  <c r="H180" i="1"/>
  <c r="H102" i="1"/>
  <c r="F109" i="1"/>
  <c r="F63" i="1"/>
  <c r="H69" i="1"/>
  <c r="L264" i="1"/>
  <c r="C135" i="2"/>
  <c r="L346" i="1"/>
  <c r="E135" i="2"/>
  <c r="H135" i="2"/>
  <c r="L265" i="1"/>
  <c r="C136" i="2"/>
  <c r="H136" i="2"/>
  <c r="L266" i="1"/>
  <c r="C137" i="2"/>
  <c r="L347" i="1"/>
  <c r="E137" i="2"/>
  <c r="H137" i="2"/>
  <c r="L388" i="1"/>
  <c r="L389" i="1"/>
  <c r="L390" i="1"/>
  <c r="L391" i="1"/>
  <c r="L392" i="1"/>
  <c r="L393" i="1"/>
  <c r="L394" i="1"/>
  <c r="C138" i="2"/>
  <c r="H138" i="2"/>
  <c r="L396" i="1"/>
  <c r="L397" i="1"/>
  <c r="L398" i="1"/>
  <c r="L399" i="1"/>
  <c r="L400" i="1"/>
  <c r="L401" i="1"/>
  <c r="L402" i="1"/>
  <c r="C139" i="2"/>
  <c r="H139" i="2"/>
  <c r="L404" i="1"/>
  <c r="L405" i="1"/>
  <c r="L406" i="1"/>
  <c r="L407" i="1"/>
  <c r="L408" i="1"/>
  <c r="C140" i="2"/>
  <c r="H140" i="2"/>
  <c r="L267" i="1"/>
  <c r="C141" i="2"/>
  <c r="H141" i="2"/>
  <c r="L269" i="1"/>
  <c r="C142" i="2"/>
  <c r="L350" i="1"/>
  <c r="E142" i="2"/>
  <c r="H142" i="2"/>
  <c r="L270" i="1"/>
  <c r="C143" i="2"/>
  <c r="L351" i="1"/>
  <c r="E143" i="2"/>
  <c r="H143" i="2"/>
  <c r="L375" i="1"/>
  <c r="L376" i="1"/>
  <c r="L377" i="1"/>
  <c r="L378" i="1"/>
  <c r="L379" i="1"/>
  <c r="L380" i="1"/>
  <c r="L381" i="1"/>
  <c r="F130" i="2"/>
  <c r="F134" i="2"/>
  <c r="F144" i="2"/>
  <c r="L337" i="1"/>
  <c r="E130" i="2"/>
  <c r="L342" i="1"/>
  <c r="E131" i="2"/>
  <c r="L343" i="1"/>
  <c r="E132" i="2"/>
  <c r="L345" i="1"/>
  <c r="E134" i="2"/>
  <c r="E144" i="2"/>
  <c r="L256" i="1"/>
  <c r="C130" i="2"/>
  <c r="L261" i="1"/>
  <c r="C131" i="2"/>
  <c r="L262" i="1"/>
  <c r="C132" i="2"/>
  <c r="C144" i="2"/>
  <c r="D134" i="2"/>
  <c r="D144" i="2"/>
  <c r="K420" i="1"/>
  <c r="K428" i="1"/>
  <c r="K434" i="1"/>
  <c r="K435" i="1"/>
  <c r="G134" i="2"/>
  <c r="G144" i="2"/>
  <c r="H144" i="2"/>
  <c r="F115" i="2"/>
  <c r="F128" i="2"/>
  <c r="F145" i="2"/>
  <c r="L277" i="1"/>
  <c r="L296" i="1"/>
  <c r="L315" i="1"/>
  <c r="E109" i="2"/>
  <c r="L278" i="1"/>
  <c r="L297" i="1"/>
  <c r="L316" i="1"/>
  <c r="E110" i="2"/>
  <c r="L279" i="1"/>
  <c r="L298" i="1"/>
  <c r="L317" i="1"/>
  <c r="E111" i="2"/>
  <c r="L280" i="1"/>
  <c r="L299" i="1"/>
  <c r="L318" i="1"/>
  <c r="E112" i="2"/>
  <c r="L333" i="1"/>
  <c r="E113" i="2"/>
  <c r="L334" i="1"/>
  <c r="L335" i="1"/>
  <c r="L336" i="1"/>
  <c r="E114" i="2"/>
  <c r="E115" i="2"/>
  <c r="L282" i="1"/>
  <c r="L301" i="1"/>
  <c r="L320" i="1"/>
  <c r="E118" i="2"/>
  <c r="L283" i="1"/>
  <c r="L302" i="1"/>
  <c r="L321" i="1"/>
  <c r="E119" i="2"/>
  <c r="L284" i="1"/>
  <c r="L303" i="1"/>
  <c r="L322" i="1"/>
  <c r="E120" i="2"/>
  <c r="L285" i="1"/>
  <c r="L304" i="1"/>
  <c r="L323" i="1"/>
  <c r="E121" i="2"/>
  <c r="L286" i="1"/>
  <c r="L305" i="1"/>
  <c r="L324" i="1"/>
  <c r="E122" i="2"/>
  <c r="L287" i="1"/>
  <c r="L306" i="1"/>
  <c r="L325" i="1"/>
  <c r="E123" i="2"/>
  <c r="L288" i="1"/>
  <c r="L307" i="1"/>
  <c r="L326" i="1"/>
  <c r="E124" i="2"/>
  <c r="L289" i="1"/>
  <c r="L308" i="1"/>
  <c r="L327" i="1"/>
  <c r="E125" i="2"/>
  <c r="E128" i="2"/>
  <c r="E145" i="2"/>
  <c r="L198" i="1"/>
  <c r="L216" i="1"/>
  <c r="L234" i="1"/>
  <c r="C109" i="2"/>
  <c r="L199" i="1"/>
  <c r="L217" i="1"/>
  <c r="L235" i="1"/>
  <c r="C110" i="2"/>
  <c r="L200" i="1"/>
  <c r="L218" i="1"/>
  <c r="L236" i="1"/>
  <c r="C111" i="2"/>
  <c r="L201" i="1"/>
  <c r="L219" i="1"/>
  <c r="L237" i="1"/>
  <c r="C112" i="2"/>
  <c r="L251" i="1"/>
  <c r="C113" i="2"/>
  <c r="L252" i="1"/>
  <c r="L253" i="1"/>
  <c r="L254" i="1"/>
  <c r="C114" i="2"/>
  <c r="C115" i="2"/>
  <c r="L203" i="1"/>
  <c r="L221" i="1"/>
  <c r="L239" i="1"/>
  <c r="C118" i="2"/>
  <c r="L204" i="1"/>
  <c r="L222" i="1"/>
  <c r="L240" i="1"/>
  <c r="C119" i="2"/>
  <c r="L205" i="1"/>
  <c r="L223" i="1"/>
  <c r="L241" i="1"/>
  <c r="C120" i="2"/>
  <c r="L206" i="1"/>
  <c r="L224" i="1"/>
  <c r="L242" i="1"/>
  <c r="C121" i="2"/>
  <c r="L207" i="1"/>
  <c r="L225" i="1"/>
  <c r="L243" i="1"/>
  <c r="C122" i="2"/>
  <c r="L208" i="1"/>
  <c r="L226" i="1"/>
  <c r="L244" i="1"/>
  <c r="C123" i="2"/>
  <c r="L209" i="1"/>
  <c r="L227" i="1"/>
  <c r="L245" i="1"/>
  <c r="L255" i="1"/>
  <c r="C124" i="2"/>
  <c r="L210" i="1"/>
  <c r="L228" i="1"/>
  <c r="L246" i="1"/>
  <c r="C125" i="2"/>
  <c r="C128" i="2"/>
  <c r="C145" i="2"/>
  <c r="L359" i="1"/>
  <c r="L360" i="1"/>
  <c r="L361" i="1"/>
  <c r="D127" i="2"/>
  <c r="D128" i="2"/>
  <c r="D115" i="2"/>
  <c r="D145" i="2"/>
  <c r="G115" i="2"/>
  <c r="G128" i="2"/>
  <c r="G145" i="2"/>
  <c r="H145" i="2"/>
  <c r="H134" i="2"/>
  <c r="H132" i="2"/>
  <c r="H131" i="2"/>
  <c r="H130" i="2"/>
  <c r="H128" i="2"/>
  <c r="H127" i="2"/>
  <c r="H119" i="2"/>
  <c r="H120" i="2"/>
  <c r="H121" i="2"/>
  <c r="H122" i="2"/>
  <c r="H123" i="2"/>
  <c r="H124" i="2"/>
  <c r="H125" i="2"/>
  <c r="H118" i="2"/>
  <c r="H110" i="2"/>
  <c r="H111" i="2"/>
  <c r="H112" i="2"/>
  <c r="H113" i="2"/>
  <c r="H114" i="2"/>
  <c r="H115" i="2"/>
  <c r="H109" i="2"/>
  <c r="C97" i="2"/>
  <c r="D97" i="2"/>
  <c r="E97" i="2"/>
  <c r="F97" i="2"/>
  <c r="G97" i="2"/>
  <c r="H97" i="2"/>
  <c r="C98" i="2"/>
  <c r="D98" i="2"/>
  <c r="E98" i="2"/>
  <c r="G98" i="2"/>
  <c r="H98" i="2"/>
  <c r="C99" i="2"/>
  <c r="D99" i="2"/>
  <c r="E99" i="2"/>
  <c r="F99" i="2"/>
  <c r="H99" i="2"/>
  <c r="C100" i="2"/>
  <c r="D100" i="2"/>
  <c r="E100" i="2"/>
  <c r="F100" i="2"/>
  <c r="H100" i="2"/>
  <c r="C101" i="2"/>
  <c r="D101" i="2"/>
  <c r="E101" i="2"/>
  <c r="F101" i="2"/>
  <c r="H101" i="2"/>
  <c r="C102" i="2"/>
  <c r="D102" i="2"/>
  <c r="E102" i="2"/>
  <c r="F102" i="2"/>
  <c r="H102" i="2"/>
  <c r="D96" i="2"/>
  <c r="D103" i="2"/>
  <c r="E96" i="2"/>
  <c r="E103" i="2"/>
  <c r="C93" i="2"/>
  <c r="C94" i="2"/>
  <c r="C103" i="2"/>
  <c r="F93" i="2"/>
  <c r="F94" i="2"/>
  <c r="F96" i="2"/>
  <c r="F103" i="2"/>
  <c r="G96" i="2"/>
  <c r="G103" i="2"/>
  <c r="H103" i="2"/>
  <c r="H79" i="1"/>
  <c r="E57" i="2"/>
  <c r="E61" i="2"/>
  <c r="H94" i="1"/>
  <c r="E58" i="2"/>
  <c r="E59" i="2"/>
  <c r="E62" i="2"/>
  <c r="H60" i="1"/>
  <c r="E56" i="2"/>
  <c r="E63" i="2"/>
  <c r="E69" i="2"/>
  <c r="E70" i="2"/>
  <c r="E79" i="2"/>
  <c r="E80" i="2"/>
  <c r="E76" i="2"/>
  <c r="E77" i="2"/>
  <c r="E78" i="2"/>
  <c r="E81" i="2"/>
  <c r="E88" i="2"/>
  <c r="H147" i="1"/>
  <c r="E85" i="2"/>
  <c r="E87" i="2"/>
  <c r="E89" i="2"/>
  <c r="E91" i="2"/>
  <c r="E104" i="2"/>
  <c r="D60" i="2"/>
  <c r="D61" i="2"/>
  <c r="D59" i="2"/>
  <c r="D62" i="2"/>
  <c r="G60" i="1"/>
  <c r="D56" i="2"/>
  <c r="D63" i="2"/>
  <c r="D77" i="2"/>
  <c r="D78" i="2"/>
  <c r="D79" i="2"/>
  <c r="D69" i="2"/>
  <c r="D70" i="2"/>
  <c r="D81" i="2"/>
  <c r="D88" i="2"/>
  <c r="G147" i="1"/>
  <c r="D85" i="2"/>
  <c r="D89" i="2"/>
  <c r="D91" i="2"/>
  <c r="D104" i="2"/>
  <c r="C75" i="2"/>
  <c r="C72" i="2"/>
  <c r="C76" i="2"/>
  <c r="C73" i="2"/>
  <c r="C74" i="2"/>
  <c r="C77" i="2"/>
  <c r="C78" i="2"/>
  <c r="C67" i="2"/>
  <c r="C66" i="2"/>
  <c r="C68" i="2"/>
  <c r="C69" i="2"/>
  <c r="C70" i="2"/>
  <c r="C79" i="2"/>
  <c r="C80" i="2"/>
  <c r="C81" i="2"/>
  <c r="F60" i="1"/>
  <c r="C56" i="2"/>
  <c r="F79" i="1"/>
  <c r="C57" i="2"/>
  <c r="C61" i="2"/>
  <c r="F94" i="1"/>
  <c r="C58" i="2"/>
  <c r="C59" i="2"/>
  <c r="C62" i="2"/>
  <c r="C63" i="2"/>
  <c r="F147" i="1"/>
  <c r="C85" i="2"/>
  <c r="C87" i="2"/>
  <c r="C88" i="2"/>
  <c r="C89" i="2"/>
  <c r="C90" i="2"/>
  <c r="C91" i="2"/>
  <c r="C104" i="2"/>
  <c r="I60" i="1"/>
  <c r="F56" i="2"/>
  <c r="F59" i="2"/>
  <c r="F61" i="2"/>
  <c r="F62" i="2"/>
  <c r="F63" i="2"/>
  <c r="F72" i="2"/>
  <c r="F73" i="2"/>
  <c r="F76" i="2"/>
  <c r="F77" i="2"/>
  <c r="F78" i="2"/>
  <c r="F69" i="2"/>
  <c r="F70" i="2"/>
  <c r="F81" i="2"/>
  <c r="I147" i="1"/>
  <c r="F85" i="2"/>
  <c r="F87" i="2"/>
  <c r="F88" i="2"/>
  <c r="F89" i="2"/>
  <c r="F91" i="2"/>
  <c r="F104" i="2"/>
  <c r="J60" i="1"/>
  <c r="G56" i="2"/>
  <c r="G59" i="2"/>
  <c r="G61" i="2"/>
  <c r="G62" i="2"/>
  <c r="G63" i="2"/>
  <c r="G77" i="2"/>
  <c r="G78" i="2"/>
  <c r="G69" i="2"/>
  <c r="G70" i="2"/>
  <c r="G81" i="2"/>
  <c r="G104" i="2"/>
  <c r="H104" i="2"/>
  <c r="H96" i="2"/>
  <c r="H94" i="2"/>
  <c r="H93" i="2"/>
  <c r="H88" i="2"/>
  <c r="H89" i="2"/>
  <c r="H90" i="2"/>
  <c r="H91" i="2"/>
  <c r="H87" i="2"/>
  <c r="H85" i="2"/>
  <c r="H73" i="2"/>
  <c r="H74" i="2"/>
  <c r="H75" i="2"/>
  <c r="H76" i="2"/>
  <c r="H77" i="2"/>
  <c r="H78" i="2"/>
  <c r="H79" i="2"/>
  <c r="H80" i="2"/>
  <c r="H81" i="2"/>
  <c r="H72" i="2"/>
  <c r="H70" i="2"/>
  <c r="H69" i="2"/>
  <c r="H67" i="2"/>
  <c r="H66" i="2"/>
  <c r="H57" i="2"/>
  <c r="H58" i="2"/>
  <c r="H59" i="2"/>
  <c r="H60" i="2"/>
  <c r="H61" i="2"/>
  <c r="H62" i="2"/>
  <c r="H63" i="2"/>
  <c r="H56" i="2"/>
  <c r="E47" i="2"/>
  <c r="E34" i="2"/>
  <c r="E35" i="2"/>
  <c r="E36" i="2"/>
  <c r="E38" i="2"/>
  <c r="E42" i="2"/>
  <c r="E43" i="2"/>
  <c r="E44" i="2"/>
  <c r="E48" i="2"/>
  <c r="E50" i="2"/>
  <c r="E21" i="2"/>
  <c r="E22" i="2"/>
  <c r="E23" i="2"/>
  <c r="E24" i="2"/>
  <c r="E27" i="2"/>
  <c r="E28" i="2"/>
  <c r="E29" i="2"/>
  <c r="E30" i="2"/>
  <c r="E31" i="2"/>
  <c r="E51" i="2"/>
  <c r="D29" i="2"/>
  <c r="D23" i="2"/>
  <c r="D21" i="2"/>
  <c r="D22" i="2"/>
  <c r="D24" i="2"/>
  <c r="D27" i="2"/>
  <c r="D28" i="2"/>
  <c r="D30" i="2"/>
  <c r="D31" i="2"/>
  <c r="D39" i="2"/>
  <c r="D34" i="2"/>
  <c r="D35" i="2"/>
  <c r="D36" i="2"/>
  <c r="D38" i="2"/>
  <c r="D42" i="2"/>
  <c r="D43" i="2"/>
  <c r="D44" i="2"/>
  <c r="D47" i="2"/>
  <c r="D48" i="2"/>
  <c r="D50" i="2"/>
  <c r="D51" i="2"/>
  <c r="C34" i="2"/>
  <c r="C35" i="2"/>
  <c r="C36" i="2"/>
  <c r="C38" i="2"/>
  <c r="C42" i="2"/>
  <c r="C43" i="2"/>
  <c r="C44" i="2"/>
  <c r="C45" i="2"/>
  <c r="C47" i="2"/>
  <c r="C48" i="2"/>
  <c r="C49" i="2"/>
  <c r="C50" i="2"/>
  <c r="C21" i="2"/>
  <c r="C22" i="2"/>
  <c r="C23" i="2"/>
  <c r="C24" i="2"/>
  <c r="C25" i="2"/>
  <c r="C26" i="2"/>
  <c r="C27" i="2"/>
  <c r="C28" i="2"/>
  <c r="C29" i="2"/>
  <c r="C30" i="2"/>
  <c r="C31" i="2"/>
  <c r="C51" i="2"/>
  <c r="F34" i="2"/>
  <c r="F35" i="2"/>
  <c r="F36" i="2"/>
  <c r="F38" i="2"/>
  <c r="F40" i="2"/>
  <c r="F42" i="2"/>
  <c r="F43" i="2"/>
  <c r="F44" i="2"/>
  <c r="F47" i="2"/>
  <c r="F48" i="2"/>
  <c r="F50" i="2"/>
  <c r="F21" i="2"/>
  <c r="F22" i="2"/>
  <c r="F23" i="2"/>
  <c r="F24" i="2"/>
  <c r="F25" i="2"/>
  <c r="F26" i="2"/>
  <c r="F27" i="2"/>
  <c r="F28" i="2"/>
  <c r="F29" i="2"/>
  <c r="F30" i="2"/>
  <c r="F31" i="2"/>
  <c r="F51" i="2"/>
  <c r="I458" i="1"/>
  <c r="J37" i="1"/>
  <c r="G36" i="2"/>
  <c r="I459" i="1"/>
  <c r="J39" i="1"/>
  <c r="G38" i="2"/>
  <c r="I457" i="1"/>
  <c r="J43" i="1"/>
  <c r="G42" i="2"/>
  <c r="I456" i="1"/>
  <c r="J45" i="1"/>
  <c r="G44" i="2"/>
  <c r="I460" i="1"/>
  <c r="J48" i="1"/>
  <c r="G47" i="2"/>
  <c r="I455" i="1"/>
  <c r="J49" i="1"/>
  <c r="G48" i="2"/>
  <c r="G50" i="2"/>
  <c r="I449" i="1"/>
  <c r="J22" i="1"/>
  <c r="G21" i="2"/>
  <c r="I450" i="1"/>
  <c r="J23" i="1"/>
  <c r="G22" i="2"/>
  <c r="I451" i="1"/>
  <c r="J24" i="1"/>
  <c r="G23" i="2"/>
  <c r="I452" i="1"/>
  <c r="J31" i="1"/>
  <c r="G30" i="2"/>
  <c r="G31" i="2"/>
  <c r="G51" i="2"/>
  <c r="H51" i="2"/>
  <c r="H50" i="2"/>
  <c r="H49" i="2"/>
  <c r="H48" i="2"/>
  <c r="H47" i="2"/>
  <c r="H43" i="2"/>
  <c r="H44" i="2"/>
  <c r="H45" i="2"/>
  <c r="H42" i="2"/>
  <c r="H40" i="2"/>
  <c r="H39" i="2"/>
  <c r="H38" i="2"/>
  <c r="H36" i="2"/>
  <c r="H35" i="2"/>
  <c r="H34" i="2"/>
  <c r="H22" i="2"/>
  <c r="H23" i="2"/>
  <c r="H24" i="2"/>
  <c r="H25" i="2"/>
  <c r="H26" i="2"/>
  <c r="H27" i="2"/>
  <c r="H28" i="2"/>
  <c r="H29" i="2"/>
  <c r="H30" i="2"/>
  <c r="H31" i="2"/>
  <c r="H21" i="2"/>
  <c r="C9" i="2"/>
  <c r="D9" i="2"/>
  <c r="E9" i="2"/>
  <c r="F9" i="2"/>
  <c r="I441" i="1"/>
  <c r="J10" i="1"/>
  <c r="G9" i="2"/>
  <c r="H9" i="2"/>
  <c r="C10" i="2"/>
  <c r="H10" i="2"/>
  <c r="E11" i="2"/>
  <c r="D11" i="2"/>
  <c r="C11" i="2"/>
  <c r="F11" i="2"/>
  <c r="I442" i="1"/>
  <c r="J12" i="1"/>
  <c r="G11" i="2"/>
  <c r="H11" i="2"/>
  <c r="D12" i="2"/>
  <c r="C12" i="2"/>
  <c r="E12" i="2"/>
  <c r="F12" i="2"/>
  <c r="I443" i="1"/>
  <c r="J13" i="1"/>
  <c r="G12" i="2"/>
  <c r="H12" i="2"/>
  <c r="D13" i="2"/>
  <c r="C13" i="2"/>
  <c r="E13" i="2"/>
  <c r="F13" i="2"/>
  <c r="I444" i="1"/>
  <c r="J14" i="1"/>
  <c r="G13" i="2"/>
  <c r="H13" i="2"/>
  <c r="F14" i="2"/>
  <c r="H14" i="2"/>
  <c r="D15" i="2"/>
  <c r="C15" i="2"/>
  <c r="E15" i="2"/>
  <c r="F15" i="2"/>
  <c r="H15" i="2"/>
  <c r="C16" i="2"/>
  <c r="D16" i="2"/>
  <c r="E16" i="2"/>
  <c r="F16" i="2"/>
  <c r="I445" i="1"/>
  <c r="J17" i="1"/>
  <c r="G16" i="2"/>
  <c r="H16" i="2"/>
  <c r="C17" i="2"/>
  <c r="D17" i="2"/>
  <c r="E17" i="2"/>
  <c r="F17" i="2"/>
  <c r="I446" i="1"/>
  <c r="J18" i="1"/>
  <c r="G17" i="2"/>
  <c r="H17" i="2"/>
  <c r="E8" i="2"/>
  <c r="E18" i="2"/>
  <c r="D8" i="2"/>
  <c r="D18" i="2"/>
  <c r="C8" i="2"/>
  <c r="C18" i="2"/>
  <c r="F8" i="2"/>
  <c r="F18" i="2"/>
  <c r="I440" i="1"/>
  <c r="J9" i="1"/>
  <c r="G8" i="2"/>
  <c r="G18" i="2"/>
  <c r="H18" i="2"/>
  <c r="H8" i="2"/>
  <c r="C2" i="1"/>
  <c r="B2" i="1"/>
  <c r="G655" i="1"/>
  <c r="E7" i="17"/>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c r="G653" i="1"/>
  <c r="E43" i="14"/>
  <c r="D43" i="14"/>
  <c r="E33" i="14"/>
  <c r="D33" i="14"/>
  <c r="E21" i="14"/>
  <c r="D21" i="14"/>
  <c r="G36" i="13"/>
  <c r="G29" i="13"/>
  <c r="B22" i="12"/>
  <c r="B5" i="14"/>
  <c r="C5" i="14"/>
  <c r="I163" i="1"/>
  <c r="H163" i="1"/>
  <c r="G163" i="1"/>
  <c r="F163" i="1"/>
  <c r="B31" i="16"/>
  <c r="B27" i="16"/>
  <c r="B9" i="16"/>
  <c r="B5" i="16"/>
  <c r="F42"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c r="F24" i="14"/>
  <c r="F4" i="14"/>
  <c r="B2" i="14"/>
  <c r="A2" i="14"/>
  <c r="AE8" i="15"/>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a="1"/>
  <c r="A41" i="14"/>
  <c r="AF51" i="15"/>
  <c r="AF79" i="15"/>
  <c r="AF15" i="15"/>
  <c r="AF86" i="15"/>
  <c r="AF70" i="15"/>
  <c r="AF54" i="15"/>
  <c r="AF38" i="15"/>
  <c r="AF22" i="15"/>
  <c r="AF6" i="15"/>
  <c r="A40" i="14" a="1"/>
  <c r="A40" i="14"/>
  <c r="AF65" i="15"/>
  <c r="AF4" i="15"/>
  <c r="A38" i="14" a="1"/>
  <c r="A38" i="14"/>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a="1"/>
  <c r="A39" i="14"/>
  <c r="AF88" i="15"/>
  <c r="AF72" i="15"/>
  <c r="AF56" i="15"/>
  <c r="AF40" i="15"/>
  <c r="AF24" i="15"/>
  <c r="AF8" i="15"/>
  <c r="A42" i="14" a="1"/>
  <c r="A42" i="14"/>
  <c r="U8" i="15"/>
  <c r="A30" i="14" a="1"/>
  <c r="A30" i="14"/>
  <c r="U12" i="15"/>
  <c r="U16" i="15"/>
  <c r="U20" i="15"/>
  <c r="U24" i="15"/>
  <c r="U28" i="15"/>
  <c r="U32" i="15"/>
  <c r="U36" i="15"/>
  <c r="U40" i="15"/>
  <c r="U44" i="15"/>
  <c r="U48" i="15"/>
  <c r="U52" i="15"/>
  <c r="U56" i="15"/>
  <c r="U60" i="15"/>
  <c r="U64" i="15"/>
  <c r="U68" i="15"/>
  <c r="U72" i="15"/>
  <c r="U4" i="15"/>
  <c r="A26" i="14" a="1"/>
  <c r="A26" i="14"/>
  <c r="U5" i="15"/>
  <c r="A27" i="14" a="1"/>
  <c r="A27" i="14"/>
  <c r="U9" i="15"/>
  <c r="A31" i="14" a="1"/>
  <c r="A31" i="14"/>
  <c r="U13" i="15"/>
  <c r="U17" i="15"/>
  <c r="U21" i="15"/>
  <c r="U25" i="15"/>
  <c r="U29" i="15"/>
  <c r="U33" i="15"/>
  <c r="U37" i="15"/>
  <c r="U41" i="15"/>
  <c r="U45" i="15"/>
  <c r="U49" i="15"/>
  <c r="U53" i="15"/>
  <c r="U57" i="15"/>
  <c r="U61" i="15"/>
  <c r="U65" i="15"/>
  <c r="U69" i="15"/>
  <c r="U73" i="15"/>
  <c r="U6" i="15"/>
  <c r="A28" i="14" a="1"/>
  <c r="A28" i="14"/>
  <c r="U14" i="15"/>
  <c r="U22" i="15"/>
  <c r="U30" i="15"/>
  <c r="U38" i="15"/>
  <c r="U46" i="15"/>
  <c r="U54" i="15"/>
  <c r="U62" i="15"/>
  <c r="U70" i="15"/>
  <c r="U11" i="15"/>
  <c r="U19" i="15"/>
  <c r="U27" i="15"/>
  <c r="U35" i="15"/>
  <c r="U43" i="15"/>
  <c r="U51" i="15"/>
  <c r="U59" i="15"/>
  <c r="U67" i="15"/>
  <c r="U75" i="15"/>
  <c r="U7" i="15"/>
  <c r="A29" i="14" a="1"/>
  <c r="A29" i="14"/>
  <c r="U15" i="15"/>
  <c r="U23" i="15"/>
  <c r="U31" i="15"/>
  <c r="U39" i="15"/>
  <c r="U47" i="15"/>
  <c r="U55" i="15"/>
  <c r="U63" i="15"/>
  <c r="U71" i="15"/>
  <c r="U10" i="15"/>
  <c r="A32" i="14" a="1"/>
  <c r="A32" i="14"/>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a="1"/>
  <c r="A20" i="14"/>
  <c r="B20" i="14"/>
  <c r="C20" i="14"/>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a="1"/>
  <c r="A6" i="14"/>
  <c r="B6" i="14"/>
  <c r="C6" i="14"/>
  <c r="J172" i="15"/>
  <c r="J210" i="15"/>
  <c r="J242" i="15"/>
  <c r="J274" i="15"/>
  <c r="J298" i="15"/>
  <c r="J319" i="15"/>
  <c r="J202" i="15"/>
  <c r="J234" i="15"/>
  <c r="J314" i="15"/>
  <c r="J186" i="15"/>
  <c r="J218" i="15"/>
  <c r="J250" i="15"/>
  <c r="J282" i="15"/>
  <c r="J304" i="15"/>
  <c r="J323" i="15"/>
  <c r="J293" i="15"/>
  <c r="J194" i="15"/>
  <c r="J226" i="15"/>
  <c r="J258" i="15"/>
  <c r="J288" i="15"/>
  <c r="J309" i="15"/>
  <c r="J266" i="15"/>
  <c r="G51" i="1"/>
  <c r="F51" i="1"/>
  <c r="B26" i="14"/>
  <c r="C26" i="14"/>
  <c r="C39" i="14"/>
  <c r="B39" i="14"/>
  <c r="B28" i="14"/>
  <c r="C28" i="14"/>
  <c r="C30" i="14"/>
  <c r="B30" i="14"/>
  <c r="C40" i="14"/>
  <c r="B40" i="14"/>
  <c r="B32" i="14"/>
  <c r="C32" i="14" a="1"/>
  <c r="C32" i="14"/>
  <c r="B31" i="14"/>
  <c r="C31" i="14"/>
  <c r="B42" i="14"/>
  <c r="C42" i="14"/>
  <c r="C41" i="14"/>
  <c r="B41" i="14"/>
  <c r="B29" i="14"/>
  <c r="C29" i="14"/>
  <c r="B27" i="14"/>
  <c r="C27" i="14"/>
  <c r="C38" i="14"/>
  <c r="B38" i="14"/>
  <c r="A19" i="14" a="1"/>
  <c r="A19" i="14"/>
  <c r="B19" i="14"/>
  <c r="C19" i="14"/>
  <c r="A8" i="14" a="1"/>
  <c r="A8" i="14"/>
  <c r="B8" i="14"/>
  <c r="C8" i="14"/>
  <c r="A15" i="14" a="1"/>
  <c r="A15" i="14"/>
  <c r="B15" i="14"/>
  <c r="C15" i="14"/>
  <c r="A10" i="14" a="1"/>
  <c r="A10" i="14"/>
  <c r="B10" i="14"/>
  <c r="C10" i="14"/>
  <c r="A17" i="14" a="1"/>
  <c r="A17" i="14"/>
  <c r="B17" i="14"/>
  <c r="C17" i="14"/>
  <c r="A12" i="14" a="1"/>
  <c r="A12" i="14"/>
  <c r="B12" i="14"/>
  <c r="C12" i="14"/>
  <c r="A14" i="14" a="1"/>
  <c r="A14" i="14"/>
  <c r="B14" i="14"/>
  <c r="C14" i="14"/>
  <c r="A11" i="14" a="1"/>
  <c r="A11" i="14"/>
  <c r="B11" i="14"/>
  <c r="C11" i="14"/>
  <c r="A13" i="14" a="1"/>
  <c r="A13" i="14"/>
  <c r="B13" i="14"/>
  <c r="C13" i="14"/>
  <c r="A16" i="14" a="1"/>
  <c r="A16" i="14"/>
  <c r="B16" i="14"/>
  <c r="C16" i="14"/>
  <c r="A7" i="14" a="1"/>
  <c r="A7" i="14"/>
  <c r="B7" i="14"/>
  <c r="C7" i="14"/>
  <c r="A18" i="14" a="1"/>
  <c r="A18" i="14"/>
  <c r="B18" i="14"/>
  <c r="C18" i="14"/>
  <c r="A9" i="14" a="1"/>
  <c r="A9" i="14"/>
  <c r="B9" i="14"/>
  <c r="C9" i="14"/>
  <c r="C37" i="10"/>
  <c r="G656" i="1"/>
  <c r="B2" i="13"/>
  <c r="G8" i="13"/>
  <c r="H8" i="13"/>
  <c r="D39" i="13"/>
  <c r="G13" i="13"/>
  <c r="H13" i="13"/>
  <c r="E13" i="13"/>
  <c r="C13" i="13"/>
  <c r="G16" i="13"/>
  <c r="H16" i="13"/>
  <c r="G5" i="13"/>
  <c r="H5" i="13"/>
  <c r="C12" i="10"/>
  <c r="G6" i="13"/>
  <c r="H6" i="13"/>
  <c r="D6" i="13"/>
  <c r="C6" i="13"/>
  <c r="G7" i="13"/>
  <c r="H7" i="13"/>
  <c r="G12" i="13"/>
  <c r="H12" i="13"/>
  <c r="G14" i="13"/>
  <c r="H14" i="13"/>
  <c r="G15" i="13"/>
  <c r="H15" i="13"/>
  <c r="D15" i="13"/>
  <c r="C15" i="13"/>
  <c r="G17" i="13"/>
  <c r="H17" i="13"/>
  <c r="G18" i="13"/>
  <c r="H18" i="13"/>
  <c r="D18" i="13"/>
  <c r="C18" i="13"/>
  <c r="G19" i="13"/>
  <c r="H19" i="13"/>
  <c r="H29" i="13"/>
  <c r="G662" i="1"/>
  <c r="I368" i="1"/>
  <c r="J291" i="1"/>
  <c r="J310" i="1"/>
  <c r="J329" i="1"/>
  <c r="K291" i="1"/>
  <c r="K310" i="1"/>
  <c r="K329" i="1"/>
  <c r="C32" i="10"/>
  <c r="C11" i="13"/>
  <c r="C10" i="13"/>
  <c r="C9" i="13"/>
  <c r="L362" i="1"/>
  <c r="B4" i="12"/>
  <c r="B36" i="12"/>
  <c r="C36" i="12"/>
  <c r="B40" i="12"/>
  <c r="C40" i="12"/>
  <c r="A40" i="12"/>
  <c r="B27" i="12"/>
  <c r="C27" i="12"/>
  <c r="B31" i="12"/>
  <c r="C31" i="12"/>
  <c r="B9" i="12"/>
  <c r="B13" i="12"/>
  <c r="C9" i="12"/>
  <c r="C13" i="12"/>
  <c r="B18" i="12"/>
  <c r="C18" i="12"/>
  <c r="C22" i="12"/>
  <c r="B1" i="12"/>
  <c r="F2" i="11"/>
  <c r="L614" i="1"/>
  <c r="H664" i="1"/>
  <c r="L613" i="1"/>
  <c r="G664" i="1"/>
  <c r="L612" i="1"/>
  <c r="F664" i="1"/>
  <c r="C40" i="10"/>
  <c r="F111" i="1"/>
  <c r="G111" i="1"/>
  <c r="H111" i="1"/>
  <c r="I111" i="1"/>
  <c r="I112" i="1"/>
  <c r="J111" i="1"/>
  <c r="J112" i="1"/>
  <c r="F121" i="1"/>
  <c r="F136" i="1"/>
  <c r="G121" i="1"/>
  <c r="G136" i="1"/>
  <c r="H121" i="1"/>
  <c r="H136" i="1"/>
  <c r="H140" i="1"/>
  <c r="I121" i="1"/>
  <c r="I136" i="1"/>
  <c r="J121" i="1"/>
  <c r="J136" i="1"/>
  <c r="J140" i="1"/>
  <c r="F170" i="1"/>
  <c r="H170" i="1"/>
  <c r="C13" i="10"/>
  <c r="I666" i="1"/>
  <c r="I671" i="1"/>
  <c r="G663" i="1"/>
  <c r="I670" i="1"/>
  <c r="C42" i="10"/>
  <c r="B2" i="10"/>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K271" i="1"/>
  <c r="J271" i="1"/>
  <c r="I271" i="1"/>
  <c r="H271" i="1"/>
  <c r="G271" i="1"/>
  <c r="F271" i="1"/>
  <c r="A1" i="2"/>
  <c r="A2"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I402" i="1"/>
  <c r="I408" i="1"/>
  <c r="I409" i="1"/>
  <c r="F402" i="1"/>
  <c r="G402" i="1"/>
  <c r="H402" i="1"/>
  <c r="F408" i="1"/>
  <c r="G408" i="1"/>
  <c r="G409" i="1"/>
  <c r="H646" i="1"/>
  <c r="H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G475" i="1"/>
  <c r="G477" i="1"/>
  <c r="H471" i="1"/>
  <c r="I471" i="1"/>
  <c r="J471" i="1"/>
  <c r="F475"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c r="H653" i="1"/>
  <c r="G654" i="1"/>
  <c r="H654" i="1"/>
  <c r="H655" i="1"/>
  <c r="H656" i="1"/>
  <c r="I170" i="1"/>
  <c r="H409" i="1"/>
  <c r="H645" i="1"/>
  <c r="G339" i="1"/>
  <c r="G353" i="1"/>
  <c r="J258" i="1"/>
  <c r="J272" i="1"/>
  <c r="K339" i="1"/>
  <c r="K353" i="1"/>
  <c r="J656" i="1"/>
  <c r="J572" i="1"/>
  <c r="G553" i="1"/>
  <c r="H663" i="1"/>
  <c r="F258" i="1"/>
  <c r="C20" i="10"/>
  <c r="I370" i="1"/>
  <c r="H635" i="1"/>
  <c r="J635" i="1"/>
  <c r="L257" i="1"/>
  <c r="H193" i="1"/>
  <c r="C11" i="10"/>
  <c r="A31" i="12"/>
  <c r="H112" i="1"/>
  <c r="H462" i="1"/>
  <c r="H642" i="1"/>
  <c r="J642" i="1"/>
  <c r="F339" i="1"/>
  <c r="F353" i="1"/>
  <c r="L561" i="1"/>
  <c r="J625" i="1"/>
  <c r="G462" i="1"/>
  <c r="H641" i="1"/>
  <c r="H553" i="1"/>
  <c r="L310" i="1"/>
  <c r="I546" i="1"/>
  <c r="F462" i="1"/>
  <c r="H640" i="1"/>
  <c r="J640" i="1"/>
  <c r="K606" i="1"/>
  <c r="G649" i="1"/>
  <c r="H258" i="1"/>
  <c r="H272" i="1"/>
  <c r="I52" i="1"/>
  <c r="H621" i="1"/>
  <c r="J621" i="1"/>
  <c r="L271" i="1"/>
  <c r="F662" i="1"/>
  <c r="F572" i="1"/>
  <c r="L420" i="1"/>
  <c r="G546" i="1"/>
  <c r="J644" i="1"/>
  <c r="J646" i="1"/>
  <c r="F112" i="1"/>
  <c r="L363" i="1"/>
  <c r="B17" i="16"/>
  <c r="B19" i="16"/>
  <c r="B28" i="16"/>
  <c r="L329" i="1"/>
  <c r="L291" i="1"/>
  <c r="H624" i="1"/>
  <c r="J624" i="1"/>
  <c r="B33" i="16"/>
  <c r="L615" i="1"/>
  <c r="K599" i="1"/>
  <c r="G648" i="1"/>
  <c r="K572" i="1"/>
  <c r="L571" i="1"/>
  <c r="H572" i="1"/>
  <c r="L566" i="1"/>
  <c r="L572" i="1"/>
  <c r="I572" i="1"/>
  <c r="K546" i="1"/>
  <c r="H52" i="1"/>
  <c r="H620" i="1"/>
  <c r="J620" i="1"/>
  <c r="G112" i="1"/>
  <c r="B10" i="16"/>
  <c r="L248" i="1"/>
  <c r="L212" i="1"/>
  <c r="F661" i="1"/>
  <c r="H648" i="1"/>
  <c r="J645" i="1"/>
  <c r="G626" i="1"/>
  <c r="L530" i="1"/>
  <c r="H546" i="1"/>
  <c r="G164" i="2"/>
  <c r="G161" i="2"/>
  <c r="G157" i="2"/>
  <c r="G156"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G170" i="1"/>
  <c r="B12" i="16"/>
  <c r="J618" i="1"/>
  <c r="K552" i="1"/>
  <c r="I25" i="13"/>
  <c r="K551" i="1"/>
  <c r="L535" i="1"/>
  <c r="K501" i="1"/>
  <c r="I461" i="1"/>
  <c r="I453" i="1"/>
  <c r="I447" i="1"/>
  <c r="G643" i="1"/>
  <c r="H339" i="1"/>
  <c r="H353" i="1"/>
  <c r="F272" i="1"/>
  <c r="F663" i="1"/>
  <c r="I663" i="1"/>
  <c r="C25" i="10"/>
  <c r="C21" i="10"/>
  <c r="C17" i="10"/>
  <c r="D19" i="13"/>
  <c r="C19" i="13"/>
  <c r="D14" i="13"/>
  <c r="C14" i="13"/>
  <c r="G22" i="13"/>
  <c r="C22" i="13"/>
  <c r="L540" i="1"/>
  <c r="K504" i="1"/>
  <c r="L383" i="1"/>
  <c r="G637" i="1"/>
  <c r="J637" i="1"/>
  <c r="G258" i="1"/>
  <c r="G272" i="1"/>
  <c r="H662" i="1"/>
  <c r="C15" i="10"/>
  <c r="A13" i="12"/>
  <c r="D29" i="13"/>
  <c r="C29" i="13"/>
  <c r="D12" i="13"/>
  <c r="C12" i="13"/>
  <c r="D5" i="13"/>
  <c r="C5" i="13"/>
  <c r="E8" i="13"/>
  <c r="C8" i="13"/>
  <c r="C35" i="10"/>
  <c r="C29" i="10"/>
  <c r="G650" i="1"/>
  <c r="J650" i="1"/>
  <c r="L545" i="1"/>
  <c r="L525" i="1"/>
  <c r="J339" i="1"/>
  <c r="J353" i="1"/>
  <c r="C19" i="10"/>
  <c r="C16" i="10"/>
  <c r="D17" i="13"/>
  <c r="C17" i="13"/>
  <c r="D7" i="13"/>
  <c r="C7" i="13"/>
  <c r="E16" i="13"/>
  <c r="C16" i="13"/>
  <c r="C10" i="10"/>
  <c r="L230" i="1"/>
  <c r="G24" i="14"/>
  <c r="H24" i="14"/>
  <c r="I24" i="14"/>
  <c r="L338" i="1"/>
  <c r="C23" i="10"/>
  <c r="G163" i="2"/>
  <c r="G162" i="2"/>
  <c r="G160" i="2"/>
  <c r="G159" i="2"/>
  <c r="G158" i="2"/>
  <c r="C24" i="10"/>
  <c r="H31" i="13"/>
  <c r="H33" i="13"/>
  <c r="I339" i="1"/>
  <c r="I353" i="1"/>
  <c r="J651" i="1"/>
  <c r="I193" i="1"/>
  <c r="J655" i="1"/>
  <c r="J654" i="1"/>
  <c r="J32" i="1"/>
  <c r="J435" i="1"/>
  <c r="F435" i="1"/>
  <c r="G31" i="13"/>
  <c r="J194" i="1"/>
  <c r="G647" i="1"/>
  <c r="G140" i="1"/>
  <c r="B11" i="16"/>
  <c r="F140" i="1"/>
  <c r="F194" i="1"/>
  <c r="J619" i="1"/>
  <c r="J51" i="1"/>
  <c r="J19" i="1"/>
  <c r="G622" i="1"/>
  <c r="F546" i="1"/>
  <c r="H435" i="1"/>
  <c r="I140" i="1"/>
  <c r="A22" i="12"/>
  <c r="J653" i="1"/>
  <c r="G572" i="1"/>
  <c r="I435" i="1"/>
  <c r="G435" i="1"/>
  <c r="I664" i="1"/>
  <c r="H661" i="1"/>
  <c r="H665" i="1"/>
  <c r="H668" i="1"/>
  <c r="H194" i="1"/>
  <c r="G630" i="1"/>
  <c r="J630" i="1"/>
  <c r="H649" i="1"/>
  <c r="G36" i="14"/>
  <c r="H36" i="14"/>
  <c r="I36" i="14"/>
  <c r="C36" i="10"/>
  <c r="L435" i="1"/>
  <c r="G639" i="1"/>
  <c r="J639" i="1"/>
  <c r="F665" i="1"/>
  <c r="F668" i="1"/>
  <c r="I662" i="1"/>
  <c r="L339" i="1"/>
  <c r="L353" i="1"/>
  <c r="G634" i="1"/>
  <c r="J634" i="1"/>
  <c r="J649" i="1"/>
  <c r="I194" i="1"/>
  <c r="G631" i="1"/>
  <c r="J631" i="1"/>
  <c r="G636" i="1"/>
  <c r="J636" i="1"/>
  <c r="L409" i="1"/>
  <c r="C27" i="10"/>
  <c r="H673" i="1"/>
  <c r="C6" i="10"/>
  <c r="G4" i="14"/>
  <c r="H4" i="14"/>
  <c r="I4" i="14"/>
  <c r="L546" i="1"/>
  <c r="J626" i="1"/>
  <c r="B14" i="16"/>
  <c r="B22" i="16"/>
  <c r="G628" i="1"/>
  <c r="J628" i="1"/>
  <c r="E33" i="13"/>
  <c r="D35" i="13"/>
  <c r="J648" i="1"/>
  <c r="L258" i="1"/>
  <c r="L272" i="1"/>
  <c r="G633" i="1"/>
  <c r="J633" i="1"/>
  <c r="C39" i="10"/>
  <c r="G33" i="13"/>
  <c r="D31" i="13"/>
  <c r="C31" i="13"/>
  <c r="I462" i="1"/>
  <c r="H643" i="1"/>
  <c r="J643" i="1"/>
  <c r="G661" i="1"/>
  <c r="G665" i="1"/>
  <c r="G673" i="1"/>
  <c r="C5" i="10"/>
  <c r="C25" i="13"/>
  <c r="I33" i="13"/>
  <c r="K553" i="1"/>
  <c r="C28" i="10"/>
  <c r="D23" i="10"/>
  <c r="G632" i="1"/>
  <c r="J632" i="1"/>
  <c r="G194" i="1"/>
  <c r="G629" i="1"/>
  <c r="J629" i="1"/>
  <c r="G627" i="1"/>
  <c r="J627" i="1"/>
  <c r="J52" i="1"/>
  <c r="H622" i="1"/>
  <c r="J622" i="1"/>
  <c r="C38" i="10"/>
  <c r="F673" i="1"/>
  <c r="C4" i="10"/>
  <c r="I661" i="1"/>
  <c r="I665" i="1"/>
  <c r="I673" i="1"/>
  <c r="C7" i="10"/>
  <c r="G668" i="1"/>
  <c r="D25" i="10"/>
  <c r="G638" i="1"/>
  <c r="J638" i="1"/>
  <c r="H647" i="1"/>
  <c r="J647" i="1"/>
  <c r="D22" i="10"/>
  <c r="D18" i="10"/>
  <c r="D27" i="10"/>
  <c r="D15" i="10"/>
  <c r="D21" i="10"/>
  <c r="D24" i="10"/>
  <c r="D20" i="10"/>
  <c r="D11" i="10"/>
  <c r="D12" i="10"/>
  <c r="D13" i="10"/>
  <c r="D17" i="10"/>
  <c r="D19" i="10"/>
  <c r="D10" i="10"/>
  <c r="D26" i="10"/>
  <c r="C30" i="10"/>
  <c r="D16" i="10"/>
  <c r="D33" i="13"/>
  <c r="D36" i="13"/>
  <c r="H657" i="1"/>
  <c r="C41" i="10"/>
  <c r="D38" i="10"/>
  <c r="I668" i="1"/>
  <c r="D28" i="10"/>
  <c r="D37" i="10"/>
  <c r="D36" i="10"/>
  <c r="D35" i="10"/>
  <c r="D40" i="10"/>
  <c r="D39" i="10"/>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<sst xmlns="http://schemas.openxmlformats.org/spreadsheetml/2006/main" count="6529" uniqueCount="1802">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</sst>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1363</v>
      </c>
      <c r="B2" s="126">
        <f>INDEX('School Tables'!$AH$3:$AH$208,MATCH('DOE25'!A2,'School Tables'!$AJ$3:$AJ$208,0))</f>
        <v>449</v>
      </c>
      <c r="C2" s="126">
        <f>INDEX('School Tables'!$AI$3:$AI$208,MATCH('DOE25'!A2,'School Tables'!$AJ$3:$AJ$208,0))</f>
        <v>449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1408</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281387.09999999998</v>
      </c>
      <c r="H12" s="18">
        <v>612526.26000000071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v>262.99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f>5002.73+10436.05+24202.84</f>
        <v>39641.619999999995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0</v>
      </c>
      <c r="G19" s="41">
        <f>SUM(G9:G18)</f>
        <v>322699.70999999996</v>
      </c>
      <c r="H19" s="41">
        <f>SUM(H9:H18)</f>
        <v>612526.26000000071</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24202.84</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24202.84</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298496.86999999988</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612526.26000000071</v>
      </c>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0</v>
      </c>
      <c r="G51" s="41">
        <f>SUM(G35:G50)</f>
        <v>298496.86999999988</v>
      </c>
      <c r="H51" s="41">
        <f>SUM(H35:H50)</f>
        <v>612526.26000000071</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0</v>
      </c>
      <c r="G52" s="41">
        <f>G51+G32</f>
        <v>322699.7099999999</v>
      </c>
      <c r="H52" s="41">
        <f>H51+H32</f>
        <v>612526.26000000071</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33167314-605500.31</f>
        <v>32561813.690000001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v>348168.84</v>
      </c>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32561813.690000001</v>
      </c>
      <c r="G60" s="41">
        <f>SUM(G57:G59)</f>
        <v>0</v>
      </c>
      <c r="H60" s="41">
        <f>SUM(H57:H59)</f>
        <v>348168.84</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f>13344.75+54019.94</f>
        <v>67364.69</v>
      </c>
      <c r="G63" s="24" t="s">
        <v>288</v>
      </c>
      <c r="H63" s="18">
        <v>61030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v>21404.02</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6510106.0999999996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f>247209.4+240819.95+479717.92</f>
        <v>967747.27</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v>14047.83</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6577470.79</v>
      </c>
      <c r="G79" s="45" t="s">
        <v>288</v>
      </c>
      <c r="H79" s="41">
        <f>SUM(H63:H78)</f>
        <v>1064229.1200000001</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31865.33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v>15765</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3840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175527.55-20000+1500</f>
        <v>157027.54999999999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f>135240.07+40758.54</f>
        <v>175998.61000000002</v>
      </c>
      <c r="G109" s="18">
        <v>51.6</v>
      </c>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78532.94</v>
      </c>
      <c r="G110" s="18">
        <v>42886.37</v>
      </c>
      <c r="H110" s="18">
        <v>91057.02</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258371.55000000002</v>
      </c>
      <c r="G111" s="41">
        <f>SUM(G96:G110)</f>
        <v>74803.3</v>
      </c>
      <c r="H111" s="41">
        <f>SUM(H96:H110)</f>
        <v>263849.57</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39397656.030000001</v>
      </c>
      <c r="G112" s="41">
        <f>G60+G111</f>
        <v>74803.3</v>
      </c>
      <c r="H112" s="41">
        <f>H60+H79+H94+H111</f>
        <v>1676247.5300000003</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12043851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v>3022.54</v>
      </c>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12043851</v>
      </c>
      <c r="G121" s="41">
        <f>SUM(G117:G120)</f>
        <v>0</v>
      </c>
      <c r="H121" s="41">
        <f>SUM(H117:H120)</f>
        <v>3022.54</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1757196.45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348168.84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258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8461.01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v>47667.45</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2105623.29</v>
      </c>
      <c r="G136" s="41">
        <f>SUM(G123:G135)</f>
        <v>56128.46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14149474.289999999</v>
      </c>
      <c r="G140" s="41">
        <f>G121+SUM(G136:G137)</f>
        <v>56128.46</v>
      </c>
      <c r="H140" s="41">
        <f>H121+SUM(H136:H139)</f>
        <v>3022.54</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333544.12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166306.34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196454.1</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1230567.48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672236.41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v>342065.65</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69901</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415345.28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1230567.48</v>
      </c>
      <c r="H163" s="41">
        <f>SUM(H150:H162)</f>
        <v>2195852.9000000004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1230567.48</v>
      </c>
      <c r="H170" s="41">
        <f>H147+H163+SUM(H164:H169)</f>
        <v>2195852.9000000004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1020.9</v>
      </c>
      <c r="H180" s="18">
        <f>650000+352871+20000</f>
        <v>1022871</v>
      </c>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1020.9</v>
      </c>
      <c r="H184" s="41">
        <f>SUM(H180:H183)</f>
        <v>1022871</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1020.9</v>
      </c>
      <c r="H193" s="41">
        <f>+H184+SUM(H189:H192)</f>
        <v>1022871</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53547130.32</v>
      </c>
      <c r="G194" s="47">
        <f>G112+G140+G170+G193</f>
        <v>1362520.14</v>
      </c>
      <c r="H194" s="47">
        <f>H112+H140+H170+H193</f>
        <v>4897993.9700000007</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5603378.5199999996</v>
      </c>
      <c r="G198" s="18">
        <v>3447296.96</v>
      </c>
      <c r="H198" s="18">
        <v>28823.47</v>
      </c>
      <c r="I198" s="18">
        <v>125222.25</v>
      </c>
      <c r="J198" s="18">
        <v>1022.18</v>
      </c>
      <c r="K198" s="18">
        <v>0</v>
      </c>
      <c r="L198" s="19">
        <f>SUM(F198:K198)</f>
        <v>9205743.3800000008</v>
      </c>
      <c r="M198" s="8"/>
      <c r="N198" s="265"/>
    </row>
    <row r="199" spans="1:14" s="3" customFormat="1" ht="12.2" customHeight="1" x14ac:dyDescent="0.15">
      <c r="A199" s="1" t="s">
        <v>439</v>
      </c>
      <c r="B199" s="2" t="s">
        <v>341</v>
      </c>
      <c r="C199" s="2" t="s">
        <v>291</v>
      </c>
      <c r="D199" s="2" t="s">
        <v>431</v>
      </c>
      <c r="E199" s="6">
        <v>1200</v>
      </c>
      <c r="F199" s="18">
        <v>2193975.0100000002</v>
      </c>
      <c r="G199" s="18">
        <v>1190852.7</v>
      </c>
      <c r="H199" s="18">
        <v>716854.69</v>
      </c>
      <c r="I199" s="18">
        <v>4428.3999999999996</v>
      </c>
      <c r="J199" s="18">
        <v>6457.16</v>
      </c>
      <c r="K199" s="18">
        <v>0</v>
      </c>
      <c r="L199" s="19">
        <f>SUM(F199:K199)</f>
        <v>4112567.96</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61219.5</v>
      </c>
      <c r="G201" s="18">
        <v>25612.59</v>
      </c>
      <c r="H201" s="18">
        <v>3252.5</v>
      </c>
      <c r="I201" s="18">
        <v>0</v>
      </c>
      <c r="J201" s="18">
        <v>0</v>
      </c>
      <c r="K201" s="18">
        <v>0</v>
      </c>
      <c r="L201" s="19">
        <f>SUM(F201:K201)</f>
        <v>90084.59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1970136.49</v>
      </c>
      <c r="G203" s="18">
        <v>1212749.73</v>
      </c>
      <c r="H203" s="18">
        <v>192123.71</v>
      </c>
      <c r="I203" s="18">
        <v>26845.200000000001</v>
      </c>
      <c r="J203" s="18">
        <v>1127.23</v>
      </c>
      <c r="K203" s="18">
        <v>2856</v>
      </c>
      <c r="L203" s="19">
        <f t="shared" ref="L203:L209" si="0">SUM(F203:K203)</f>
        <v>3405838.36</v>
      </c>
      <c r="M203" s="8"/>
      <c r="N203" s="265"/>
    </row>
    <row r="204" spans="1:14" s="3" customFormat="1" ht="12.2" customHeight="1" x14ac:dyDescent="0.15">
      <c r="A204" s="1" t="s">
        <v>443</v>
      </c>
      <c r="B204" s="2" t="s">
        <v>341</v>
      </c>
      <c r="C204" s="2" t="s">
        <v>295</v>
      </c>
      <c r="D204" s="2" t="s">
        <v>431</v>
      </c>
      <c r="E204" s="6">
        <v>2200</v>
      </c>
      <c r="F204" s="18">
        <v>273065.89</v>
      </c>
      <c r="G204" s="18">
        <v>158348.07</v>
      </c>
      <c r="H204" s="18">
        <v>4761.7700000000004</v>
      </c>
      <c r="I204" s="18">
        <v>29679.46</v>
      </c>
      <c r="J204" s="18">
        <v>59004.35</v>
      </c>
      <c r="K204" s="18">
        <v>0</v>
      </c>
      <c r="L204" s="19">
        <f t="shared" si="0"/>
        <v>524859.54</v>
      </c>
      <c r="M204" s="8"/>
      <c r="N204" s="265"/>
    </row>
    <row r="205" spans="1:14" s="3" customFormat="1" ht="12.2" customHeight="1" x14ac:dyDescent="0.15">
      <c r="A205" s="1" t="s">
        <v>444</v>
      </c>
      <c r="B205" s="2" t="s">
        <v>341</v>
      </c>
      <c r="C205" s="2" t="s">
        <v>296</v>
      </c>
      <c r="D205" s="2" t="s">
        <v>431</v>
      </c>
      <c r="E205" s="6">
        <v>2300</v>
      </c>
      <c r="F205" s="18">
        <v>210576.38999999998</v>
      </c>
      <c r="G205" s="18">
        <v>116028.33</v>
      </c>
      <c r="H205" s="18">
        <v>57676.7</v>
      </c>
      <c r="I205" s="18">
        <v>12095.96</v>
      </c>
      <c r="J205" s="18">
        <v>233.73</v>
      </c>
      <c r="K205" s="18">
        <v>8611.18</v>
      </c>
      <c r="L205" s="19">
        <f t="shared" si="0"/>
        <v>405222.29</v>
      </c>
      <c r="M205" s="8"/>
      <c r="N205" s="265"/>
    </row>
    <row r="206" spans="1:14" s="3" customFormat="1" ht="12.2" customHeight="1" x14ac:dyDescent="0.15">
      <c r="A206" s="1" t="s">
        <v>445</v>
      </c>
      <c r="B206" s="2" t="s">
        <v>341</v>
      </c>
      <c r="C206" s="2" t="s">
        <v>297</v>
      </c>
      <c r="D206" s="2" t="s">
        <v>431</v>
      </c>
      <c r="E206" s="6">
        <v>2400</v>
      </c>
      <c r="F206" s="18">
        <v>630670.51</v>
      </c>
      <c r="G206" s="18">
        <v>378710.55</v>
      </c>
      <c r="H206" s="18">
        <v>947.18</v>
      </c>
      <c r="I206" s="18">
        <v>379.14</v>
      </c>
      <c r="J206" s="18">
        <v>0</v>
      </c>
      <c r="K206" s="18">
        <v>0</v>
      </c>
      <c r="L206" s="19">
        <f t="shared" si="0"/>
        <v>1010707.3800000001</v>
      </c>
      <c r="M206" s="8"/>
      <c r="N206" s="265"/>
    </row>
    <row r="207" spans="1:14" s="3" customFormat="1" ht="12.2" customHeight="1" x14ac:dyDescent="0.15">
      <c r="A207" s="1" t="s">
        <v>446</v>
      </c>
      <c r="B207" s="2" t="s">
        <v>341</v>
      </c>
      <c r="C207" s="2" t="s">
        <v>298</v>
      </c>
      <c r="D207" s="2" t="s">
        <v>431</v>
      </c>
      <c r="E207" s="6">
        <v>2500</v>
      </c>
      <c r="F207" s="18">
        <v>108322.78</v>
      </c>
      <c r="G207" s="18">
        <v>53554.740000000005</v>
      </c>
      <c r="H207" s="18">
        <v>51899.75</v>
      </c>
      <c r="I207" s="18">
        <v>725.47</v>
      </c>
      <c r="J207" s="18">
        <v>305.68</v>
      </c>
      <c r="K207" s="18">
        <v>438.4</v>
      </c>
      <c r="L207" s="19">
        <f t="shared" si="0"/>
        <v>215246.82</v>
      </c>
      <c r="M207" s="8"/>
      <c r="N207" s="265"/>
    </row>
    <row r="208" spans="1:14" s="3" customFormat="1" ht="12.2" customHeight="1" x14ac:dyDescent="0.15">
      <c r="A208" s="1" t="s">
        <v>447</v>
      </c>
      <c r="B208" s="2" t="s">
        <v>341</v>
      </c>
      <c r="C208" s="2" t="s">
        <v>299</v>
      </c>
      <c r="D208" s="2" t="s">
        <v>431</v>
      </c>
      <c r="E208" s="6">
        <v>2600</v>
      </c>
      <c r="F208" s="18">
        <v>484776.72</v>
      </c>
      <c r="G208" s="18">
        <v>263573.78000000003</v>
      </c>
      <c r="H208" s="18">
        <v>246444.39</v>
      </c>
      <c r="I208" s="18">
        <v>228898.01</v>
      </c>
      <c r="J208" s="18">
        <v>7523.11</v>
      </c>
      <c r="K208" s="18">
        <v>3819.33</v>
      </c>
      <c r="L208" s="19">
        <f t="shared" si="0"/>
        <v>1235035.3400000001</v>
      </c>
      <c r="M208" s="8"/>
      <c r="N208" s="265"/>
    </row>
    <row r="209" spans="1:14" s="3" customFormat="1" ht="12.2" customHeight="1" x14ac:dyDescent="0.15">
      <c r="A209" s="1" t="s">
        <v>448</v>
      </c>
      <c r="B209" s="2" t="s">
        <v>341</v>
      </c>
      <c r="C209" s="2" t="s">
        <v>300</v>
      </c>
      <c r="D209" s="2" t="s">
        <v>431</v>
      </c>
      <c r="E209" s="6">
        <v>2700</v>
      </c>
      <c r="F209" s="18">
        <v>0</v>
      </c>
      <c r="G209" s="18">
        <v>0</v>
      </c>
      <c r="H209" s="18">
        <v>499621.97000000003</v>
      </c>
      <c r="I209" s="18">
        <v>0</v>
      </c>
      <c r="J209" s="18">
        <v>0</v>
      </c>
      <c r="K209" s="18">
        <v>0</v>
      </c>
      <c r="L209" s="19">
        <f t="shared" si="0"/>
        <v>499621.97000000003</v>
      </c>
      <c r="M209" s="8"/>
      <c r="N209" s="265"/>
    </row>
    <row r="210" spans="1:14" s="3" customFormat="1" ht="12.2" customHeight="1" x14ac:dyDescent="0.15">
      <c r="A210" s="1" t="s">
        <v>449</v>
      </c>
      <c r="B210" s="2" t="s">
        <v>341</v>
      </c>
      <c r="C210" s="2" t="s">
        <v>343</v>
      </c>
      <c r="D210" s="2" t="s">
        <v>431</v>
      </c>
      <c r="E210" s="6">
        <v>2800</v>
      </c>
      <c r="F210" s="18">
        <v>227434.71</v>
      </c>
      <c r="G210" s="18">
        <v>120736.28</v>
      </c>
      <c r="H210" s="18">
        <v>85317.28</v>
      </c>
      <c r="I210" s="18">
        <v>26429.06</v>
      </c>
      <c r="J210" s="18">
        <v>0</v>
      </c>
      <c r="K210" s="18">
        <v>0</v>
      </c>
      <c r="L210" s="19">
        <f>SUM(F210:K210)</f>
        <v>459917.33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11763556.520000001</v>
      </c>
      <c r="G212" s="41">
        <f t="shared" si="1"/>
        <v>6967463.7300000014</v>
      </c>
      <c r="H212" s="41">
        <f t="shared" si="1"/>
        <v>1887723.4100000001</v>
      </c>
      <c r="I212" s="41">
        <f t="shared" si="1"/>
        <v>454702.95</v>
      </c>
      <c r="J212" s="41">
        <f t="shared" si="1"/>
        <v>75673.439999999988</v>
      </c>
      <c r="K212" s="41">
        <f t="shared" si="1"/>
        <v>15724.91</v>
      </c>
      <c r="L212" s="41">
        <f t="shared" si="1"/>
        <v>21164844.959999993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3052855.4699999997</v>
      </c>
      <c r="G216" s="18">
        <v>1886771.62</v>
      </c>
      <c r="H216" s="18">
        <v>2478.1400000000003</v>
      </c>
      <c r="I216" s="18">
        <v>62458.559999999998</v>
      </c>
      <c r="J216" s="18">
        <v>3055.58</v>
      </c>
      <c r="K216" s="18">
        <v>0</v>
      </c>
      <c r="L216" s="19">
        <f>SUM(F216:K216)</f>
        <v>5007619.3699999992</v>
      </c>
      <c r="M216" s="8"/>
      <c r="N216" s="265"/>
    </row>
    <row r="217" spans="1:14" s="3" customFormat="1" ht="12.2" customHeight="1" x14ac:dyDescent="0.15">
      <c r="A217" s="1" t="s">
        <v>439</v>
      </c>
      <c r="B217" s="2" t="s">
        <v>346</v>
      </c>
      <c r="C217" s="2" t="s">
        <v>291</v>
      </c>
      <c r="D217" s="2" t="s">
        <v>431</v>
      </c>
      <c r="E217" s="6">
        <v>1200</v>
      </c>
      <c r="F217" s="18">
        <v>738975.26</v>
      </c>
      <c r="G217" s="18">
        <v>427375.93</v>
      </c>
      <c r="H217" s="18">
        <v>442975.72000000003</v>
      </c>
      <c r="I217" s="18">
        <v>4519.3</v>
      </c>
      <c r="J217" s="18">
        <v>522.79</v>
      </c>
      <c r="K217" s="18">
        <v>0</v>
      </c>
      <c r="L217" s="19">
        <f>SUM(F217:K217)</f>
        <v>1614369</v>
      </c>
      <c r="M217" s="8"/>
      <c r="N217" s="265"/>
    </row>
    <row r="218" spans="1:14" s="3" customFormat="1" ht="12.2" customHeight="1" x14ac:dyDescent="0.15">
      <c r="A218" s="1" t="s">
        <v>440</v>
      </c>
      <c r="B218" s="2" t="s">
        <v>346</v>
      </c>
      <c r="C218" s="2" t="s">
        <v>292</v>
      </c>
      <c r="D218" s="2" t="s">
        <v>431</v>
      </c>
      <c r="E218" s="6">
        <v>1300</v>
      </c>
      <c r="F218" s="18">
        <v>325125.99</v>
      </c>
      <c r="G218" s="18">
        <v>197391.72999999998</v>
      </c>
      <c r="H218" s="18">
        <v>0</v>
      </c>
      <c r="I218" s="18">
        <v>3318.02</v>
      </c>
      <c r="J218" s="18">
        <v>1254</v>
      </c>
      <c r="K218" s="18">
        <v>0</v>
      </c>
      <c r="L218" s="19">
        <f>SUM(F218:K218)</f>
        <v>527089.74</v>
      </c>
      <c r="M218" s="8"/>
      <c r="N218" s="265"/>
    </row>
    <row r="219" spans="1:14" s="3" customFormat="1" ht="12.2" customHeight="1" x14ac:dyDescent="0.15">
      <c r="A219" s="1" t="s">
        <v>441</v>
      </c>
      <c r="B219" s="2" t="s">
        <v>346</v>
      </c>
      <c r="C219" s="2" t="s">
        <v>293</v>
      </c>
      <c r="D219" s="2" t="s">
        <v>431</v>
      </c>
      <c r="E219" s="6">
        <v>1400</v>
      </c>
      <c r="F219" s="18">
        <v>80082.5</v>
      </c>
      <c r="G219" s="18">
        <v>38647.58</v>
      </c>
      <c r="H219" s="18">
        <v>14944.5</v>
      </c>
      <c r="I219" s="18">
        <v>9803.7000000000007</v>
      </c>
      <c r="J219" s="18">
        <v>0</v>
      </c>
      <c r="K219" s="18">
        <v>0</v>
      </c>
      <c r="L219" s="19">
        <f>SUM(F219:K219)</f>
        <v>143478.28000000003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568736</v>
      </c>
      <c r="G221" s="18">
        <v>343486.69</v>
      </c>
      <c r="H221" s="18">
        <v>60986.789999999994</v>
      </c>
      <c r="I221" s="18">
        <v>4796.5199999999995</v>
      </c>
      <c r="J221" s="18">
        <v>592.02</v>
      </c>
      <c r="K221" s="18">
        <v>0</v>
      </c>
      <c r="L221" s="19">
        <f t="shared" ref="L221:L227" si="2">SUM(F221:K221)</f>
        <v>978598.02</v>
      </c>
      <c r="M221" s="8"/>
      <c r="N221" s="265"/>
    </row>
    <row r="222" spans="1:14" s="3" customFormat="1" ht="12.2" customHeight="1" x14ac:dyDescent="0.15">
      <c r="A222" s="1" t="s">
        <v>443</v>
      </c>
      <c r="B222" s="2" t="s">
        <v>346</v>
      </c>
      <c r="C222" s="2" t="s">
        <v>295</v>
      </c>
      <c r="D222" s="2" t="s">
        <v>431</v>
      </c>
      <c r="E222" s="6">
        <v>2200</v>
      </c>
      <c r="F222" s="18">
        <v>96307.91</v>
      </c>
      <c r="G222" s="18">
        <v>33424.04</v>
      </c>
      <c r="H222" s="18">
        <v>2500.88</v>
      </c>
      <c r="I222" s="18">
        <v>17053.27</v>
      </c>
      <c r="J222" s="18">
        <v>30212.98</v>
      </c>
      <c r="K222" s="18">
        <v>0</v>
      </c>
      <c r="L222" s="19">
        <f t="shared" si="2"/>
        <v>179499.08000000002</v>
      </c>
      <c r="M222" s="8"/>
      <c r="N222" s="265"/>
    </row>
    <row r="223" spans="1:14" s="3" customFormat="1" ht="12.2" customHeight="1" x14ac:dyDescent="0.15">
      <c r="A223" s="1" t="s">
        <v>444</v>
      </c>
      <c r="B223" s="2" t="s">
        <v>346</v>
      </c>
      <c r="C223" s="2" t="s">
        <v>296</v>
      </c>
      <c r="D223" s="2" t="s">
        <v>431</v>
      </c>
      <c r="E223" s="6">
        <v>2300</v>
      </c>
      <c r="F223" s="18">
        <v>129272.47</v>
      </c>
      <c r="G223" s="18">
        <v>69435.31</v>
      </c>
      <c r="H223" s="18">
        <v>32010.13</v>
      </c>
      <c r="I223" s="18">
        <v>6352.79</v>
      </c>
      <c r="J223" s="18">
        <v>122.76</v>
      </c>
      <c r="K223" s="18">
        <v>4350.1899999999996</v>
      </c>
      <c r="L223" s="19">
        <f t="shared" si="2"/>
        <v>241543.65000000002</v>
      </c>
      <c r="M223" s="8"/>
      <c r="N223" s="265"/>
    </row>
    <row r="224" spans="1:14" s="3" customFormat="1" ht="12.2" customHeight="1" x14ac:dyDescent="0.15">
      <c r="A224" s="1" t="s">
        <v>445</v>
      </c>
      <c r="B224" s="2" t="s">
        <v>346</v>
      </c>
      <c r="C224" s="2" t="s">
        <v>297</v>
      </c>
      <c r="D224" s="2" t="s">
        <v>431</v>
      </c>
      <c r="E224" s="6">
        <v>2400</v>
      </c>
      <c r="F224" s="18">
        <v>331488.81</v>
      </c>
      <c r="G224" s="18">
        <v>193779.35</v>
      </c>
      <c r="H224" s="18">
        <v>834.22</v>
      </c>
      <c r="I224" s="18">
        <v>0</v>
      </c>
      <c r="J224" s="18">
        <v>0</v>
      </c>
      <c r="K224" s="18">
        <v>1075</v>
      </c>
      <c r="L224" s="19">
        <f t="shared" si="2"/>
        <v>527177.38</v>
      </c>
      <c r="M224" s="8"/>
      <c r="N224" s="265"/>
    </row>
    <row r="225" spans="1:14" s="3" customFormat="1" ht="12.2" customHeight="1" x14ac:dyDescent="0.15">
      <c r="A225" s="1" t="s">
        <v>446</v>
      </c>
      <c r="B225" s="2" t="s">
        <v>346</v>
      </c>
      <c r="C225" s="2" t="s">
        <v>298</v>
      </c>
      <c r="D225" s="2" t="s">
        <v>431</v>
      </c>
      <c r="E225" s="6">
        <v>2500</v>
      </c>
      <c r="F225" s="18">
        <v>56891.01</v>
      </c>
      <c r="G225" s="18">
        <v>24896.59</v>
      </c>
      <c r="H225" s="18">
        <v>33523.71</v>
      </c>
      <c r="I225" s="18">
        <v>381.02</v>
      </c>
      <c r="J225" s="18">
        <v>160.54</v>
      </c>
      <c r="K225" s="18">
        <v>230.25</v>
      </c>
      <c r="L225" s="19">
        <f t="shared" si="2"/>
        <v>116083.12</v>
      </c>
      <c r="M225" s="8"/>
      <c r="N225" s="265"/>
    </row>
    <row r="226" spans="1:14" s="3" customFormat="1" ht="12.2" customHeight="1" x14ac:dyDescent="0.15">
      <c r="A226" s="1" t="s">
        <v>447</v>
      </c>
      <c r="B226" s="2" t="s">
        <v>346</v>
      </c>
      <c r="C226" s="2" t="s">
        <v>299</v>
      </c>
      <c r="D226" s="2" t="s">
        <v>431</v>
      </c>
      <c r="E226" s="6">
        <v>2600</v>
      </c>
      <c r="F226" s="18">
        <v>321568.51</v>
      </c>
      <c r="G226" s="18">
        <v>171747.91999999998</v>
      </c>
      <c r="H226" s="18">
        <v>170133.5</v>
      </c>
      <c r="I226" s="18">
        <v>267606.82</v>
      </c>
      <c r="J226" s="18">
        <v>3951.13</v>
      </c>
      <c r="K226" s="18">
        <v>2005.91</v>
      </c>
      <c r="L226" s="19">
        <f t="shared" si="2"/>
        <v>937013.79</v>
      </c>
      <c r="M226" s="8"/>
      <c r="N226" s="265"/>
    </row>
    <row r="227" spans="1:14" s="3" customFormat="1" ht="12.2" customHeight="1" x14ac:dyDescent="0.15">
      <c r="A227" s="1" t="s">
        <v>448</v>
      </c>
      <c r="B227" s="2" t="s">
        <v>346</v>
      </c>
      <c r="C227" s="2" t="s">
        <v>300</v>
      </c>
      <c r="D227" s="2" t="s">
        <v>431</v>
      </c>
      <c r="E227" s="6">
        <v>2700</v>
      </c>
      <c r="F227" s="18">
        <v>0</v>
      </c>
      <c r="G227" s="18">
        <v>0</v>
      </c>
      <c r="H227" s="18">
        <v>273100.27</v>
      </c>
      <c r="I227" s="18">
        <v>0</v>
      </c>
      <c r="J227" s="18">
        <v>0</v>
      </c>
      <c r="K227" s="18">
        <v>0</v>
      </c>
      <c r="L227" s="19">
        <f t="shared" si="2"/>
        <v>273100.27</v>
      </c>
      <c r="M227" s="8"/>
      <c r="N227" s="265"/>
    </row>
    <row r="228" spans="1:14" s="3" customFormat="1" ht="12.2" customHeight="1" x14ac:dyDescent="0.15">
      <c r="A228" s="1" t="s">
        <v>449</v>
      </c>
      <c r="B228" s="2" t="s">
        <v>346</v>
      </c>
      <c r="C228" s="2" t="s">
        <v>343</v>
      </c>
      <c r="D228" s="2" t="s">
        <v>431</v>
      </c>
      <c r="E228" s="6">
        <v>2800</v>
      </c>
      <c r="F228" s="18">
        <v>119448.47</v>
      </c>
      <c r="G228" s="18">
        <v>66983.75</v>
      </c>
      <c r="H228" s="18">
        <v>34930.119999999995</v>
      </c>
      <c r="I228" s="18">
        <v>13880.51</v>
      </c>
      <c r="J228" s="18">
        <v>0</v>
      </c>
      <c r="K228" s="18">
        <v>0</v>
      </c>
      <c r="L228" s="19">
        <f>SUM(F228:K228)</f>
        <v>235242.85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5820752.3999999985</v>
      </c>
      <c r="G230" s="41">
        <f>SUM(G216:G229)</f>
        <v>3453940.5100000002</v>
      </c>
      <c r="H230" s="41">
        <f>SUM(H216:H229)</f>
        <v>1068417.98</v>
      </c>
      <c r="I230" s="41">
        <f>SUM(I216:I229)</f>
        <v>390170.51</v>
      </c>
      <c r="J230" s="41">
        <f>SUM(J216:J229)</f>
        <v>39871.799999999996</v>
      </c>
      <c r="K230" s="41">
        <f t="shared" si="3"/>
        <v>7661.3499999999995</v>
      </c>
      <c r="L230" s="41">
        <f t="shared" si="3"/>
        <v>10780814.549999999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5699672.8200000003</v>
      </c>
      <c r="G234" s="18">
        <v>3554914.5</v>
      </c>
      <c r="H234" s="18">
        <v>7650.28</v>
      </c>
      <c r="I234" s="18">
        <v>99681.73</v>
      </c>
      <c r="J234" s="18">
        <v>7285.21</v>
      </c>
      <c r="K234" s="18">
        <v>450</v>
      </c>
      <c r="L234" s="19">
        <f>SUM(F234:K234)</f>
        <v>9369654.540000001</v>
      </c>
      <c r="M234" s="8"/>
      <c r="N234" s="265"/>
    </row>
    <row r="235" spans="1:14" s="3" customFormat="1" ht="12.2" customHeight="1" x14ac:dyDescent="0.15">
      <c r="A235" s="1" t="s">
        <v>439</v>
      </c>
      <c r="B235" s="2" t="s">
        <v>350</v>
      </c>
      <c r="C235" s="2" t="s">
        <v>291</v>
      </c>
      <c r="D235" s="2" t="s">
        <v>431</v>
      </c>
      <c r="E235" s="6">
        <v>1200</v>
      </c>
      <c r="F235" s="18">
        <v>605331.49</v>
      </c>
      <c r="G235" s="18">
        <v>374954.87</v>
      </c>
      <c r="H235" s="18">
        <v>551199.17000000004</v>
      </c>
      <c r="I235" s="18">
        <v>1914.36</v>
      </c>
      <c r="J235" s="18">
        <v>0</v>
      </c>
      <c r="K235" s="18">
        <v>0</v>
      </c>
      <c r="L235" s="19">
        <f>SUM(F235:K235)</f>
        <v>1533399.8900000001</v>
      </c>
      <c r="M235" s="8"/>
      <c r="N235" s="265"/>
    </row>
    <row r="236" spans="1:14" s="3" customFormat="1" ht="12.2" customHeight="1" x14ac:dyDescent="0.15">
      <c r="A236" s="1" t="s">
        <v>440</v>
      </c>
      <c r="B236" s="2" t="s">
        <v>350</v>
      </c>
      <c r="C236" s="2" t="s">
        <v>292</v>
      </c>
      <c r="D236" s="2" t="s">
        <v>431</v>
      </c>
      <c r="E236" s="6">
        <v>1300</v>
      </c>
      <c r="F236" s="18">
        <v>734329.4</v>
      </c>
      <c r="G236" s="18">
        <v>475604.32</v>
      </c>
      <c r="H236" s="18">
        <v>15861.22</v>
      </c>
      <c r="I236" s="18">
        <v>23833.739999999998</v>
      </c>
      <c r="J236" s="18">
        <v>0</v>
      </c>
      <c r="K236" s="18">
        <v>0</v>
      </c>
      <c r="L236" s="19">
        <f>SUM(F236:K236)</f>
        <v>1249628.68</v>
      </c>
      <c r="M236" s="8"/>
      <c r="N236" s="265"/>
    </row>
    <row r="237" spans="1:14" s="3" customFormat="1" ht="12.2" customHeight="1" x14ac:dyDescent="0.15">
      <c r="A237" s="1" t="s">
        <v>441</v>
      </c>
      <c r="B237" s="2" t="s">
        <v>350</v>
      </c>
      <c r="C237" s="2" t="s">
        <v>293</v>
      </c>
      <c r="D237" s="2" t="s">
        <v>431</v>
      </c>
      <c r="E237" s="6">
        <v>1400</v>
      </c>
      <c r="F237" s="18">
        <v>323919.5</v>
      </c>
      <c r="G237" s="18">
        <v>183160.01</v>
      </c>
      <c r="H237" s="18">
        <v>92141</v>
      </c>
      <c r="I237" s="18">
        <v>69797.490000000005</v>
      </c>
      <c r="J237" s="18">
        <v>0</v>
      </c>
      <c r="K237" s="18">
        <v>0</v>
      </c>
      <c r="L237" s="19">
        <f>SUM(F237:K237)</f>
        <v>669018</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1050854.53</v>
      </c>
      <c r="G239" s="18">
        <v>644882.76</v>
      </c>
      <c r="H239" s="18">
        <v>47445.99</v>
      </c>
      <c r="I239" s="18">
        <v>18688.7</v>
      </c>
      <c r="J239" s="18">
        <v>1270.75</v>
      </c>
      <c r="K239" s="18">
        <v>31358.15</v>
      </c>
      <c r="L239" s="19">
        <f t="shared" ref="L239:L245" si="4">SUM(F239:K239)</f>
        <v>1794500.88</v>
      </c>
      <c r="M239" s="8"/>
      <c r="N239" s="265"/>
    </row>
    <row r="240" spans="1:14" s="3" customFormat="1" ht="12.2" customHeight="1" x14ac:dyDescent="0.15">
      <c r="A240" s="1" t="s">
        <v>443</v>
      </c>
      <c r="B240" s="2" t="s">
        <v>350</v>
      </c>
      <c r="C240" s="2" t="s">
        <v>295</v>
      </c>
      <c r="D240" s="2" t="s">
        <v>431</v>
      </c>
      <c r="E240" s="6">
        <v>2200</v>
      </c>
      <c r="F240" s="18">
        <v>119282.14</v>
      </c>
      <c r="G240" s="18">
        <v>82985.320000000007</v>
      </c>
      <c r="H240" s="18">
        <v>7452.9500000000007</v>
      </c>
      <c r="I240" s="18">
        <v>30334.479999999996</v>
      </c>
      <c r="J240" s="18">
        <v>67409.63</v>
      </c>
      <c r="K240" s="18">
        <v>0</v>
      </c>
      <c r="L240" s="19">
        <f t="shared" si="4"/>
        <v>307464.52</v>
      </c>
      <c r="M240" s="8"/>
      <c r="N240" s="265"/>
    </row>
    <row r="241" spans="1:14" s="3" customFormat="1" ht="12.2" customHeight="1" x14ac:dyDescent="0.15">
      <c r="A241" s="1" t="s">
        <v>444</v>
      </c>
      <c r="B241" s="2" t="s">
        <v>350</v>
      </c>
      <c r="C241" s="2" t="s">
        <v>296</v>
      </c>
      <c r="D241" s="2" t="s">
        <v>431</v>
      </c>
      <c r="E241" s="6">
        <v>2300</v>
      </c>
      <c r="F241" s="18">
        <v>506412.16000000003</v>
      </c>
      <c r="G241" s="18">
        <v>309455.46999999997</v>
      </c>
      <c r="H241" s="18">
        <v>74161.539999999994</v>
      </c>
      <c r="I241" s="18">
        <v>13636.03</v>
      </c>
      <c r="J241" s="18">
        <v>263.49</v>
      </c>
      <c r="K241" s="18">
        <v>33237.899999999994</v>
      </c>
      <c r="L241" s="19">
        <f t="shared" si="4"/>
        <v>937166.59000000008</v>
      </c>
      <c r="M241" s="8"/>
      <c r="N241" s="265"/>
    </row>
    <row r="242" spans="1:14" s="3" customFormat="1" ht="12.2" customHeight="1" x14ac:dyDescent="0.15">
      <c r="A242" s="1" t="s">
        <v>445</v>
      </c>
      <c r="B242" s="2" t="s">
        <v>350</v>
      </c>
      <c r="C242" s="2" t="s">
        <v>297</v>
      </c>
      <c r="D242" s="2" t="s">
        <v>431</v>
      </c>
      <c r="E242" s="6">
        <v>2400</v>
      </c>
      <c r="F242" s="18">
        <v>730402.04</v>
      </c>
      <c r="G242" s="18">
        <v>452981.76000000001</v>
      </c>
      <c r="H242" s="18">
        <v>65369.78</v>
      </c>
      <c r="I242" s="18">
        <v>1793.67</v>
      </c>
      <c r="J242" s="18">
        <v>0</v>
      </c>
      <c r="K242" s="18">
        <v>4210</v>
      </c>
      <c r="L242" s="19">
        <f t="shared" si="4"/>
        <v>1254757.25</v>
      </c>
      <c r="M242" s="8"/>
      <c r="N242" s="265"/>
    </row>
    <row r="243" spans="1:14" s="3" customFormat="1" ht="12.2" customHeight="1" x14ac:dyDescent="0.15">
      <c r="A243" s="1" t="s">
        <v>446</v>
      </c>
      <c r="B243" s="2" t="s">
        <v>350</v>
      </c>
      <c r="C243" s="2" t="s">
        <v>298</v>
      </c>
      <c r="D243" s="2" t="s">
        <v>431</v>
      </c>
      <c r="E243" s="6">
        <v>2500</v>
      </c>
      <c r="F243" s="18">
        <v>122114.54</v>
      </c>
      <c r="G243" s="18">
        <v>68043.09</v>
      </c>
      <c r="H243" s="18">
        <v>64501.539999999994</v>
      </c>
      <c r="I243" s="18">
        <v>817.84</v>
      </c>
      <c r="J243" s="18">
        <v>344.59</v>
      </c>
      <c r="K243" s="18">
        <v>494.23</v>
      </c>
      <c r="L243" s="19">
        <f t="shared" si="4"/>
        <v>256315.83</v>
      </c>
      <c r="M243" s="8"/>
      <c r="N243" s="265"/>
    </row>
    <row r="244" spans="1:14" s="3" customFormat="1" ht="12.2" customHeight="1" x14ac:dyDescent="0.15">
      <c r="A244" s="1" t="s">
        <v>447</v>
      </c>
      <c r="B244" s="2" t="s">
        <v>350</v>
      </c>
      <c r="C244" s="2" t="s">
        <v>299</v>
      </c>
      <c r="D244" s="2" t="s">
        <v>431</v>
      </c>
      <c r="E244" s="6">
        <v>2600</v>
      </c>
      <c r="F244" s="18">
        <v>571934.65</v>
      </c>
      <c r="G244" s="18">
        <v>333238.28000000003</v>
      </c>
      <c r="H244" s="18">
        <v>520938.02</v>
      </c>
      <c r="I244" s="18">
        <v>605239.41</v>
      </c>
      <c r="J244" s="18">
        <v>8480.9599999999991</v>
      </c>
      <c r="K244" s="18">
        <v>4305.62</v>
      </c>
      <c r="L244" s="19">
        <f t="shared" si="4"/>
        <v>2044136.9400000004</v>
      </c>
      <c r="M244" s="8"/>
      <c r="N244" s="265"/>
    </row>
    <row r="245" spans="1:14" s="3" customFormat="1" ht="12.2" customHeight="1" x14ac:dyDescent="0.15">
      <c r="A245" s="1" t="s">
        <v>448</v>
      </c>
      <c r="B245" s="2" t="s">
        <v>350</v>
      </c>
      <c r="C245" s="2" t="s">
        <v>300</v>
      </c>
      <c r="D245" s="2" t="s">
        <v>431</v>
      </c>
      <c r="E245" s="6">
        <v>2700</v>
      </c>
      <c r="F245" s="18">
        <v>0</v>
      </c>
      <c r="G245" s="18">
        <v>0</v>
      </c>
      <c r="H245" s="18">
        <v>632154.73</v>
      </c>
      <c r="I245" s="18">
        <v>0</v>
      </c>
      <c r="J245" s="18">
        <v>0</v>
      </c>
      <c r="K245" s="18">
        <v>0</v>
      </c>
      <c r="L245" s="19">
        <f t="shared" si="4"/>
        <v>632154.73</v>
      </c>
      <c r="M245" s="8"/>
      <c r="N245" s="265"/>
    </row>
    <row r="246" spans="1:14" s="3" customFormat="1" ht="12.2" customHeight="1" x14ac:dyDescent="0.15">
      <c r="A246" s="1" t="s">
        <v>449</v>
      </c>
      <c r="B246" s="2" t="s">
        <v>350</v>
      </c>
      <c r="C246" s="2" t="s">
        <v>343</v>
      </c>
      <c r="D246" s="2" t="s">
        <v>431</v>
      </c>
      <c r="E246" s="6">
        <v>2800</v>
      </c>
      <c r="F246" s="18">
        <v>256391.92</v>
      </c>
      <c r="G246" s="18">
        <v>157385.21</v>
      </c>
      <c r="H246" s="18">
        <v>85809.9</v>
      </c>
      <c r="I246" s="18">
        <v>29794.03</v>
      </c>
      <c r="J246" s="18">
        <v>0</v>
      </c>
      <c r="K246" s="18">
        <v>0</v>
      </c>
      <c r="L246" s="19">
        <f>SUM(F246:K246)</f>
        <v>529381.06000000006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10720645.190000001</v>
      </c>
      <c r="G248" s="41">
        <f t="shared" si="5"/>
        <v>6637605.5899999999</v>
      </c>
      <c r="H248" s="41">
        <f t="shared" si="5"/>
        <v>2164686.12</v>
      </c>
      <c r="I248" s="41">
        <f t="shared" si="5"/>
        <v>895531.4800000001</v>
      </c>
      <c r="J248" s="41">
        <f t="shared" si="5"/>
        <v>85054.63</v>
      </c>
      <c r="K248" s="41">
        <f t="shared" si="5"/>
        <v>74055.89999999998</v>
      </c>
      <c r="L248" s="41">
        <f t="shared" si="5"/>
        <v>20577578.91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28304954.110000003</v>
      </c>
      <c r="G258" s="41">
        <f t="shared" si="8"/>
        <v>17059009.830000002</v>
      </c>
      <c r="H258" s="41">
        <f t="shared" si="8"/>
        <v>5120827.51</v>
      </c>
      <c r="I258" s="41">
        <f t="shared" si="8"/>
        <v>1740404.94</v>
      </c>
      <c r="J258" s="41">
        <f t="shared" si="8"/>
        <v>200599.87</v>
      </c>
      <c r="K258" s="41">
        <f t="shared" si="8"/>
        <v>97442.159999999974</v>
      </c>
      <c r="L258" s="41">
        <f t="shared" si="8"/>
        <v>52523238.419999987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1020.9</v>
      </c>
      <c r="L264" s="19">
        <f>SUM(F264:K264)</f>
        <v>1020.9</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f>352871+650000+20000</f>
        <v>1022871</v>
      </c>
      <c r="L265" s="19">
        <f t="shared" ref="L265:L271" si="9">SUM(F265:K265)</f>
        <v>1022871</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1023891.9</v>
      </c>
      <c r="L271" s="41">
        <f t="shared" si="9"/>
        <v>1023891.9</v>
      </c>
      <c r="M271" s="8"/>
      <c r="N271" s="265"/>
    </row>
    <row r="272" spans="1:14" s="34" customFormat="1" ht="12.2" customHeight="1" thickTop="1" x14ac:dyDescent="0.2">
      <c r="A272" s="43" t="s">
        <v>464</v>
      </c>
      <c r="B272" s="40">
        <v>10</v>
      </c>
      <c r="C272" s="40">
        <v>18</v>
      </c>
      <c r="D272" s="39" t="s">
        <v>431</v>
      </c>
      <c r="E272" s="40"/>
      <c r="F272" s="42">
        <f t="shared" ref="F272:L272" si="11">F258+F271</f>
        <v>28304954.110000003</v>
      </c>
      <c r="G272" s="42">
        <f t="shared" si="11"/>
        <v>17059009.830000002</v>
      </c>
      <c r="H272" s="42">
        <f t="shared" si="11"/>
        <v>5120827.51</v>
      </c>
      <c r="I272" s="42">
        <f t="shared" si="11"/>
        <v>1740404.94</v>
      </c>
      <c r="J272" s="42">
        <f t="shared" si="11"/>
        <v>200599.87</v>
      </c>
      <c r="K272" s="42">
        <f t="shared" si="11"/>
        <v>1121334.06</v>
      </c>
      <c r="L272" s="42">
        <f t="shared" si="11"/>
        <v>53547130.319999985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259047.84</v>
      </c>
      <c r="G277" s="18">
        <v>65304.94</v>
      </c>
      <c r="H277" s="18">
        <v>50801.9</v>
      </c>
      <c r="I277" s="18">
        <v>54241.07</v>
      </c>
      <c r="J277" s="18">
        <v>43480.51</v>
      </c>
      <c r="K277" s="18">
        <v>3767.27</v>
      </c>
      <c r="L277" s="19">
        <f>SUM(F277:K277)</f>
        <v>476643.53000000009</v>
      </c>
      <c r="M277" s="8"/>
      <c r="N277" s="265"/>
    </row>
    <row r="278" spans="1:14" s="3" customFormat="1" ht="12.2" customHeight="1" x14ac:dyDescent="0.15">
      <c r="A278" s="1" t="s">
        <v>439</v>
      </c>
      <c r="B278" s="2" t="s">
        <v>357</v>
      </c>
      <c r="C278" s="2" t="s">
        <v>291</v>
      </c>
      <c r="D278" s="2" t="s">
        <v>431</v>
      </c>
      <c r="E278" s="6">
        <v>1200</v>
      </c>
      <c r="F278" s="18">
        <v>508111.16</v>
      </c>
      <c r="G278" s="18">
        <v>74595.679999999993</v>
      </c>
      <c r="H278" s="18">
        <v>3682.74</v>
      </c>
      <c r="I278" s="18">
        <v>24921.91</v>
      </c>
      <c r="J278" s="18">
        <v>1170.1500000000001</v>
      </c>
      <c r="K278" s="18">
        <v>5434.47</v>
      </c>
      <c r="L278" s="19">
        <f>SUM(F278:K278)</f>
        <v>617916.11</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44007.93</v>
      </c>
      <c r="G280" s="18">
        <v>8288.2800000000007</v>
      </c>
      <c r="H280" s="18">
        <v>34414.89</v>
      </c>
      <c r="I280" s="18">
        <v>20069.310000000001</v>
      </c>
      <c r="J280" s="18">
        <v>0</v>
      </c>
      <c r="K280" s="18">
        <v>0</v>
      </c>
      <c r="L280" s="19">
        <f>SUM(F280:K280)</f>
        <v>106780.41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4831.71</v>
      </c>
      <c r="I282" s="18">
        <v>21.83</v>
      </c>
      <c r="J282" s="18">
        <v>0</v>
      </c>
      <c r="K282" s="18">
        <v>0</v>
      </c>
      <c r="L282" s="19">
        <f t="shared" ref="L282:L288" si="12">SUM(F282:K282)</f>
        <v>4853.54</v>
      </c>
      <c r="M282" s="8"/>
      <c r="N282" s="265"/>
    </row>
    <row r="283" spans="1:14" s="3" customFormat="1" ht="12.2" customHeight="1" x14ac:dyDescent="0.15">
      <c r="A283" s="1" t="s">
        <v>443</v>
      </c>
      <c r="B283" s="2" t="s">
        <v>357</v>
      </c>
      <c r="C283" s="2" t="s">
        <v>295</v>
      </c>
      <c r="D283" s="2" t="s">
        <v>431</v>
      </c>
      <c r="E283" s="6">
        <v>2200</v>
      </c>
      <c r="F283" s="18">
        <v>0</v>
      </c>
      <c r="G283" s="18">
        <v>0</v>
      </c>
      <c r="H283" s="18">
        <v>91940.52</v>
      </c>
      <c r="I283" s="18">
        <v>0</v>
      </c>
      <c r="J283" s="18">
        <v>0</v>
      </c>
      <c r="K283" s="18">
        <v>0</v>
      </c>
      <c r="L283" s="19">
        <f t="shared" si="12"/>
        <v>91940.52</v>
      </c>
      <c r="M283" s="8"/>
      <c r="N283" s="265"/>
    </row>
    <row r="284" spans="1:14" s="3" customFormat="1" ht="12.2" customHeight="1" x14ac:dyDescent="0.15">
      <c r="A284" s="1" t="s">
        <v>444</v>
      </c>
      <c r="B284" s="2" t="s">
        <v>357</v>
      </c>
      <c r="C284" s="2" t="s">
        <v>296</v>
      </c>
      <c r="D284" s="2" t="s">
        <v>431</v>
      </c>
      <c r="E284" s="6">
        <v>2300</v>
      </c>
      <c r="F284" s="18">
        <v>21361.200000000001</v>
      </c>
      <c r="G284" s="18">
        <v>4607.34</v>
      </c>
      <c r="H284" s="18">
        <v>233.74</v>
      </c>
      <c r="I284" s="18">
        <v>0</v>
      </c>
      <c r="J284" s="18">
        <v>0</v>
      </c>
      <c r="K284" s="18">
        <v>0</v>
      </c>
      <c r="L284" s="19">
        <f t="shared" si="12"/>
        <v>26202.280000000002</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2027.17</v>
      </c>
      <c r="I287" s="18">
        <v>0</v>
      </c>
      <c r="J287" s="18">
        <v>0</v>
      </c>
      <c r="K287" s="18">
        <v>0</v>
      </c>
      <c r="L287" s="19">
        <f t="shared" si="12"/>
        <v>2027.17</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832528.13</v>
      </c>
      <c r="G291" s="42">
        <f t="shared" si="13"/>
        <v>152796.24</v>
      </c>
      <c r="H291" s="42">
        <f t="shared" si="13"/>
        <v>187932.67</v>
      </c>
      <c r="I291" s="42">
        <f t="shared" si="13"/>
        <v>99254.12</v>
      </c>
      <c r="J291" s="42">
        <f t="shared" si="13"/>
        <v>44650.66</v>
      </c>
      <c r="K291" s="42">
        <f t="shared" si="13"/>
        <v>9201.74</v>
      </c>
      <c r="L291" s="41">
        <f t="shared" si="13"/>
        <v>1326363.56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59925.09</v>
      </c>
      <c r="G296" s="18">
        <v>14280.95</v>
      </c>
      <c r="H296" s="18">
        <v>7075.21</v>
      </c>
      <c r="I296" s="18">
        <v>38013.619999999995</v>
      </c>
      <c r="J296" s="18">
        <v>17297.91</v>
      </c>
      <c r="K296" s="18">
        <v>1978.57</v>
      </c>
      <c r="L296" s="19">
        <f>SUM(F296:K296)</f>
        <v>138571.35</v>
      </c>
      <c r="M296" s="8"/>
      <c r="N296" s="265"/>
    </row>
    <row r="297" spans="1:14" s="3" customFormat="1" ht="12.2" customHeight="1" x14ac:dyDescent="0.15">
      <c r="A297" s="1" t="s">
        <v>439</v>
      </c>
      <c r="B297" s="2" t="s">
        <v>358</v>
      </c>
      <c r="C297" s="2" t="s">
        <v>291</v>
      </c>
      <c r="D297" s="2" t="s">
        <v>431</v>
      </c>
      <c r="E297" s="6">
        <v>1200</v>
      </c>
      <c r="F297" s="18">
        <v>486085.91000000003</v>
      </c>
      <c r="G297" s="18">
        <v>91735.33</v>
      </c>
      <c r="H297" s="18">
        <v>1934.17</v>
      </c>
      <c r="I297" s="18">
        <v>6898.58</v>
      </c>
      <c r="J297" s="18">
        <v>99</v>
      </c>
      <c r="K297" s="18">
        <v>2854.18</v>
      </c>
      <c r="L297" s="19">
        <f>SUM(F297:K297)</f>
        <v>589607.17000000004</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17613.04</v>
      </c>
      <c r="G299" s="18">
        <v>3799.77</v>
      </c>
      <c r="H299" s="18">
        <v>4926.17</v>
      </c>
      <c r="I299" s="18">
        <v>2496.77</v>
      </c>
      <c r="J299" s="18">
        <v>0</v>
      </c>
      <c r="K299" s="18">
        <v>9491.6</v>
      </c>
      <c r="L299" s="19">
        <f>SUM(F299:K299)</f>
        <v>38327.350000000006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2537.61</v>
      </c>
      <c r="I301" s="18">
        <v>11.47</v>
      </c>
      <c r="J301" s="18">
        <v>0</v>
      </c>
      <c r="K301" s="18">
        <v>0</v>
      </c>
      <c r="L301" s="19">
        <f t="shared" ref="L301:L307" si="14">SUM(F301:K301)</f>
        <v>2549.08</v>
      </c>
      <c r="M301" s="8"/>
      <c r="N301" s="265"/>
    </row>
    <row r="302" spans="1:14" s="3" customFormat="1" ht="12.2" customHeight="1" x14ac:dyDescent="0.15">
      <c r="A302" s="1" t="s">
        <v>443</v>
      </c>
      <c r="B302" s="2" t="s">
        <v>358</v>
      </c>
      <c r="C302" s="2" t="s">
        <v>295</v>
      </c>
      <c r="D302" s="2" t="s">
        <v>431</v>
      </c>
      <c r="E302" s="6">
        <v>2200</v>
      </c>
      <c r="F302" s="18">
        <v>0</v>
      </c>
      <c r="G302" s="18">
        <v>0</v>
      </c>
      <c r="H302" s="18">
        <v>9139.02</v>
      </c>
      <c r="I302" s="18">
        <v>0</v>
      </c>
      <c r="J302" s="18">
        <v>0</v>
      </c>
      <c r="K302" s="18">
        <v>0</v>
      </c>
      <c r="L302" s="19">
        <f t="shared" si="14"/>
        <v>9139.02</v>
      </c>
      <c r="M302" s="8"/>
      <c r="N302" s="265"/>
    </row>
    <row r="303" spans="1:14" s="3" customFormat="1" ht="12.2" customHeight="1" x14ac:dyDescent="0.15">
      <c r="A303" s="1" t="s">
        <v>444</v>
      </c>
      <c r="B303" s="2" t="s">
        <v>358</v>
      </c>
      <c r="C303" s="2" t="s">
        <v>296</v>
      </c>
      <c r="D303" s="2" t="s">
        <v>431</v>
      </c>
      <c r="E303" s="6">
        <v>2300</v>
      </c>
      <c r="F303" s="18">
        <v>11218.88</v>
      </c>
      <c r="G303" s="18">
        <v>2419.77</v>
      </c>
      <c r="H303" s="18">
        <v>122.71000000000001</v>
      </c>
      <c r="I303" s="18">
        <v>0</v>
      </c>
      <c r="J303" s="18">
        <v>0</v>
      </c>
      <c r="K303" s="18">
        <v>0</v>
      </c>
      <c r="L303" s="19">
        <f t="shared" si="14"/>
        <v>13761.359999999999</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1064.67</v>
      </c>
      <c r="I306" s="18">
        <v>0</v>
      </c>
      <c r="J306" s="18">
        <v>0</v>
      </c>
      <c r="K306" s="18">
        <v>0</v>
      </c>
      <c r="L306" s="19">
        <f t="shared" si="14"/>
        <v>1064.67</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574842.92000000004</v>
      </c>
      <c r="G310" s="42">
        <f t="shared" si="15"/>
        <v>112235.82</v>
      </c>
      <c r="H310" s="42">
        <f t="shared" si="15"/>
        <v>26799.559999999998</v>
      </c>
      <c r="I310" s="42">
        <f t="shared" si="15"/>
        <v>47420.439999999995</v>
      </c>
      <c r="J310" s="42">
        <f t="shared" si="15"/>
        <v>17396.91</v>
      </c>
      <c r="K310" s="42">
        <f t="shared" si="15"/>
        <v>14324.35</v>
      </c>
      <c r="L310" s="41">
        <f t="shared" si="15"/>
        <v>793020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13714.62</v>
      </c>
      <c r="G315" s="18">
        <v>5883.75</v>
      </c>
      <c r="H315" s="18">
        <v>12971.09</v>
      </c>
      <c r="I315" s="18">
        <v>27008.03</v>
      </c>
      <c r="J315" s="18">
        <v>92492.31</v>
      </c>
      <c r="K315" s="18">
        <v>4246.92</v>
      </c>
      <c r="L315" s="19">
        <f>SUM(F315:K315)</f>
        <v>156316.72</v>
      </c>
      <c r="M315" s="8"/>
      <c r="N315" s="265"/>
    </row>
    <row r="316" spans="1:14" s="3" customFormat="1" ht="12.2" customHeight="1" x14ac:dyDescent="0.15">
      <c r="A316" s="1" t="s">
        <v>439</v>
      </c>
      <c r="B316" s="2" t="s">
        <v>359</v>
      </c>
      <c r="C316" s="2" t="s">
        <v>291</v>
      </c>
      <c r="D316" s="2" t="s">
        <v>431</v>
      </c>
      <c r="E316" s="6">
        <v>1200</v>
      </c>
      <c r="F316" s="18">
        <v>1315689</v>
      </c>
      <c r="G316" s="18">
        <v>319977.68</v>
      </c>
      <c r="H316" s="18">
        <v>14931.439999999999</v>
      </c>
      <c r="I316" s="18">
        <v>32827.49</v>
      </c>
      <c r="J316" s="18">
        <v>2245.9300000000003</v>
      </c>
      <c r="K316" s="18">
        <v>8219.36</v>
      </c>
      <c r="L316" s="19">
        <f>SUM(F316:K316)</f>
        <v>1693890.9</v>
      </c>
      <c r="M316" s="8"/>
      <c r="N316" s="265"/>
    </row>
    <row r="317" spans="1:14" s="3" customFormat="1" ht="12.2" customHeight="1" x14ac:dyDescent="0.15">
      <c r="A317" s="1" t="s">
        <v>440</v>
      </c>
      <c r="B317" s="2" t="s">
        <v>359</v>
      </c>
      <c r="C317" s="2" t="s">
        <v>292</v>
      </c>
      <c r="D317" s="2" t="s">
        <v>431</v>
      </c>
      <c r="E317" s="6">
        <v>1300</v>
      </c>
      <c r="F317" s="18">
        <v>29483.74</v>
      </c>
      <c r="G317" s="18">
        <v>6400.9</v>
      </c>
      <c r="H317" s="18">
        <v>85612.39</v>
      </c>
      <c r="I317" s="18">
        <v>76367.06</v>
      </c>
      <c r="J317" s="18">
        <v>46225.200000000004</v>
      </c>
      <c r="K317" s="18">
        <v>0</v>
      </c>
      <c r="L317" s="19">
        <f>SUM(F317:K317)</f>
        <v>244089.29</v>
      </c>
      <c r="M317" s="8"/>
      <c r="N317" s="265"/>
    </row>
    <row r="318" spans="1:14" s="3" customFormat="1" ht="12.2" customHeight="1" x14ac:dyDescent="0.15">
      <c r="A318" s="1" t="s">
        <v>441</v>
      </c>
      <c r="B318" s="2" t="s">
        <v>359</v>
      </c>
      <c r="C318" s="2" t="s">
        <v>293</v>
      </c>
      <c r="D318" s="2" t="s">
        <v>431</v>
      </c>
      <c r="E318" s="6">
        <v>1400</v>
      </c>
      <c r="F318" s="18">
        <v>54771.26</v>
      </c>
      <c r="G318" s="18">
        <v>12594.6</v>
      </c>
      <c r="H318" s="18">
        <v>15269.779999999999</v>
      </c>
      <c r="I318" s="18">
        <v>3727.51</v>
      </c>
      <c r="J318" s="18">
        <v>0</v>
      </c>
      <c r="K318" s="18">
        <v>4355.22</v>
      </c>
      <c r="L318" s="19">
        <f>SUM(F318:K318)</f>
        <v>90718.37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47272.94</v>
      </c>
      <c r="G320" s="18">
        <v>13478.19</v>
      </c>
      <c r="H320" s="18">
        <v>5446.89</v>
      </c>
      <c r="I320" s="18">
        <v>24.61</v>
      </c>
      <c r="J320" s="18">
        <v>0</v>
      </c>
      <c r="K320" s="18">
        <v>0</v>
      </c>
      <c r="L320" s="19">
        <f t="shared" ref="L320:L326" si="16">SUM(F320:K320)</f>
        <v>66222.63</v>
      </c>
      <c r="M320" s="8"/>
      <c r="N320" s="265"/>
    </row>
    <row r="321" spans="1:14" s="3" customFormat="1" ht="12.2" customHeight="1" x14ac:dyDescent="0.15">
      <c r="A321" s="1" t="s">
        <v>443</v>
      </c>
      <c r="B321" s="2" t="s">
        <v>359</v>
      </c>
      <c r="C321" s="2" t="s">
        <v>295</v>
      </c>
      <c r="D321" s="2" t="s">
        <v>431</v>
      </c>
      <c r="E321" s="6">
        <v>2200</v>
      </c>
      <c r="F321" s="18">
        <v>0</v>
      </c>
      <c r="G321" s="18">
        <v>0</v>
      </c>
      <c r="H321" s="18">
        <v>49720.58</v>
      </c>
      <c r="I321" s="18">
        <v>0</v>
      </c>
      <c r="J321" s="18">
        <v>0</v>
      </c>
      <c r="K321" s="18">
        <v>4590.0600000000004</v>
      </c>
      <c r="L321" s="19">
        <f t="shared" si="16"/>
        <v>54310.64</v>
      </c>
      <c r="M321" s="8"/>
      <c r="N321" s="265"/>
    </row>
    <row r="322" spans="1:14" s="3" customFormat="1" ht="12.2" customHeight="1" x14ac:dyDescent="0.15">
      <c r="A322" s="1" t="s">
        <v>444</v>
      </c>
      <c r="B322" s="2" t="s">
        <v>359</v>
      </c>
      <c r="C322" s="2" t="s">
        <v>296</v>
      </c>
      <c r="D322" s="2" t="s">
        <v>431</v>
      </c>
      <c r="E322" s="6">
        <v>2300</v>
      </c>
      <c r="F322" s="18">
        <v>117644.84</v>
      </c>
      <c r="G322" s="18">
        <v>25148.04</v>
      </c>
      <c r="H322" s="18">
        <v>263.5</v>
      </c>
      <c r="I322" s="18">
        <v>0</v>
      </c>
      <c r="J322" s="18">
        <v>0</v>
      </c>
      <c r="K322" s="18">
        <v>0</v>
      </c>
      <c r="L322" s="19">
        <f t="shared" si="16"/>
        <v>143056.38</v>
      </c>
      <c r="M322" s="8"/>
      <c r="N322" s="265"/>
    </row>
    <row r="323" spans="1:14" s="3" customFormat="1" ht="12.2" customHeight="1" x14ac:dyDescent="0.15">
      <c r="A323" s="1" t="s">
        <v>445</v>
      </c>
      <c r="B323" s="2" t="s">
        <v>359</v>
      </c>
      <c r="C323" s="2" t="s">
        <v>297</v>
      </c>
      <c r="D323" s="2" t="s">
        <v>431</v>
      </c>
      <c r="E323" s="6">
        <v>2400</v>
      </c>
      <c r="F323" s="18">
        <v>114037.1</v>
      </c>
      <c r="G323" s="18">
        <v>32652.639999999999</v>
      </c>
      <c r="H323" s="18">
        <v>0</v>
      </c>
      <c r="I323" s="18">
        <v>0</v>
      </c>
      <c r="J323" s="18">
        <v>0</v>
      </c>
      <c r="K323" s="18">
        <v>0</v>
      </c>
      <c r="L323" s="19">
        <f t="shared" si="16"/>
        <v>146689.74</v>
      </c>
      <c r="M323" s="8"/>
      <c r="N323" s="265"/>
    </row>
    <row r="324" spans="1:14" s="3" customFormat="1" ht="12.2" customHeight="1" x14ac:dyDescent="0.15">
      <c r="A324" s="1" t="s">
        <v>446</v>
      </c>
      <c r="B324" s="2" t="s">
        <v>359</v>
      </c>
      <c r="C324" s="2" t="s">
        <v>298</v>
      </c>
      <c r="D324" s="2" t="s">
        <v>431</v>
      </c>
      <c r="E324" s="6">
        <v>2500</v>
      </c>
      <c r="F324" s="18">
        <v>0</v>
      </c>
      <c r="G324" s="18">
        <v>0</v>
      </c>
      <c r="H324" s="18">
        <v>847.41</v>
      </c>
      <c r="I324" s="18">
        <v>0</v>
      </c>
      <c r="J324" s="18">
        <v>0</v>
      </c>
      <c r="K324" s="18">
        <v>0</v>
      </c>
      <c r="L324" s="19">
        <f t="shared" si="16"/>
        <v>847.41</v>
      </c>
      <c r="M324" s="8"/>
      <c r="N324" s="265"/>
    </row>
    <row r="325" spans="1:14" s="3" customFormat="1" ht="12.2" customHeight="1" x14ac:dyDescent="0.15">
      <c r="A325" s="1" t="s">
        <v>447</v>
      </c>
      <c r="B325" s="2" t="s">
        <v>359</v>
      </c>
      <c r="C325" s="2" t="s">
        <v>299</v>
      </c>
      <c r="D325" s="2" t="s">
        <v>431</v>
      </c>
      <c r="E325" s="6">
        <v>2600</v>
      </c>
      <c r="F325" s="18">
        <v>22902.01</v>
      </c>
      <c r="G325" s="18">
        <v>4839.51</v>
      </c>
      <c r="H325" s="18">
        <v>6807.07</v>
      </c>
      <c r="I325" s="18">
        <v>29271.98</v>
      </c>
      <c r="J325" s="18">
        <v>0</v>
      </c>
      <c r="K325" s="18">
        <v>0</v>
      </c>
      <c r="L325" s="19">
        <f t="shared" si="16"/>
        <v>63820.569999999992</v>
      </c>
      <c r="M325" s="8"/>
      <c r="N325" s="265"/>
    </row>
    <row r="326" spans="1:14" s="3" customFormat="1" ht="12.2" customHeight="1" x14ac:dyDescent="0.15">
      <c r="A326" s="1" t="s">
        <v>448</v>
      </c>
      <c r="B326" s="2" t="s">
        <v>359</v>
      </c>
      <c r="C326" s="2" t="s">
        <v>300</v>
      </c>
      <c r="D326" s="2" t="s">
        <v>431</v>
      </c>
      <c r="E326" s="6">
        <v>2700</v>
      </c>
      <c r="F326" s="18">
        <v>0</v>
      </c>
      <c r="G326" s="18">
        <v>0</v>
      </c>
      <c r="H326" s="18">
        <v>664.28</v>
      </c>
      <c r="I326" s="18">
        <v>0</v>
      </c>
      <c r="J326" s="18">
        <v>0</v>
      </c>
      <c r="K326" s="18">
        <v>0</v>
      </c>
      <c r="L326" s="19">
        <f t="shared" si="16"/>
        <v>664.28</v>
      </c>
      <c r="M326" s="8"/>
      <c r="N326" s="265"/>
    </row>
    <row r="327" spans="1:14" s="3" customFormat="1" ht="12.2" customHeight="1" x14ac:dyDescent="0.15">
      <c r="A327" s="1" t="s">
        <v>449</v>
      </c>
      <c r="B327" s="2" t="s">
        <v>359</v>
      </c>
      <c r="C327" s="2" t="s">
        <v>343</v>
      </c>
      <c r="D327" s="2" t="s">
        <v>431</v>
      </c>
      <c r="E327" s="6">
        <v>2800</v>
      </c>
      <c r="F327" s="18">
        <v>0</v>
      </c>
      <c r="G327" s="18">
        <v>0</v>
      </c>
      <c r="H327" s="18">
        <v>1860.22</v>
      </c>
      <c r="I327" s="18">
        <v>0</v>
      </c>
      <c r="J327" s="18">
        <v>0</v>
      </c>
      <c r="K327" s="18">
        <v>0</v>
      </c>
      <c r="L327" s="19">
        <f>SUM(F327:K327)</f>
        <v>1860.22</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1715515.5100000002</v>
      </c>
      <c r="G329" s="42">
        <f t="shared" si="17"/>
        <v>420975.31</v>
      </c>
      <c r="H329" s="42">
        <f t="shared" si="17"/>
        <v>194394.65</v>
      </c>
      <c r="I329" s="42">
        <f t="shared" si="17"/>
        <v>169226.68</v>
      </c>
      <c r="J329" s="42">
        <f t="shared" si="17"/>
        <v>140963.44</v>
      </c>
      <c r="K329" s="42">
        <f t="shared" si="17"/>
        <v>21411.56</v>
      </c>
      <c r="L329" s="41">
        <f t="shared" si="17"/>
        <v>2662487.15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33941.5</v>
      </c>
      <c r="I337" s="18"/>
      <c r="J337" s="18"/>
      <c r="K337" s="18"/>
      <c r="L337" s="19">
        <f t="shared" si="18"/>
        <v>33941.5</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33941.5</v>
      </c>
      <c r="I338" s="41">
        <f t="shared" si="19"/>
        <v>0</v>
      </c>
      <c r="J338" s="41">
        <f t="shared" si="19"/>
        <v>0</v>
      </c>
      <c r="K338" s="41">
        <f t="shared" si="19"/>
        <v>0</v>
      </c>
      <c r="L338" s="41">
        <f t="shared" si="18"/>
        <v>33941.5</v>
      </c>
      <c r="M338" s="8"/>
      <c r="N338" s="265"/>
    </row>
    <row r="339" spans="1:43" s="3" customFormat="1" ht="12.2" customHeight="1" thickTop="1" x14ac:dyDescent="0.15">
      <c r="A339" s="38" t="s">
        <v>468</v>
      </c>
      <c r="B339" s="40">
        <v>14</v>
      </c>
      <c r="C339" s="40">
        <v>7</v>
      </c>
      <c r="D339" s="39" t="s">
        <v>431</v>
      </c>
      <c r="E339" s="40"/>
      <c r="F339" s="41">
        <f t="shared" ref="F339:L339" si="20">F291+F310+F329+F338</f>
        <v>3122886.5600000005</v>
      </c>
      <c r="G339" s="41">
        <f t="shared" si="20"/>
        <v>686007.37</v>
      </c>
      <c r="H339" s="41">
        <f t="shared" si="20"/>
        <v>443068.38</v>
      </c>
      <c r="I339" s="41">
        <f t="shared" si="20"/>
        <v>315901.24</v>
      </c>
      <c r="J339" s="41">
        <f t="shared" si="20"/>
        <v>203011.01</v>
      </c>
      <c r="K339" s="41">
        <f t="shared" si="20"/>
        <v>44937.65</v>
      </c>
      <c r="L339" s="41">
        <f t="shared" si="20"/>
        <v>4815812.21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3122886.5600000005</v>
      </c>
      <c r="G353" s="41">
        <f>G339</f>
        <v>686007.37</v>
      </c>
      <c r="H353" s="41">
        <f>H339</f>
        <v>443068.38</v>
      </c>
      <c r="I353" s="41">
        <f>I339</f>
        <v>315901.24</v>
      </c>
      <c r="J353" s="41">
        <f>J339</f>
        <v>203011.01</v>
      </c>
      <c r="K353" s="47">
        <f>K339+K352</f>
        <v>44937.65</v>
      </c>
      <c r="L353" s="41">
        <f>L339+L352</f>
        <v>4815812.21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179250.05</v>
      </c>
      <c r="G359" s="18">
        <v>32035.549999999996</v>
      </c>
      <c r="H359" s="18">
        <v>15584.27</v>
      </c>
      <c r="I359" s="18">
        <v>191959.44</v>
      </c>
      <c r="J359" s="18">
        <v>150.51</v>
      </c>
      <c r="K359" s="18">
        <v>370.53</v>
      </c>
      <c r="L359" s="13">
        <f>SUM(F359:K359)</f>
        <v>419350.35</v>
      </c>
      <c r="M359" s="8"/>
      <c r="N359" s="265"/>
    </row>
    <row r="360" spans="1:22" s="3" customFormat="1" ht="12.2" customHeight="1" x14ac:dyDescent="0.15">
      <c r="A360" s="1" t="s">
        <v>542</v>
      </c>
      <c r="B360" s="2" t="s">
        <v>366</v>
      </c>
      <c r="C360" s="6">
        <v>2</v>
      </c>
      <c r="D360" s="2" t="s">
        <v>431</v>
      </c>
      <c r="E360" s="6"/>
      <c r="F360" s="18">
        <v>128031.29999999999</v>
      </c>
      <c r="G360" s="18">
        <v>20284.14</v>
      </c>
      <c r="H360" s="18">
        <v>8184.84</v>
      </c>
      <c r="I360" s="18">
        <v>100816.89</v>
      </c>
      <c r="J360" s="18">
        <v>79.05</v>
      </c>
      <c r="K360" s="18">
        <v>194.6</v>
      </c>
      <c r="L360" s="19">
        <f>SUM(F360:K360)</f>
        <v>257590.81999999998</v>
      </c>
      <c r="M360" s="8"/>
      <c r="N360" s="265"/>
    </row>
    <row r="361" spans="1:22" s="3" customFormat="1" ht="12.2" customHeight="1" x14ac:dyDescent="0.15">
      <c r="A361" s="3" t="s">
        <v>543</v>
      </c>
      <c r="B361" s="2" t="s">
        <v>366</v>
      </c>
      <c r="C361" s="6">
        <v>3</v>
      </c>
      <c r="D361" s="2" t="s">
        <v>431</v>
      </c>
      <c r="E361" s="6"/>
      <c r="F361" s="18">
        <v>130541.18999999999</v>
      </c>
      <c r="G361" s="18">
        <v>24456.400000000001</v>
      </c>
      <c r="H361" s="18">
        <v>17568.47</v>
      </c>
      <c r="I361" s="18">
        <v>216399.89</v>
      </c>
      <c r="J361" s="18">
        <v>169.67</v>
      </c>
      <c r="K361" s="18">
        <v>417.71</v>
      </c>
      <c r="L361" s="19">
        <f>SUM(F361:K361)</f>
        <v>389553.33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437822.54</v>
      </c>
      <c r="G363" s="47">
        <f t="shared" si="22"/>
        <v>76776.09</v>
      </c>
      <c r="H363" s="47">
        <f t="shared" si="22"/>
        <v>41337.58</v>
      </c>
      <c r="I363" s="47">
        <f t="shared" si="22"/>
        <v>509176.22000000003</v>
      </c>
      <c r="J363" s="47">
        <f t="shared" si="22"/>
        <v>399.23</v>
      </c>
      <c r="K363" s="47">
        <f t="shared" si="22"/>
        <v>982.83999999999992</v>
      </c>
      <c r="L363" s="47">
        <f t="shared" si="22"/>
        <v>1066494.5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157818.76999999999</v>
      </c>
      <c r="G368" s="18">
        <v>82886.25</v>
      </c>
      <c r="H368" s="18">
        <v>177912.41</v>
      </c>
      <c r="I368" s="56">
        <f>SUM(F368:H368)</f>
        <v>418617.43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34140.660000000003</v>
      </c>
      <c r="G369" s="63">
        <v>17930.64</v>
      </c>
      <c r="H369" s="63">
        <v>38487.49</v>
      </c>
      <c r="I369" s="56">
        <f>SUM(F369:H369)</f>
        <v>90558.790000000008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191959.43</v>
      </c>
      <c r="G370" s="47">
        <f>SUM(G368:G369)</f>
        <v>100816.89</v>
      </c>
      <c r="H370" s="47">
        <f>SUM(H368:H369)</f>
        <v>216399.9</v>
      </c>
      <c r="I370" s="47">
        <f>SUM(I368:I369)</f>
        <v>509176.22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0</v>
      </c>
      <c r="G466" s="18">
        <v>2471.23</v>
      </c>
      <c r="H466" s="18">
        <v>530344.5</v>
      </c>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53547130.319999985</v>
      </c>
      <c r="G469" s="18">
        <v>1362520.14</v>
      </c>
      <c r="H469" s="18">
        <v>4897993.9700000007</v>
      </c>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53547130.319999985</v>
      </c>
      <c r="G471" s="53">
        <f>SUM(G469:G470)</f>
        <v>1362520.14</v>
      </c>
      <c r="H471" s="53">
        <f>SUM(H469:H470)</f>
        <v>4897993.9700000007</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53547130.319999985</v>
      </c>
      <c r="G473" s="18">
        <v>1066494.5</v>
      </c>
      <c r="H473" s="18">
        <v>4815812.21</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53547130.319999985</v>
      </c>
      <c r="G475" s="53">
        <f>SUM(G473:G474)</f>
        <v>1066494.5</v>
      </c>
      <c r="H475" s="53">
        <f>SUM(H473:H474)</f>
        <v>4815812.21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0</v>
      </c>
      <c r="G477" s="53">
        <f>(G466+G471)- G475</f>
        <v>298496.86999999988</v>
      </c>
      <c r="H477" s="53">
        <f>(H466+H471)- H475</f>
        <v>612526.26000000071</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2702086.1700000004</v>
      </c>
      <c r="G522" s="18">
        <v>1265448.3799999999</v>
      </c>
      <c r="H522" s="18">
        <v>720537.42999999993</v>
      </c>
      <c r="I522" s="18">
        <v>29350.309999999998</v>
      </c>
      <c r="J522" s="18">
        <v>7627.3099999999995</v>
      </c>
      <c r="K522" s="18">
        <v>5434.47</v>
      </c>
      <c r="L522" s="88">
        <f>SUM(F522:K522)</f>
        <v>4730484.0699999994</v>
      </c>
      <c r="N522" s="264"/>
    </row>
    <row r="523" spans="1:14" s="52" customFormat="1" ht="12.2" customHeight="1" x14ac:dyDescent="0.2">
      <c r="A523" s="22" t="s">
        <v>634</v>
      </c>
      <c r="B523" s="105">
        <v>21</v>
      </c>
      <c r="C523" s="115">
        <v>2</v>
      </c>
      <c r="D523" s="2" t="s">
        <v>432</v>
      </c>
      <c r="E523" s="115"/>
      <c r="F523" s="18">
        <v>1225061.17</v>
      </c>
      <c r="G523" s="18">
        <v>519111.26</v>
      </c>
      <c r="H523" s="18">
        <v>444909.89</v>
      </c>
      <c r="I523" s="18">
        <v>11417.880000000001</v>
      </c>
      <c r="J523" s="18">
        <v>621.79</v>
      </c>
      <c r="K523" s="18">
        <v>2854.18</v>
      </c>
      <c r="L523" s="88">
        <f>SUM(F523:K523)</f>
        <v>2203976.17</v>
      </c>
      <c r="N523" s="264"/>
    </row>
    <row r="524" spans="1:14" s="52" customFormat="1" ht="12.2" customHeight="1" thickBot="1" x14ac:dyDescent="0.25">
      <c r="A524" s="22" t="s">
        <v>635</v>
      </c>
      <c r="B524" s="105">
        <v>21</v>
      </c>
      <c r="C524" s="115">
        <v>3</v>
      </c>
      <c r="D524" s="2" t="s">
        <v>432</v>
      </c>
      <c r="E524" s="115"/>
      <c r="F524" s="18">
        <v>1921020.49</v>
      </c>
      <c r="G524" s="18">
        <v>694932.55</v>
      </c>
      <c r="H524" s="18">
        <v>566130.61</v>
      </c>
      <c r="I524" s="18">
        <v>34741.85</v>
      </c>
      <c r="J524" s="18">
        <v>2245.9300000000003</v>
      </c>
      <c r="K524" s="18">
        <v>8219.36</v>
      </c>
      <c r="L524" s="88">
        <f>SUM(F524:K524)</f>
        <v>3227290.79</v>
      </c>
      <c r="N524" s="264"/>
    </row>
    <row r="525" spans="1:14" s="52" customFormat="1" ht="12.2" customHeight="1" thickTop="1" x14ac:dyDescent="0.2">
      <c r="A525" s="139" t="s">
        <v>63</v>
      </c>
      <c r="B525" s="107">
        <v>21</v>
      </c>
      <c r="C525" s="194">
        <v>4</v>
      </c>
      <c r="D525" s="195" t="s">
        <v>432</v>
      </c>
      <c r="E525" s="194"/>
      <c r="F525" s="108">
        <f>SUM(F522:F524)</f>
        <v>5848167.8300000001</v>
      </c>
      <c r="G525" s="108">
        <f t="shared" ref="G525:L525" si="36">SUM(G522:G524)</f>
        <v>2479492.19</v>
      </c>
      <c r="H525" s="108">
        <f t="shared" si="36"/>
        <v>1731577.9299999997</v>
      </c>
      <c r="I525" s="108">
        <f t="shared" si="36"/>
        <v>75510.040000000008</v>
      </c>
      <c r="J525" s="108">
        <f t="shared" si="36"/>
        <v>10495.029999999999</v>
      </c>
      <c r="K525" s="108">
        <f t="shared" si="36"/>
        <v>16508.010000000002</v>
      </c>
      <c r="L525" s="89">
        <f t="shared" si="36"/>
        <v>10161751.029999999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640287.49</v>
      </c>
      <c r="G527" s="18">
        <v>169267.63999999998</v>
      </c>
      <c r="H527" s="18">
        <v>196360.13</v>
      </c>
      <c r="I527" s="18">
        <v>3997.44</v>
      </c>
      <c r="J527" s="18">
        <v>0</v>
      </c>
      <c r="K527" s="18">
        <v>2856</v>
      </c>
      <c r="L527" s="88">
        <f>SUM(F527:K527)</f>
        <v>1012768.7</v>
      </c>
      <c r="M527" s="8"/>
      <c r="N527" s="265"/>
    </row>
    <row r="528" spans="1:14" s="3" customFormat="1" ht="12.2" customHeight="1" x14ac:dyDescent="0.15">
      <c r="A528" s="22" t="s">
        <v>634</v>
      </c>
      <c r="B528" s="105">
        <v>21</v>
      </c>
      <c r="C528" s="115">
        <v>6</v>
      </c>
      <c r="D528" s="2" t="s">
        <v>432</v>
      </c>
      <c r="E528" s="115"/>
      <c r="F528" s="18">
        <v>157834.82</v>
      </c>
      <c r="G528" s="18">
        <v>44241.74</v>
      </c>
      <c r="H528" s="18">
        <v>63211.75</v>
      </c>
      <c r="I528" s="18">
        <v>2099.4499999999998</v>
      </c>
      <c r="J528" s="18">
        <v>0</v>
      </c>
      <c r="K528" s="18">
        <v>0</v>
      </c>
      <c r="L528" s="88">
        <f>SUM(F528:K528)</f>
        <v>267387.76</v>
      </c>
      <c r="M528" s="8"/>
      <c r="N528" s="265"/>
    </row>
    <row r="529" spans="1:14" s="3" customFormat="1" ht="12.2" customHeight="1" thickBot="1" x14ac:dyDescent="0.2">
      <c r="A529" s="22" t="s">
        <v>635</v>
      </c>
      <c r="B529" s="118">
        <v>21</v>
      </c>
      <c r="C529" s="118">
        <v>7</v>
      </c>
      <c r="D529" s="2" t="s">
        <v>432</v>
      </c>
      <c r="E529" s="118"/>
      <c r="F529" s="18">
        <v>316463.02999999997</v>
      </c>
      <c r="G529" s="18">
        <v>85482.48000000001</v>
      </c>
      <c r="H529" s="18">
        <v>52221.789999999994</v>
      </c>
      <c r="I529" s="18">
        <v>4506.3900000000003</v>
      </c>
      <c r="J529" s="18">
        <v>0</v>
      </c>
      <c r="K529" s="18">
        <v>30958.15</v>
      </c>
      <c r="L529" s="88">
        <f>SUM(F529:K529)</f>
        <v>489631.84</v>
      </c>
      <c r="M529" s="8"/>
      <c r="N529" s="265"/>
    </row>
    <row r="530" spans="1:14" s="3" customFormat="1" ht="12.2" customHeight="1" thickTop="1" x14ac:dyDescent="0.15">
      <c r="A530" s="139" t="s">
        <v>65</v>
      </c>
      <c r="B530" s="107">
        <v>21</v>
      </c>
      <c r="C530" s="107">
        <v>8</v>
      </c>
      <c r="D530" s="158" t="s">
        <v>432</v>
      </c>
      <c r="E530" s="107"/>
      <c r="F530" s="89">
        <f>SUM(F527:F529)</f>
        <v>1114585.3400000001</v>
      </c>
      <c r="G530" s="89">
        <f t="shared" ref="G530:L530" si="37">SUM(G527:G529)</f>
        <v>298991.86</v>
      </c>
      <c r="H530" s="89">
        <f t="shared" si="37"/>
        <v>311793.67</v>
      </c>
      <c r="I530" s="89">
        <f t="shared" si="37"/>
        <v>10603.279999999999</v>
      </c>
      <c r="J530" s="89">
        <f t="shared" si="37"/>
        <v>0</v>
      </c>
      <c r="K530" s="89">
        <f t="shared" si="37"/>
        <v>33814.15</v>
      </c>
      <c r="L530" s="89">
        <f t="shared" si="37"/>
        <v>1769788.3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60699.72</v>
      </c>
      <c r="G532" s="18">
        <v>15799.56</v>
      </c>
      <c r="H532" s="18">
        <v>75.42</v>
      </c>
      <c r="I532" s="18"/>
      <c r="J532" s="18"/>
      <c r="K532" s="18">
        <v>690</v>
      </c>
      <c r="L532" s="88">
        <f>SUM(F532:K532)</f>
        <v>77264.7</v>
      </c>
      <c r="M532" s="8"/>
      <c r="N532" s="265"/>
    </row>
    <row r="533" spans="1:14" s="3" customFormat="1" ht="12.2" customHeight="1" x14ac:dyDescent="0.15">
      <c r="A533" s="22" t="s">
        <v>634</v>
      </c>
      <c r="B533" s="105">
        <v>21</v>
      </c>
      <c r="C533" s="105">
        <v>10</v>
      </c>
      <c r="D533" s="2" t="s">
        <v>432</v>
      </c>
      <c r="E533" s="105"/>
      <c r="F533" s="18">
        <v>50557.399999999994</v>
      </c>
      <c r="G533" s="18">
        <v>13611.99</v>
      </c>
      <c r="H533" s="18"/>
      <c r="I533" s="18"/>
      <c r="J533" s="18"/>
      <c r="K533" s="18"/>
      <c r="L533" s="88">
        <f>SUM(F533:K533)</f>
        <v>64169.389999999992</v>
      </c>
      <c r="M533" s="8"/>
      <c r="N533" s="265"/>
    </row>
    <row r="534" spans="1:14" s="3" customFormat="1" ht="12.2" customHeight="1" thickBot="1" x14ac:dyDescent="0.2">
      <c r="A534" s="22" t="s">
        <v>635</v>
      </c>
      <c r="B534" s="105">
        <v>21</v>
      </c>
      <c r="C534" s="105">
        <v>11</v>
      </c>
      <c r="D534" s="2" t="s">
        <v>432</v>
      </c>
      <c r="E534" s="105"/>
      <c r="F534" s="18">
        <v>146223.59</v>
      </c>
      <c r="G534" s="18">
        <v>34239.29</v>
      </c>
      <c r="H534" s="18"/>
      <c r="I534" s="18"/>
      <c r="J534" s="18"/>
      <c r="K534" s="18"/>
      <c r="L534" s="88">
        <f>SUM(F534:K534)</f>
        <v>180462.88</v>
      </c>
      <c r="M534" s="8"/>
      <c r="N534" s="265"/>
    </row>
    <row r="535" spans="1:14" s="3" customFormat="1" ht="12.2" customHeight="1" thickTop="1" x14ac:dyDescent="0.15">
      <c r="A535" s="139" t="s">
        <v>67</v>
      </c>
      <c r="B535" s="107">
        <v>21</v>
      </c>
      <c r="C535" s="107">
        <v>12</v>
      </c>
      <c r="D535" s="158" t="s">
        <v>432</v>
      </c>
      <c r="E535" s="107"/>
      <c r="F535" s="89">
        <f>SUM(F532:F534)</f>
        <v>257480.71</v>
      </c>
      <c r="G535" s="89">
        <f t="shared" ref="G535:L535" si="38">SUM(G532:G534)</f>
        <v>63650.84</v>
      </c>
      <c r="H535" s="89">
        <f t="shared" si="38"/>
        <v>75.42</v>
      </c>
      <c r="I535" s="89">
        <f t="shared" si="38"/>
        <v>0</v>
      </c>
      <c r="J535" s="89">
        <f t="shared" si="38"/>
        <v>0</v>
      </c>
      <c r="K535" s="89">
        <f t="shared" si="38"/>
        <v>690</v>
      </c>
      <c r="L535" s="89">
        <f t="shared" si="38"/>
        <v>321896.96999999997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28733.32</v>
      </c>
      <c r="I537" s="18"/>
      <c r="J537" s="18"/>
      <c r="K537" s="18"/>
      <c r="L537" s="88">
        <f>SUM(F537:K537)</f>
        <v>28733.32</v>
      </c>
      <c r="M537" s="8"/>
      <c r="N537" s="265"/>
    </row>
    <row r="538" spans="1:14" s="3" customFormat="1" ht="12.2" customHeight="1" x14ac:dyDescent="0.15">
      <c r="A538" s="22" t="s">
        <v>634</v>
      </c>
      <c r="B538" s="105">
        <v>21</v>
      </c>
      <c r="C538" s="105">
        <v>14</v>
      </c>
      <c r="D538" s="2" t="s">
        <v>432</v>
      </c>
      <c r="E538" s="105"/>
      <c r="F538" s="18"/>
      <c r="G538" s="18"/>
      <c r="H538" s="18">
        <v>15090.71</v>
      </c>
      <c r="I538" s="18"/>
      <c r="J538" s="18"/>
      <c r="K538" s="18"/>
      <c r="L538" s="88">
        <f>SUM(F538:K538)</f>
        <v>15090.71</v>
      </c>
      <c r="M538" s="8"/>
      <c r="N538" s="265"/>
    </row>
    <row r="539" spans="1:14" s="3" customFormat="1" ht="12.2" customHeight="1" thickBot="1" x14ac:dyDescent="0.2">
      <c r="A539" s="22" t="s">
        <v>635</v>
      </c>
      <c r="B539" s="105">
        <v>21</v>
      </c>
      <c r="C539" s="105">
        <v>15</v>
      </c>
      <c r="D539" s="2" t="s">
        <v>432</v>
      </c>
      <c r="E539" s="105"/>
      <c r="F539" s="18"/>
      <c r="G539" s="18"/>
      <c r="H539" s="18">
        <v>32391.68</v>
      </c>
      <c r="I539" s="18"/>
      <c r="J539" s="18"/>
      <c r="K539" s="18"/>
      <c r="L539" s="88">
        <f>SUM(F539:K539)</f>
        <v>32391.68</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76215.709999999992</v>
      </c>
      <c r="I540" s="89">
        <f t="shared" si="39"/>
        <v>0</v>
      </c>
      <c r="J540" s="89">
        <f t="shared" si="39"/>
        <v>0</v>
      </c>
      <c r="K540" s="89">
        <f t="shared" si="39"/>
        <v>0</v>
      </c>
      <c r="L540" s="89">
        <f t="shared" si="39"/>
        <v>76215.709999999992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230497.86</v>
      </c>
      <c r="I542" s="18"/>
      <c r="J542" s="18"/>
      <c r="K542" s="18"/>
      <c r="L542" s="88">
        <f>SUM(F542:K542)</f>
        <v>230497.86</v>
      </c>
      <c r="M542" s="8"/>
      <c r="N542" s="265"/>
    </row>
    <row r="543" spans="1:14" s="3" customFormat="1" ht="12.2" customHeight="1" x14ac:dyDescent="0.15">
      <c r="A543" s="22" t="s">
        <v>634</v>
      </c>
      <c r="B543" s="105">
        <v>21</v>
      </c>
      <c r="C543" s="105">
        <v>18</v>
      </c>
      <c r="D543" s="2" t="s">
        <v>432</v>
      </c>
      <c r="E543" s="105"/>
      <c r="F543" s="18"/>
      <c r="G543" s="18"/>
      <c r="H543" s="18">
        <v>107239.5</v>
      </c>
      <c r="I543" s="18"/>
      <c r="J543" s="18"/>
      <c r="K543" s="18"/>
      <c r="L543" s="88">
        <f>SUM(F543:K543)</f>
        <v>107239.5</v>
      </c>
      <c r="M543" s="8"/>
      <c r="N543" s="265"/>
    </row>
    <row r="544" spans="1:14" s="3" customFormat="1" ht="12.2" customHeight="1" thickBot="1" x14ac:dyDescent="0.2">
      <c r="A544" s="22" t="s">
        <v>635</v>
      </c>
      <c r="B544" s="105">
        <v>21</v>
      </c>
      <c r="C544" s="105">
        <v>19</v>
      </c>
      <c r="D544" s="2" t="s">
        <v>432</v>
      </c>
      <c r="E544" s="105"/>
      <c r="F544" s="18"/>
      <c r="G544" s="18"/>
      <c r="H544" s="18">
        <v>132416.66</v>
      </c>
      <c r="I544" s="18"/>
      <c r="J544" s="18"/>
      <c r="K544" s="18"/>
      <c r="L544" s="88">
        <f>SUM(F544:K544)</f>
        <v>132416.66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470154.02</v>
      </c>
      <c r="I545" s="192">
        <f t="shared" si="40"/>
        <v>0</v>
      </c>
      <c r="J545" s="192">
        <f t="shared" si="40"/>
        <v>0</v>
      </c>
      <c r="K545" s="192">
        <f t="shared" si="40"/>
        <v>0</v>
      </c>
      <c r="L545" s="192">
        <f t="shared" si="40"/>
        <v>470154.02</v>
      </c>
      <c r="M545" s="8"/>
      <c r="N545" s="265"/>
    </row>
    <row r="546" spans="1:14" s="3" customFormat="1" ht="12.2" customHeight="1" thickTop="1" x14ac:dyDescent="0.15">
      <c r="A546" s="98" t="s">
        <v>72</v>
      </c>
      <c r="B546" s="107">
        <v>21</v>
      </c>
      <c r="C546" s="107">
        <v>21</v>
      </c>
      <c r="D546" s="158" t="s">
        <v>432</v>
      </c>
      <c r="E546" s="107"/>
      <c r="F546" s="89">
        <f>F525+F530+F535+F540+F545</f>
        <v>7220233.8799999999</v>
      </c>
      <c r="G546" s="89">
        <f t="shared" ref="G546:L546" si="41">G525+G530+G535+G540+G545</f>
        <v>2842134.8899999997</v>
      </c>
      <c r="H546" s="89">
        <f t="shared" si="41"/>
        <v>2589816.7499999995</v>
      </c>
      <c r="I546" s="89">
        <f t="shared" si="41"/>
        <v>86113.32</v>
      </c>
      <c r="J546" s="89">
        <f t="shared" si="41"/>
        <v>10495.029999999999</v>
      </c>
      <c r="K546" s="89">
        <f t="shared" si="41"/>
        <v>51012.160000000003</v>
      </c>
      <c r="L546" s="89">
        <f t="shared" si="41"/>
        <v>12799806.030000001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4730484.0699999994</v>
      </c>
      <c r="G550" s="87">
        <f>L527</f>
        <v>1012768.7</v>
      </c>
      <c r="H550" s="87">
        <f>L532</f>
        <v>77264.7</v>
      </c>
      <c r="I550" s="87">
        <f>L537</f>
        <v>28733.32</v>
      </c>
      <c r="J550" s="87">
        <f>L542</f>
        <v>230497.86</v>
      </c>
      <c r="K550" s="87">
        <f>SUM(F550:J550)</f>
        <v>6079748.6500000004</v>
      </c>
      <c r="L550" s="24" t="s">
        <v>288</v>
      </c>
      <c r="M550" s="8"/>
      <c r="N550" s="265"/>
    </row>
    <row r="551" spans="1:14" s="3" customFormat="1" ht="12.2" customHeight="1" x14ac:dyDescent="0.15">
      <c r="A551" s="22" t="s">
        <v>634</v>
      </c>
      <c r="B551" s="75">
        <v>21</v>
      </c>
      <c r="C551" s="75">
        <v>23</v>
      </c>
      <c r="D551" s="2" t="s">
        <v>432</v>
      </c>
      <c r="E551" s="75"/>
      <c r="F551" s="87">
        <f>L523</f>
        <v>2203976.17</v>
      </c>
      <c r="G551" s="87">
        <f>L528</f>
        <v>267387.76</v>
      </c>
      <c r="H551" s="87">
        <f>L533</f>
        <v>64169.389999999992</v>
      </c>
      <c r="I551" s="87">
        <f>L538</f>
        <v>15090.71</v>
      </c>
      <c r="J551" s="87">
        <f>L543</f>
        <v>107239.5</v>
      </c>
      <c r="K551" s="87">
        <f>SUM(F551:J551)</f>
        <v>2657863.5299999998</v>
      </c>
      <c r="L551" s="24" t="s">
        <v>288</v>
      </c>
      <c r="M551" s="8"/>
      <c r="N551" s="265"/>
    </row>
    <row r="552" spans="1:14" s="3" customFormat="1" ht="12.2" customHeight="1" thickBot="1" x14ac:dyDescent="0.2">
      <c r="A552" s="22" t="s">
        <v>635</v>
      </c>
      <c r="B552" s="75">
        <v>21</v>
      </c>
      <c r="C552" s="75">
        <v>24</v>
      </c>
      <c r="D552" s="2" t="s">
        <v>432</v>
      </c>
      <c r="E552" s="75"/>
      <c r="F552" s="87">
        <f>L524</f>
        <v>3227290.79</v>
      </c>
      <c r="G552" s="87">
        <f>L529</f>
        <v>489631.84</v>
      </c>
      <c r="H552" s="87">
        <f>L534</f>
        <v>180462.88</v>
      </c>
      <c r="I552" s="87">
        <f>L539</f>
        <v>32391.68</v>
      </c>
      <c r="J552" s="87">
        <f>L544</f>
        <v>132416.66</v>
      </c>
      <c r="K552" s="87">
        <f>SUM(F552:J552)</f>
        <v>4062193.85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10161751.029999999</v>
      </c>
      <c r="G553" s="89">
        <f t="shared" si="42"/>
        <v>1769788.3</v>
      </c>
      <c r="H553" s="89">
        <f t="shared" si="42"/>
        <v>321896.96999999997</v>
      </c>
      <c r="I553" s="89">
        <f t="shared" si="42"/>
        <v>76215.709999999992</v>
      </c>
      <c r="J553" s="89">
        <f t="shared" si="42"/>
        <v>470154.02</v>
      </c>
      <c r="K553" s="89">
        <f t="shared" si="42"/>
        <v>12799806.029999999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176122.32</v>
      </c>
      <c r="G563" s="18">
        <v>42819.82</v>
      </c>
      <c r="H563" s="18"/>
      <c r="I563" s="18"/>
      <c r="J563" s="18"/>
      <c r="K563" s="18"/>
      <c r="L563" s="88">
        <f>SUM(F563:K563)</f>
        <v>218942.14</v>
      </c>
      <c r="M563" s="8"/>
      <c r="N563" s="265"/>
    </row>
    <row r="564" spans="1:14" s="3" customFormat="1" ht="12.2" customHeight="1" x14ac:dyDescent="0.15">
      <c r="A564" s="22" t="s">
        <v>634</v>
      </c>
      <c r="B564" s="105">
        <v>22</v>
      </c>
      <c r="C564" s="115">
        <v>6</v>
      </c>
      <c r="D564" s="2" t="s">
        <v>432</v>
      </c>
      <c r="E564" s="115"/>
      <c r="F564" s="18">
        <v>85061.13</v>
      </c>
      <c r="G564" s="18">
        <v>23001.86</v>
      </c>
      <c r="H564" s="18"/>
      <c r="I564" s="18"/>
      <c r="J564" s="18"/>
      <c r="K564" s="18"/>
      <c r="L564" s="88">
        <f>SUM(F564:K564)</f>
        <v>108062.99</v>
      </c>
      <c r="M564" s="8"/>
      <c r="N564" s="265"/>
    </row>
    <row r="565" spans="1:14" s="3" customFormat="1" ht="12.2" customHeight="1" thickBot="1" x14ac:dyDescent="0.2">
      <c r="A565" s="22" t="s">
        <v>635</v>
      </c>
      <c r="B565" s="105">
        <v>22</v>
      </c>
      <c r="C565" s="118">
        <v>7</v>
      </c>
      <c r="D565" s="2" t="s">
        <v>432</v>
      </c>
      <c r="E565" s="118"/>
      <c r="F565" s="18">
        <v>74657</v>
      </c>
      <c r="G565" s="18">
        <v>17706.599999999999</v>
      </c>
      <c r="H565" s="18"/>
      <c r="I565" s="18"/>
      <c r="J565" s="18"/>
      <c r="K565" s="18"/>
      <c r="L565" s="88">
        <f>SUM(F565:K565)</f>
        <v>92363.6</v>
      </c>
      <c r="M565" s="8"/>
      <c r="N565" s="265"/>
    </row>
    <row r="566" spans="1:14" s="3" customFormat="1" ht="12.2" customHeight="1" thickTop="1" x14ac:dyDescent="0.15">
      <c r="A566" s="139" t="s">
        <v>65</v>
      </c>
      <c r="B566" s="107">
        <v>22</v>
      </c>
      <c r="C566" s="107">
        <v>8</v>
      </c>
      <c r="D566" s="195" t="s">
        <v>432</v>
      </c>
      <c r="E566" s="107"/>
      <c r="F566" s="89">
        <f t="shared" ref="F566:L566" si="44">SUM(F563:F565)</f>
        <v>335840.45</v>
      </c>
      <c r="G566" s="89">
        <f t="shared" si="44"/>
        <v>83528.28</v>
      </c>
      <c r="H566" s="89">
        <f t="shared" si="44"/>
        <v>0</v>
      </c>
      <c r="I566" s="89">
        <f t="shared" si="44"/>
        <v>0</v>
      </c>
      <c r="J566" s="89">
        <f t="shared" si="44"/>
        <v>0</v>
      </c>
      <c r="K566" s="89">
        <f t="shared" si="44"/>
        <v>0</v>
      </c>
      <c r="L566" s="89">
        <f t="shared" si="44"/>
        <v>419368.73</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335840.45</v>
      </c>
      <c r="G572" s="89">
        <f t="shared" ref="G572:L572" si="46">G561+G566+G571</f>
        <v>83528.28</v>
      </c>
      <c r="H572" s="89">
        <f t="shared" si="46"/>
        <v>0</v>
      </c>
      <c r="I572" s="89">
        <f t="shared" si="46"/>
        <v>0</v>
      </c>
      <c r="J572" s="89">
        <f t="shared" si="46"/>
        <v>0</v>
      </c>
      <c r="K572" s="89">
        <f t="shared" si="46"/>
        <v>0</v>
      </c>
      <c r="L572" s="89">
        <f t="shared" si="46"/>
        <v>419368.73</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545905.06999999995</v>
      </c>
      <c r="G583" s="18">
        <v>404048.06</v>
      </c>
      <c r="H583" s="18">
        <f>486559.68+136516.45</f>
        <v>623076.13</v>
      </c>
      <c r="I583" s="87">
        <f t="shared" si="47"/>
        <v>1573029.2599999998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7440.44</v>
      </c>
      <c r="I585" s="87">
        <f t="shared" si="47"/>
        <v>7440.44</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270307.98</v>
      </c>
      <c r="I592" s="18">
        <v>141965.47</v>
      </c>
      <c r="J592" s="18">
        <v>304723.84999999998</v>
      </c>
      <c r="K592" s="104">
        <f t="shared" ref="K592:K598" si="48">SUM(H592:J592)</f>
        <v>716997.29999999993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210445.29</v>
      </c>
      <c r="I593" s="18">
        <v>99361.700000000012</v>
      </c>
      <c r="J593" s="18">
        <v>160347.03</v>
      </c>
      <c r="K593" s="104">
        <f t="shared" si="48"/>
        <v>470154.02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13825.16</v>
      </c>
      <c r="J595" s="18">
        <v>103968.49</v>
      </c>
      <c r="K595" s="104">
        <f t="shared" si="48"/>
        <v>117793.65000000001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18868.7</v>
      </c>
      <c r="I596" s="18">
        <v>17947.939999999999</v>
      </c>
      <c r="J596" s="18">
        <v>63115.360000000001</v>
      </c>
      <c r="K596" s="104">
        <f t="shared" si="48"/>
        <v>99932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499621.97000000003</v>
      </c>
      <c r="I599" s="108">
        <f>SUM(I592:I598)</f>
        <v>273100.27</v>
      </c>
      <c r="J599" s="108">
        <f>SUM(J592:J598)</f>
        <v>632154.73</v>
      </c>
      <c r="K599" s="108">
        <f>SUM(K592:K598)</f>
        <v>1404876.9699999997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6924.82</v>
      </c>
      <c r="I604" s="18">
        <v>3636.91</v>
      </c>
      <c r="J604" s="18">
        <v>7806.5</v>
      </c>
      <c r="K604" s="104">
        <f>SUM(H604:J604)</f>
        <v>18368.23</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113399.29000000001</v>
      </c>
      <c r="I605" s="18">
        <v>53631.8</v>
      </c>
      <c r="J605" s="18">
        <v>218211.56</v>
      </c>
      <c r="K605" s="104">
        <f>SUM(H605:J605)</f>
        <v>385242.65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120324.11000000002</v>
      </c>
      <c r="I606" s="108">
        <f>SUM(I603:I605)</f>
        <v>57268.710000000006</v>
      </c>
      <c r="J606" s="108">
        <f>SUM(J603:J605)</f>
        <v>226018.06</v>
      </c>
      <c r="K606" s="108">
        <f>SUM(K603:K605)</f>
        <v>403610.88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1800</v>
      </c>
      <c r="G612" s="18">
        <v>389.94</v>
      </c>
      <c r="H612" s="18">
        <v>1508.7</v>
      </c>
      <c r="I612" s="18">
        <v>4809.79</v>
      </c>
      <c r="J612" s="18"/>
      <c r="K612" s="18"/>
      <c r="L612" s="88">
        <f>SUM(F612:K612)</f>
        <v>8508.43</v>
      </c>
      <c r="M612" s="8"/>
      <c r="N612" s="265"/>
    </row>
    <row r="613" spans="1:14" s="3" customFormat="1" ht="12.2" customHeight="1" x14ac:dyDescent="0.15">
      <c r="A613" s="22" t="s">
        <v>634</v>
      </c>
      <c r="B613" s="75">
        <v>23</v>
      </c>
      <c r="C613" s="75">
        <v>14</v>
      </c>
      <c r="D613" s="2" t="s">
        <v>432</v>
      </c>
      <c r="E613" s="75"/>
      <c r="F613" s="18">
        <v>2850</v>
      </c>
      <c r="G613" s="18">
        <v>218.87</v>
      </c>
      <c r="H613" s="18"/>
      <c r="I613" s="18"/>
      <c r="J613" s="18"/>
      <c r="K613" s="18"/>
      <c r="L613" s="88">
        <f>SUM(F613:K613)</f>
        <v>3068.87</v>
      </c>
      <c r="M613" s="8"/>
      <c r="N613" s="265"/>
    </row>
    <row r="614" spans="1:14" s="3" customFormat="1" ht="12.2" customHeight="1" thickBot="1" x14ac:dyDescent="0.2">
      <c r="A614" s="22" t="s">
        <v>645</v>
      </c>
      <c r="B614" s="75">
        <v>23</v>
      </c>
      <c r="C614" s="75">
        <v>15</v>
      </c>
      <c r="D614" s="2" t="s">
        <v>432</v>
      </c>
      <c r="E614" s="75"/>
      <c r="F614" s="18">
        <f>5000+16965.5</f>
        <v>21965.5</v>
      </c>
      <c r="G614" s="18">
        <f>382.5+1324+1297.9+37.96+3102.66</f>
        <v>6145.02</v>
      </c>
      <c r="H614" s="18"/>
      <c r="I614" s="18"/>
      <c r="J614" s="18"/>
      <c r="K614" s="18"/>
      <c r="L614" s="88">
        <f>SUM(F614:K614)</f>
        <v>28110.52</v>
      </c>
      <c r="M614" s="8"/>
      <c r="N614" s="265"/>
    </row>
    <row r="615" spans="1:14" s="3" customFormat="1" ht="12.2" customHeight="1" thickTop="1" x14ac:dyDescent="0.15">
      <c r="A615" s="98" t="s">
        <v>340</v>
      </c>
      <c r="B615" s="107">
        <v>23</v>
      </c>
      <c r="C615" s="107">
        <v>16</v>
      </c>
      <c r="D615" s="39" t="s">
        <v>432</v>
      </c>
      <c r="E615" s="107"/>
      <c r="F615" s="108">
        <f t="shared" ref="F615:L615" si="49">SUM(F612:F614)</f>
        <v>26615.5</v>
      </c>
      <c r="G615" s="108">
        <f t="shared" si="49"/>
        <v>6753.83</v>
      </c>
      <c r="H615" s="108">
        <f t="shared" si="49"/>
        <v>1508.7</v>
      </c>
      <c r="I615" s="108">
        <f t="shared" si="49"/>
        <v>4809.79</v>
      </c>
      <c r="J615" s="108">
        <f t="shared" si="49"/>
        <v>0</v>
      </c>
      <c r="K615" s="108">
        <f t="shared" si="49"/>
        <v>0</v>
      </c>
      <c r="L615" s="89">
        <f t="shared" si="49"/>
        <v>39687.82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322699.70999999996</v>
      </c>
      <c r="H619" s="109">
        <f>SUM(G52)</f>
        <v>322699.7099999999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612526.26000000071</v>
      </c>
      <c r="H620" s="109">
        <f>SUM(H52)</f>
        <v>612526.26000000071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298496.86999999988</v>
      </c>
      <c r="H624" s="109">
        <f>G477</f>
        <v>298496.86999999988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612526.26000000071</v>
      </c>
      <c r="H625" s="109">
        <f>H477</f>
        <v>612526.26000000071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53547130.32</v>
      </c>
      <c r="H628" s="104">
        <f>SUM(F469)</f>
        <v>53547130.319999985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1362520.14</v>
      </c>
      <c r="H629" s="104">
        <f>SUM(G469)</f>
        <v>1362520.14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4897993.9700000007</v>
      </c>
      <c r="H630" s="104">
        <f>SUM(H469)</f>
        <v>4897993.9700000007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53547130.319999985</v>
      </c>
      <c r="H633" s="104">
        <f>SUM(F473)</f>
        <v>53547130.319999985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4815812.21</v>
      </c>
      <c r="H634" s="104">
        <f>SUM(H473)</f>
        <v>4815812.21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509176.22000000003</v>
      </c>
      <c r="H635" s="104">
        <f>I370</f>
        <v>509176.22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1066494.5</v>
      </c>
      <c r="H636" s="104">
        <f>SUM(G473)</f>
        <v>1066494.5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1404876.9699999997</v>
      </c>
      <c r="H648" s="104">
        <f>L209+L227+L245</f>
        <v>1404876.97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403610.88</v>
      </c>
      <c r="H649" s="104">
        <f>(J258+J339)-(J256+J337)</f>
        <v>403610.88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499621.97000000003</v>
      </c>
      <c r="H650" s="104">
        <f>H599</f>
        <v>499621.97000000003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273100.27</v>
      </c>
      <c r="H651" s="104">
        <f>I599</f>
        <v>273100.27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632154.73</v>
      </c>
      <c r="H652" s="104">
        <f>J599</f>
        <v>632154.73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1020.9</v>
      </c>
      <c r="H653" s="104">
        <f>K264+K346</f>
        <v>1020.9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1022871</v>
      </c>
      <c r="H654" s="104">
        <f>K265</f>
        <v>1022871</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22910558.869999994</v>
      </c>
      <c r="G661" s="19">
        <f>(L230+L310+L360)</f>
        <v>11831425.369999999</v>
      </c>
      <c r="H661" s="19">
        <f>(L248+L329+L361)</f>
        <v>23629619.389999997</v>
      </c>
      <c r="I661" s="19">
        <f>SUM(F661:H661)</f>
        <v>58371603.629999995</v>
      </c>
      <c r="J661" s="13"/>
      <c r="K661" s="13"/>
      <c r="L661" s="13"/>
      <c r="M661" s="9"/>
    </row>
    <row r="662" spans="1:13" s="3" customFormat="1" ht="12.2" customHeight="1" x14ac:dyDescent="0.2">
      <c r="A662" s="1" t="s">
        <v>127</v>
      </c>
      <c r="F662" s="19">
        <f>(L359/IF(SUM(L359:L361)=0,1,SUM(L359:L361))*(SUM(G97:G110)))</f>
        <v>29412.988099005666</v>
      </c>
      <c r="G662" s="19">
        <f>(L360/IF(SUM(L359:L361)=0,1,SUM(L359:L361))*(SUM(G97:G110)))</f>
        <v>18067.269344291977</v>
      </c>
      <c r="H662" s="19">
        <f>(L361/IF(SUM(L359:L361)=0,1,SUM(L359:L361))*(SUM(G97:G110)))</f>
        <v>27323.042556702356</v>
      </c>
      <c r="I662" s="19">
        <f>SUM(F662:H662)</f>
        <v>74803.299999999988</v>
      </c>
      <c r="J662"/>
      <c r="K662" s="13"/>
      <c r="L662" s="13"/>
      <c r="M662" s="8"/>
    </row>
    <row r="663" spans="1:13" s="3" customFormat="1" ht="12.2" customHeight="1" x14ac:dyDescent="0.2">
      <c r="A663" s="1" t="s">
        <v>128</v>
      </c>
      <c r="F663" s="19">
        <f>(L209+L288)-(J209+J288)</f>
        <v>499621.97000000003</v>
      </c>
      <c r="G663" s="19">
        <f>(L227+L307)-(J227+J307)</f>
        <v>273100.27</v>
      </c>
      <c r="H663" s="19">
        <f>(L245+L326)-(J245+J326)</f>
        <v>632819.01</v>
      </c>
      <c r="I663" s="19">
        <f>SUM(F663:H663)</f>
        <v>1405541.25</v>
      </c>
      <c r="J663"/>
      <c r="K663" s="13"/>
      <c r="L663" s="13"/>
      <c r="M663" s="9"/>
    </row>
    <row r="664" spans="1:13" s="3" customFormat="1" ht="12.2" customHeight="1" x14ac:dyDescent="0.15">
      <c r="A664" s="197" t="s">
        <v>129</v>
      </c>
      <c r="B664" s="169"/>
      <c r="C664" s="169"/>
      <c r="D664" s="169"/>
      <c r="E664" s="169"/>
      <c r="F664" s="198">
        <f>SUM(F576:F588)+SUM(H603:H605)+SUM(L612)</f>
        <v>674737.61</v>
      </c>
      <c r="G664" s="198">
        <f>SUM(G576:G588)+SUM(I603:I605)+L613</f>
        <v>464385.64</v>
      </c>
      <c r="H664" s="198">
        <f>SUM(H576:H588)+SUM(J603:J605)+L614</f>
        <v>884645.14999999991</v>
      </c>
      <c r="I664" s="19">
        <f>SUM(F664:H664)</f>
        <v>2023768.4</v>
      </c>
      <c r="J664" s="13"/>
      <c r="K664" s="13"/>
      <c r="L664" s="13"/>
      <c r="M664" s="9"/>
    </row>
    <row r="665" spans="1:13" s="3" customFormat="1" ht="12.2" customHeight="1" x14ac:dyDescent="0.15">
      <c r="A665" s="1" t="s">
        <v>130</v>
      </c>
      <c r="F665" s="19">
        <f>F661-SUM(F662:F664)</f>
        <v>21706786.301900987</v>
      </c>
      <c r="G665" s="19">
        <f>G661-SUM(G662:G664)</f>
        <v>11075872.190655706</v>
      </c>
      <c r="H665" s="19">
        <f>H661-SUM(H662:H664)</f>
        <v>22084832.187443294</v>
      </c>
      <c r="I665" s="19">
        <f>I661-SUM(I662:I664)</f>
        <v>54867490.679999992</v>
      </c>
      <c r="J665" s="13"/>
      <c r="K665" s="13"/>
      <c r="L665" s="13"/>
      <c r="M665" s="8"/>
    </row>
    <row r="666" spans="1:13" s="3" customFormat="1" ht="12.2" customHeight="1" x14ac:dyDescent="0.2">
      <c r="A666" s="1" t="s">
        <v>131</v>
      </c>
      <c r="F666" s="245">
        <v>940.03</v>
      </c>
      <c r="G666" s="246">
        <v>487.5</v>
      </c>
      <c r="H666" s="246">
        <v>1057.5899999999999</v>
      </c>
      <c r="I666" s="19">
        <f>SUM(F666:H666)</f>
        <v>2485.12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23091.59</v>
      </c>
      <c r="G668" s="19">
        <f>ROUND(G665/G666,2)</f>
        <v>22719.74</v>
      </c>
      <c r="H668" s="19">
        <f>ROUND(H665/H666,2)</f>
        <v>20882.22</v>
      </c>
      <c r="I668" s="19">
        <f>ROUND(I665/I666,2)</f>
        <v>22078.41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-1.33</v>
      </c>
      <c r="I671" s="19">
        <f>SUM(F671:H671)</f>
        <v>-1.33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23091.59</v>
      </c>
      <c r="G673" s="19">
        <f>ROUND((G665+G670)/(G666+G671),2)</f>
        <v>22719.74</v>
      </c>
      <c r="H673" s="19">
        <f>ROUND((H665+H670)/(H666+H671),2)</f>
        <v>20908.52</v>
      </c>
      <c r="I673" s="19">
        <f>ROUND((I665+I670)/(I666+I671),2)</f>
        <v>22090.23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166306.34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616.65+45540</f>
        <v>46156.65</v>
      </c>
      <c r="F9" s="349" t="s">
        <v>1644</v>
      </c>
    </row>
    <row r="10" spans="2:8" x14ac:dyDescent="0.25">
      <c r="B10" s="348"/>
      <c r="C10" s="348"/>
      <c r="D10" s="348"/>
      <c r="E10" s="348"/>
      <c r="F10" s="348"/>
    </row>
    <row r="11" spans="2:8" x14ac:dyDescent="0.25">
      <c r="B11" s="348"/>
      <c r="C11" s="352" t="s">
        <v>1648</v>
      </c>
      <c r="D11" s="349" t="s">
        <v>1651</v>
      </c>
      <c r="E11" s="336">
        <f>313.58+12929.51+18584+595.95</f>
        <v>32423.040000000001</v>
      </c>
      <c r="F11" s="349" t="s">
        <v>1645</v>
      </c>
    </row>
    <row r="12" spans="2:8" x14ac:dyDescent="0.25">
      <c r="B12" s="348"/>
      <c r="C12" s="348"/>
      <c r="D12" s="349"/>
      <c r="E12" s="348"/>
      <c r="F12" s="348"/>
    </row>
    <row r="13" spans="2:8" x14ac:dyDescent="0.25">
      <c r="B13" s="348"/>
      <c r="C13" s="349" t="s">
        <v>1638</v>
      </c>
      <c r="D13" s="349" t="s">
        <v>1652</v>
      </c>
      <c r="E13" s="336">
        <f>8520+4667.19</f>
        <v>13187.189999999999</v>
      </c>
      <c r="F13" s="349" t="s">
        <v>1646</v>
      </c>
    </row>
    <row r="14" spans="2:8" x14ac:dyDescent="0.25">
      <c r="B14" s="348"/>
      <c r="C14" s="348"/>
      <c r="D14" s="349"/>
      <c r="E14" s="348"/>
      <c r="F14" s="348"/>
    </row>
    <row r="15" spans="2:8" x14ac:dyDescent="0.25">
      <c r="B15" s="348"/>
      <c r="C15" s="349" t="s">
        <v>1640</v>
      </c>
      <c r="D15" s="349" t="s">
        <v>1653</v>
      </c>
      <c r="E15" s="336">
        <v>74539.460000000006</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Portsmouth</v>
      </c>
      <c r="C5" s="376"/>
      <c r="D5" s="376"/>
      <c r="E5" s="376"/>
      <c r="F5" s="376"/>
    </row>
    <row r="8" spans="1:9" ht="18" x14ac:dyDescent="0.25">
      <c r="A8" s="312" t="s">
        <v>1568</v>
      </c>
      <c r="F8" s="319" t="s">
        <v>1586</v>
      </c>
    </row>
    <row r="9" spans="1:9" ht="15" x14ac:dyDescent="0.2">
      <c r="A9" s="310" t="s">
        <v>1569</v>
      </c>
      <c r="B9" s="313">
        <f>'DOE25'!G97</f>
        <v>31865.33</v>
      </c>
      <c r="F9" s="310" t="s">
        <v>1582</v>
      </c>
    </row>
    <row r="10" spans="1:9" ht="15" x14ac:dyDescent="0.2">
      <c r="A10" s="310" t="s">
        <v>1570</v>
      </c>
      <c r="B10" s="313">
        <f>'DOE25'!G112-'DOE25'!G97</f>
        <v>42937.97</v>
      </c>
      <c r="F10" s="310" t="s">
        <v>1583</v>
      </c>
    </row>
    <row r="11" spans="1:9" ht="15" x14ac:dyDescent="0.2">
      <c r="A11" s="310" t="s">
        <v>1571</v>
      </c>
      <c r="B11" s="313">
        <f>'DOE25'!G140</f>
        <v>56128.46</v>
      </c>
      <c r="F11" s="310" t="s">
        <v>1584</v>
      </c>
    </row>
    <row r="12" spans="1:9" ht="15" x14ac:dyDescent="0.2">
      <c r="A12" s="310" t="s">
        <v>1572</v>
      </c>
      <c r="B12" s="313">
        <f>'DOE25'!G170</f>
        <v>1230567.48</v>
      </c>
      <c r="F12" s="310" t="s">
        <v>1585</v>
      </c>
    </row>
    <row r="13" spans="1:9" ht="15" x14ac:dyDescent="0.2">
      <c r="A13" s="310" t="s">
        <v>1573</v>
      </c>
      <c r="B13" s="313">
        <f>'DOE25'!G193-'DOE25'!G180</f>
        <v>0</v>
      </c>
      <c r="F13" s="310" t="s">
        <v>1595</v>
      </c>
    </row>
    <row r="14" spans="1:9" ht="18" x14ac:dyDescent="0.25">
      <c r="A14" s="312" t="s">
        <v>732</v>
      </c>
      <c r="B14" s="314">
        <f>SUM(B9:B13)</f>
        <v>1361499.24</v>
      </c>
    </row>
    <row r="16" spans="1:9" ht="18" x14ac:dyDescent="0.25">
      <c r="A16" s="312" t="s">
        <v>786</v>
      </c>
      <c r="F16" s="319" t="s">
        <v>1587</v>
      </c>
    </row>
    <row r="17" spans="1:6" ht="15" x14ac:dyDescent="0.2">
      <c r="A17" s="310" t="s">
        <v>1574</v>
      </c>
      <c r="B17" s="313">
        <f>'DOE25'!L363-'DOE25'!L362</f>
        <v>1066494.5</v>
      </c>
      <c r="F17" s="310" t="s">
        <v>1588</v>
      </c>
    </row>
    <row r="18" spans="1:6" ht="15" x14ac:dyDescent="0.2">
      <c r="A18" s="310" t="s">
        <v>1575</v>
      </c>
      <c r="B18" s="323"/>
      <c r="F18" s="319" t="s">
        <v>1612</v>
      </c>
    </row>
    <row r="19" spans="1:6" ht="18" x14ac:dyDescent="0.25">
      <c r="A19" s="312" t="s">
        <v>725</v>
      </c>
      <c r="B19" s="314">
        <f>SUM(B17:B18)</f>
        <v>1066494.5</v>
      </c>
    </row>
    <row r="21" spans="1:6" ht="18.75" thickBot="1" x14ac:dyDescent="0.3">
      <c r="A21" s="312" t="s">
        <v>1576</v>
      </c>
    </row>
    <row r="22" spans="1:6" ht="18.75" thickTop="1" x14ac:dyDescent="0.25">
      <c r="A22" s="312" t="s">
        <v>1577</v>
      </c>
      <c r="B22" s="318">
        <f>B14-B19</f>
        <v>295004.74</v>
      </c>
      <c r="F22" s="310" t="s">
        <v>1589</v>
      </c>
    </row>
    <row r="26" spans="1:6" ht="18" x14ac:dyDescent="0.25">
      <c r="A26" s="312" t="s">
        <v>186</v>
      </c>
    </row>
    <row r="27" spans="1:6" ht="15" x14ac:dyDescent="0.2">
      <c r="A27" s="310" t="s">
        <v>1578</v>
      </c>
      <c r="B27" s="313">
        <f>'DOE25'!G180</f>
        <v>1020.9</v>
      </c>
      <c r="F27" s="310" t="s">
        <v>1590</v>
      </c>
    </row>
    <row r="28" spans="1:6" ht="15" x14ac:dyDescent="0.2">
      <c r="A28" s="310" t="s">
        <v>1580</v>
      </c>
      <c r="B28" s="313">
        <f>'DOE25'!L362</f>
        <v>0</v>
      </c>
      <c r="F28" s="310" t="s">
        <v>1591</v>
      </c>
    </row>
    <row r="31" spans="1:6" ht="15" x14ac:dyDescent="0.2">
      <c r="A31" s="310" t="s">
        <v>1634</v>
      </c>
      <c r="B31" s="313">
        <f>'DOE25'!G466</f>
        <v>2471.23</v>
      </c>
      <c r="F31" s="310" t="s">
        <v>1592</v>
      </c>
    </row>
    <row r="33" spans="1:6" ht="15" x14ac:dyDescent="0.2">
      <c r="A33" s="310" t="s">
        <v>1635</v>
      </c>
      <c r="B33" s="313">
        <f>'DOE25'!G477</f>
        <v>298496.86999999988</v>
      </c>
      <c r="F33" s="310" t="s">
        <v>1593</v>
      </c>
    </row>
    <row r="36" spans="1:6" ht="15" x14ac:dyDescent="0.2">
      <c r="A36" s="310" t="s">
        <v>1579</v>
      </c>
      <c r="B36" s="324">
        <v>43025.84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Portsmouth</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14688594.359999998</v>
      </c>
      <c r="C9" s="228">
        <f>'DOE25'!G198+'DOE25'!G216+'DOE25'!G234+'DOE25'!G277+'DOE25'!G296+'DOE25'!G315</f>
        <v>8974452.7199999988</v>
      </c>
    </row>
    <row r="10" spans="1:3" x14ac:dyDescent="0.2">
      <c r="A10" t="s">
        <v>775</v>
      </c>
      <c r="B10" s="239">
        <f>13754976.58+276945.57</f>
        <v>14031922.15</v>
      </c>
      <c r="C10" s="239">
        <f>1071307.55+3287914.13+4358989.04+182245.16</f>
        <v>8900455.879999999</v>
      </c>
    </row>
    <row r="11" spans="1:3" x14ac:dyDescent="0.2">
      <c r="A11" t="s">
        <v>776</v>
      </c>
      <c r="B11" s="239">
        <f>31491.71-1317.48+57059.46</f>
        <v>87233.69</v>
      </c>
      <c r="C11" s="239">
        <f>6673.38+716.21+23485.2</f>
        <v>30874.79</v>
      </c>
    </row>
    <row r="12" spans="1:3" x14ac:dyDescent="0.2">
      <c r="A12" t="s">
        <v>777</v>
      </c>
      <c r="B12" s="239">
        <v>569438.52</v>
      </c>
      <c r="C12" s="239">
        <f>43122.05</f>
        <v>43122.05</v>
      </c>
    </row>
    <row r="13" spans="1:3" x14ac:dyDescent="0.2">
      <c r="A13" t="str">
        <f>IF(B9=B13,IF(C9=C13,"Check Total OK","Check Total Error"),"Check Total Error")</f>
        <v>Check Total OK</v>
      </c>
      <c r="B13" s="230">
        <f>SUM(B10:B12)</f>
        <v>14688594.359999999</v>
      </c>
      <c r="C13" s="230">
        <f>SUM(C10:C12)</f>
        <v>8974452.7199999988</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5848167.830000001</v>
      </c>
      <c r="C18" s="228">
        <f>'DOE25'!G199+'DOE25'!G217+'DOE25'!G235+'DOE25'!G278+'DOE25'!G297+'DOE25'!G316</f>
        <v>2479492.19</v>
      </c>
    </row>
    <row r="19" spans="1:3" x14ac:dyDescent="0.2">
      <c r="A19" t="s">
        <v>775</v>
      </c>
      <c r="B19" s="239">
        <f>2391840.31+1376103.66</f>
        <v>3767943.9699999997</v>
      </c>
      <c r="C19" s="239">
        <f>490253.98+286024.26+1074157.19</f>
        <v>1850435.43</v>
      </c>
    </row>
    <row r="20" spans="1:3" x14ac:dyDescent="0.2">
      <c r="A20" t="s">
        <v>776</v>
      </c>
      <c r="B20" s="239">
        <f>1118845.31+900901.21</f>
        <v>2019746.52</v>
      </c>
      <c r="C20" s="239">
        <f>30910.65+25346.56+568285.03</f>
        <v>624542.24</v>
      </c>
    </row>
    <row r="21" spans="1:3" x14ac:dyDescent="0.2">
      <c r="A21" t="s">
        <v>777</v>
      </c>
      <c r="B21" s="239">
        <f>27596.14+32881.2</f>
        <v>60477.34</v>
      </c>
      <c r="C21" s="239">
        <v>4514.5200000000004</v>
      </c>
    </row>
    <row r="22" spans="1:3" x14ac:dyDescent="0.2">
      <c r="A22" t="str">
        <f>IF(B18=B22,IF(C18=C22,"Check Total OK","Check Total Error"),"Check Total Error")</f>
        <v>Check Total OK</v>
      </c>
      <c r="B22" s="230">
        <f>SUM(B19:B21)</f>
        <v>5848167.8300000001</v>
      </c>
      <c r="C22" s="230">
        <f>SUM(C19:C21)</f>
        <v>2479492.19</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1088939.1300000001</v>
      </c>
      <c r="C27" s="233">
        <f>'DOE25'!G200+'DOE25'!G218+'DOE25'!G236+'DOE25'!G279+'DOE25'!G298+'DOE25'!G317</f>
        <v>679396.95000000007</v>
      </c>
    </row>
    <row r="28" spans="1:3" x14ac:dyDescent="0.2">
      <c r="A28" t="s">
        <v>775</v>
      </c>
      <c r="B28" s="239">
        <v>1059455.3899999999</v>
      </c>
      <c r="C28" s="239">
        <v>672996.05</v>
      </c>
    </row>
    <row r="29" spans="1:3" x14ac:dyDescent="0.2">
      <c r="A29" t="s">
        <v>776</v>
      </c>
      <c r="B29" s="239">
        <v>0</v>
      </c>
      <c r="C29" s="239">
        <v>0</v>
      </c>
    </row>
    <row r="30" spans="1:3" x14ac:dyDescent="0.2">
      <c r="A30" t="s">
        <v>777</v>
      </c>
      <c r="B30" s="239">
        <v>29483.74</v>
      </c>
      <c r="C30" s="239">
        <v>6400.9</v>
      </c>
    </row>
    <row r="31" spans="1:3" x14ac:dyDescent="0.2">
      <c r="A31" t="str">
        <f>IF(B27=B31,IF(C27=C31,"Check Total OK","Check Total Error"),"Check Total Error")</f>
        <v>Check Total OK</v>
      </c>
      <c r="B31" s="230">
        <f>SUM(B28:B30)</f>
        <v>1088939.1299999999</v>
      </c>
      <c r="C31" s="230">
        <f>SUM(C28:C30)</f>
        <v>679396.95000000007</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581613.73</v>
      </c>
      <c r="C36" s="234">
        <f>'DOE25'!G201+'DOE25'!G219+'DOE25'!G237+'DOE25'!G280+'DOE25'!G299+'DOE25'!G318</f>
        <v>272102.82999999996</v>
      </c>
    </row>
    <row r="37" spans="1:3" x14ac:dyDescent="0.2">
      <c r="A37" t="s">
        <v>775</v>
      </c>
      <c r="B37" s="239">
        <f>457371.5+5000+89436</f>
        <v>551807.5</v>
      </c>
      <c r="C37" s="239">
        <v>269922.64</v>
      </c>
    </row>
    <row r="38" spans="1:3" x14ac:dyDescent="0.2">
      <c r="A38" t="s">
        <v>776</v>
      </c>
      <c r="B38" s="239">
        <f>2850+18284.23</f>
        <v>21134.23</v>
      </c>
      <c r="C38" s="239">
        <v>1516.77</v>
      </c>
    </row>
    <row r="39" spans="1:3" x14ac:dyDescent="0.2">
      <c r="A39" t="s">
        <v>777</v>
      </c>
      <c r="B39" s="239">
        <v>8672</v>
      </c>
      <c r="C39" s="239">
        <v>663.42</v>
      </c>
    </row>
    <row r="40" spans="1:3" x14ac:dyDescent="0.2">
      <c r="A40" t="str">
        <f>IF(B36=B40,IF(C36=C40,"Check Total OK","Check Total Error"),"Check Total Error")</f>
        <v>Check Total OK</v>
      </c>
      <c r="B40" s="230">
        <f>SUM(B37:B39)</f>
        <v>581613.73</v>
      </c>
      <c r="C40" s="230">
        <f>SUM(C37:C39)</f>
        <v>272102.83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Portsmouth</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33522653.43</v>
      </c>
      <c r="D5" s="20">
        <f>SUM('DOE25'!L198:L201)+SUM('DOE25'!L216:L219)+SUM('DOE25'!L234:L237)-F5-G5-H5</f>
        <v>33502606.509999998</v>
      </c>
      <c r="E5" s="242"/>
      <c r="F5" s="243">
        <v>0</v>
      </c>
      <c r="G5" s="53">
        <f>SUM('DOE25'!J198:J201)+SUM('DOE25'!J216:J219)+SUM('DOE25'!J234:J237)</f>
        <v>19596.919999999998</v>
      </c>
      <c r="H5" s="53">
        <f>SUM('DOE25'!K198:K201)+SUM('DOE25'!K216:K219)+SUM('DOE25'!K234:K237)</f>
        <v>450</v>
      </c>
      <c r="I5" s="255"/>
    </row>
    <row r="6" spans="1:9" x14ac:dyDescent="0.2">
      <c r="A6" s="32">
        <v>2100</v>
      </c>
      <c r="B6" t="s">
        <v>796</v>
      </c>
      <c r="C6" s="274">
        <f t="shared" si="0"/>
        <v>6178937.2599999998</v>
      </c>
      <c r="D6" s="20">
        <f>'DOE25'!L203+'DOE25'!L221+'DOE25'!L239-F6-G6-H6</f>
        <v>6141733.1099999994</v>
      </c>
      <c r="E6" s="242"/>
      <c r="F6" s="243">
        <v>0</v>
      </c>
      <c r="G6" s="53">
        <f>'DOE25'!J203+'DOE25'!J221+'DOE25'!J239</f>
        <v>2990</v>
      </c>
      <c r="H6" s="53">
        <f>'DOE25'!K203+'DOE25'!K221+'DOE25'!K239</f>
        <v>34214.15</v>
      </c>
      <c r="I6" s="255"/>
    </row>
    <row r="7" spans="1:9" x14ac:dyDescent="0.2">
      <c r="A7" s="32">
        <v>2200</v>
      </c>
      <c r="B7" t="s">
        <v>821</v>
      </c>
      <c r="C7" s="274">
        <f t="shared" si="0"/>
        <v>1011823.1400000001</v>
      </c>
      <c r="D7" s="20">
        <f>'DOE25'!L204+'DOE25'!L222+'DOE25'!L240-F7-G7-H7</f>
        <v>855196.18000000017</v>
      </c>
      <c r="E7" s="242"/>
      <c r="F7" s="243">
        <v>0</v>
      </c>
      <c r="G7" s="53">
        <f>'DOE25'!J204+'DOE25'!J222+'DOE25'!J240</f>
        <v>156626.96000000002</v>
      </c>
      <c r="H7" s="53">
        <f>'DOE25'!K204+'DOE25'!K222+'DOE25'!K240</f>
        <v>0</v>
      </c>
      <c r="I7" s="255"/>
    </row>
    <row r="8" spans="1:9" x14ac:dyDescent="0.2">
      <c r="A8" s="32">
        <v>2300</v>
      </c>
      <c r="B8" t="s">
        <v>797</v>
      </c>
      <c r="C8" s="274">
        <f t="shared" si="0"/>
        <v>981058.59999999986</v>
      </c>
      <c r="D8" s="242"/>
      <c r="E8" s="20">
        <f>'DOE25'!L205+'DOE25'!L223+'DOE25'!L241-F8-G8-H8-D9-D11</f>
        <v>934239.34999999986</v>
      </c>
      <c r="F8" s="243">
        <v>0</v>
      </c>
      <c r="G8" s="53">
        <f>'DOE25'!J205+'DOE25'!J223+'DOE25'!J241</f>
        <v>619.98</v>
      </c>
      <c r="H8" s="53">
        <f>'DOE25'!K205+'DOE25'!K223+'DOE25'!K241</f>
        <v>46199.26999999999</v>
      </c>
      <c r="I8" s="255"/>
    </row>
    <row r="9" spans="1:9" ht="14.25" x14ac:dyDescent="0.2">
      <c r="A9" s="32">
        <v>2310</v>
      </c>
      <c r="B9" s="184" t="s">
        <v>888</v>
      </c>
      <c r="C9" s="274">
        <f t="shared" si="0"/>
        <v>43392.56</v>
      </c>
      <c r="D9" s="243">
        <v>43392.56</v>
      </c>
      <c r="E9" s="242"/>
      <c r="F9" s="252"/>
      <c r="G9" s="252"/>
      <c r="H9" s="252"/>
      <c r="I9" s="255"/>
    </row>
    <row r="10" spans="1:9" ht="14.25" x14ac:dyDescent="0.2">
      <c r="A10" s="32">
        <v>2317</v>
      </c>
      <c r="B10" s="184" t="s">
        <v>889</v>
      </c>
      <c r="C10" s="274">
        <f t="shared" si="0"/>
        <v>0</v>
      </c>
      <c r="D10" s="242"/>
      <c r="E10" s="243">
        <v>0</v>
      </c>
      <c r="F10" s="252"/>
      <c r="G10" s="252"/>
      <c r="H10" s="252"/>
      <c r="I10" s="255"/>
    </row>
    <row r="11" spans="1:9" ht="14.25" x14ac:dyDescent="0.2">
      <c r="A11" s="32">
        <v>2321</v>
      </c>
      <c r="B11" s="184" t="s">
        <v>890</v>
      </c>
      <c r="C11" s="274">
        <f t="shared" si="0"/>
        <v>559481.37000000011</v>
      </c>
      <c r="D11" s="243">
        <v>559481.37000000011</v>
      </c>
      <c r="E11" s="242"/>
      <c r="F11" s="252"/>
      <c r="G11" s="252"/>
      <c r="H11" s="252"/>
      <c r="I11" s="255"/>
    </row>
    <row r="12" spans="1:9" x14ac:dyDescent="0.2">
      <c r="A12" s="32">
        <v>2400</v>
      </c>
      <c r="B12" t="s">
        <v>711</v>
      </c>
      <c r="C12" s="274">
        <f t="shared" si="0"/>
        <v>2792642.0100000002</v>
      </c>
      <c r="D12" s="20">
        <f>'DOE25'!L206+'DOE25'!L224+'DOE25'!L242-F12-G12-H12</f>
        <v>2787357.0100000002</v>
      </c>
      <c r="E12" s="242"/>
      <c r="F12" s="243">
        <v>0</v>
      </c>
      <c r="G12" s="53">
        <f>'DOE25'!J206+'DOE25'!J224+'DOE25'!J242</f>
        <v>0</v>
      </c>
      <c r="H12" s="53">
        <f>'DOE25'!K206+'DOE25'!K224+'DOE25'!K242</f>
        <v>5285</v>
      </c>
      <c r="I12" s="255"/>
    </row>
    <row r="13" spans="1:9" x14ac:dyDescent="0.2">
      <c r="A13" s="32">
        <v>2500</v>
      </c>
      <c r="B13" t="s">
        <v>798</v>
      </c>
      <c r="C13" s="274">
        <f t="shared" si="0"/>
        <v>587645.77</v>
      </c>
      <c r="D13" s="242"/>
      <c r="E13" s="20">
        <f>'DOE25'!L207+'DOE25'!L225+'DOE25'!L243-F13-G13-H13</f>
        <v>585672.07999999996</v>
      </c>
      <c r="F13" s="243">
        <v>0</v>
      </c>
      <c r="G13" s="53">
        <f>'DOE25'!J207+'DOE25'!J225+'DOE25'!J243</f>
        <v>810.81</v>
      </c>
      <c r="H13" s="53">
        <f>'DOE25'!K207+'DOE25'!K225+'DOE25'!K243</f>
        <v>1162.8800000000001</v>
      </c>
      <c r="I13" s="255"/>
    </row>
    <row r="14" spans="1:9" x14ac:dyDescent="0.2">
      <c r="A14" s="32">
        <v>2600</v>
      </c>
      <c r="B14" t="s">
        <v>819</v>
      </c>
      <c r="C14" s="274">
        <f t="shared" si="0"/>
        <v>4216186.07</v>
      </c>
      <c r="D14" s="20">
        <f>'DOE25'!L208+'DOE25'!L226+'DOE25'!L244-F14-G14-H14</f>
        <v>3889456.9000000004</v>
      </c>
      <c r="E14" s="242"/>
      <c r="F14" s="243">
        <f>(51601-25000)+(191787.99-25000)+(53453.1-25000)+(99801.02-25000)</f>
        <v>296643.11</v>
      </c>
      <c r="G14" s="53">
        <f>'DOE25'!J208+'DOE25'!J226+'DOE25'!J244</f>
        <v>19955.199999999997</v>
      </c>
      <c r="H14" s="53">
        <f>'DOE25'!K208+'DOE25'!K226+'DOE25'!K244</f>
        <v>10130.86</v>
      </c>
      <c r="I14" s="255"/>
    </row>
    <row r="15" spans="1:9" x14ac:dyDescent="0.2">
      <c r="A15" s="32">
        <v>2700</v>
      </c>
      <c r="B15" t="s">
        <v>799</v>
      </c>
      <c r="C15" s="274">
        <f t="shared" si="0"/>
        <v>1404876.97</v>
      </c>
      <c r="D15" s="20">
        <f>'DOE25'!L209+'DOE25'!L227+'DOE25'!L245-F15-G15-H15</f>
        <v>155551.79999999981</v>
      </c>
      <c r="E15" s="242"/>
      <c r="F15" s="243">
        <f>(103968.49-25000)+(766997.3-25000)+(26697.26-25000)+(221280.66-25000)+(180554.46-25000)+(99827-25000)</f>
        <v>1249325.1700000002</v>
      </c>
      <c r="G15" s="53">
        <f>'DOE25'!J209+'DOE25'!J227+'DOE25'!J245</f>
        <v>0</v>
      </c>
      <c r="H15" s="53">
        <f>'DOE25'!K209+'DOE25'!K227+'DOE25'!K245</f>
        <v>0</v>
      </c>
      <c r="I15" s="255"/>
    </row>
    <row r="16" spans="1:9" x14ac:dyDescent="0.2">
      <c r="A16" s="32">
        <v>2800</v>
      </c>
      <c r="B16" t="s">
        <v>800</v>
      </c>
      <c r="C16" s="274">
        <f t="shared" si="0"/>
        <v>1224541.2400000002</v>
      </c>
      <c r="D16" s="242"/>
      <c r="E16" s="20">
        <f>'DOE25'!L210+'DOE25'!L228+'DOE25'!L246-F16-G16-H16</f>
        <v>1096412.2800000003</v>
      </c>
      <c r="F16" s="243">
        <f>42670.65-25000+135458.31-25000</f>
        <v>128128.95999999999</v>
      </c>
      <c r="G16" s="53">
        <f>'DOE25'!J210+'DOE25'!J228+'DOE25'!J246</f>
        <v>0</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33941.5</v>
      </c>
      <c r="D22" s="242"/>
      <c r="E22" s="242"/>
      <c r="F22" s="242"/>
      <c r="G22" s="53">
        <f>'DOE25'!L256+'DOE25'!L337</f>
        <v>33941.5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647877.07000000007</v>
      </c>
      <c r="D29" s="282">
        <f>'DOE25'!L359+'DOE25'!L360+'DOE25'!L361-'DOE25'!I368-F29-G29-H29</f>
        <v>646495.00000000012</v>
      </c>
      <c r="E29" s="242"/>
      <c r="F29" s="243">
        <v>0</v>
      </c>
      <c r="G29" s="53">
        <f>'DOE25'!J359+'DOE25'!J360+'DOE25'!J361</f>
        <v>399.23</v>
      </c>
      <c r="H29" s="53">
        <f>'DOE25'!K359+'DOE25'!K360+'DOE25'!K361</f>
        <v>982.83999999999992</v>
      </c>
      <c r="I29" s="255"/>
    </row>
    <row r="30" spans="1:9" x14ac:dyDescent="0.2">
      <c r="A30" s="32"/>
      <c r="C30" s="275"/>
      <c r="D30" s="20"/>
      <c r="E30" s="279"/>
      <c r="F30" s="269"/>
      <c r="G30" s="53"/>
      <c r="H30" s="53"/>
      <c r="I30" s="255"/>
    </row>
    <row r="31" spans="1:9" x14ac:dyDescent="0.2">
      <c r="A31" s="32" t="s">
        <v>818</v>
      </c>
      <c r="B31" t="s">
        <v>817</v>
      </c>
      <c r="C31" s="274">
        <f>SUM(D31:I31)</f>
        <v>4781870.71</v>
      </c>
      <c r="D31" s="20">
        <f>'DOE25'!L291+'DOE25'!L310+'DOE25'!L329+'DOE25'!L334+'DOE25'!L335+'DOE25'!L336-F31-G31-H31</f>
        <v>4533922.05</v>
      </c>
      <c r="E31" s="242"/>
      <c r="F31" s="243">
        <v>0</v>
      </c>
      <c r="G31" s="53">
        <f>'DOE25'!J291+'DOE25'!J310+'DOE25'!J329+'DOE25'!J334+'DOE25'!J335+'DOE25'!J336</f>
        <v>203011.01</v>
      </c>
      <c r="H31" s="53">
        <f>'DOE25'!K291+'DOE25'!K310+'DOE25'!K329+'DOE25'!K334+'DOE25'!K335+'DOE25'!K336</f>
        <v>44937.65</v>
      </c>
      <c r="I31" s="255"/>
    </row>
    <row r="32" spans="1:9" ht="12" thickBot="1" x14ac:dyDescent="0.25">
      <c r="C32" s="275"/>
      <c r="G32" s="250"/>
      <c r="H32" s="250"/>
      <c r="I32" s="257"/>
    </row>
    <row r="33" spans="1:9" ht="12" thickTop="1" x14ac:dyDescent="0.2">
      <c r="B33" t="s">
        <v>809</v>
      </c>
      <c r="D33" s="244">
        <f t="shared" ref="D33:I33" si="1">SUM(D5:D31)</f>
        <v>53115192.489999987</v>
      </c>
      <c r="E33" s="244">
        <f t="shared" si="1"/>
        <v>2616323.71</v>
      </c>
      <c r="F33" s="244">
        <f t="shared" si="1"/>
        <v>1674097.2400000002</v>
      </c>
      <c r="G33" s="244">
        <f t="shared" si="1"/>
        <v>437951.61</v>
      </c>
      <c r="H33" s="244">
        <f t="shared" si="1"/>
        <v>143362.65</v>
      </c>
      <c r="I33" s="244">
        <f t="shared" si="1"/>
        <v>0</v>
      </c>
    </row>
    <row r="35" spans="1:9" ht="12" thickBot="1" x14ac:dyDescent="0.25">
      <c r="B35" s="250" t="s">
        <v>831</v>
      </c>
      <c r="D35" s="251">
        <f>E33</f>
        <v>2616323.71</v>
      </c>
      <c r="E35" s="247"/>
      <c r="F35" s="328" t="s">
        <v>1617</v>
      </c>
      <c r="G35" s="329"/>
      <c r="H35" s="329"/>
      <c r="I35" s="329"/>
    </row>
    <row r="36" spans="1:9" ht="12" thickTop="1" x14ac:dyDescent="0.2">
      <c r="B36" t="s">
        <v>810</v>
      </c>
      <c r="D36" s="20">
        <f>D33</f>
        <v>53115192.489999987</v>
      </c>
      <c r="F36" s="331"/>
      <c r="G36" s="330" t="str">
        <f>IF(F36=0,"&lt;&lt;&lt;&lt;&lt; YOU HAVE NOT CHOSEN IF YOU WANT AN INDIRECT COST RATE!!","")</f>
        <v>&lt;&lt;&lt;&lt;&lt; YOU HAVE NOT CHOSEN IF YOU WANT AN INDIRECT COST RATE!!</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C1" zoomScaleNormal="100" workbookViewId="0">
      <selection activeCell="E13" sqref="E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Portsmouth</v>
      </c>
      <c r="B2" s="126">
        <f>'DOE25'!B2</f>
        <v>449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22491208.52</v>
      </c>
      <c r="G4" s="299">
        <f>'DOE25'!L212+'DOE25'!L291</f>
        <v>22491208.519999992</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545905.06999999995</v>
      </c>
      <c r="E5" s="290"/>
      <c r="F5" s="303">
        <f>D5+E5</f>
        <v>545905.06999999995</v>
      </c>
      <c r="G5" s="293"/>
      <c r="H5" s="293"/>
      <c r="I5" s="385"/>
      <c r="N5"/>
    </row>
    <row r="6" spans="1:18" x14ac:dyDescent="0.2">
      <c r="A6" s="126" t="str" cm="1">
        <f t="array" ref="A6">IFERROR(INDEX('School Tables'!$A$4:$G$325,'School Tables'!$J4,3),"")</f>
        <v>Little Harbour School</v>
      </c>
      <c r="B6" s="300">
        <f>IFERROR(VLOOKUP(A6,'School Tables'!$C$3:$D$365,2,FALSE),"")</f>
        <v>22515</v>
      </c>
      <c r="C6" s="293" t="str">
        <f>IFERROR(INDEX('School Tables'!$B$3:$B$365,MATCH('School Level Expenditures'!B6,'School Tables'!$D$3:$D$365,0)),"")</f>
        <v>Portsmouth</v>
      </c>
      <c r="D6" s="290">
        <f>5412717.35+8540.82+1501168.61+437957.81+408453.24-12165.5</f>
        <v>7756672.3300000001</v>
      </c>
      <c r="E6" s="290">
        <f>104651.98+48290.31</f>
        <v>152942.28999999998</v>
      </c>
      <c r="F6" s="303">
        <f t="shared" ref="F6:F20" si="0">D6+E6</f>
        <v>7909614.6200000001</v>
      </c>
      <c r="G6" s="293"/>
      <c r="H6" s="293"/>
      <c r="I6" s="385"/>
      <c r="N6"/>
    </row>
    <row r="7" spans="1:18" x14ac:dyDescent="0.2">
      <c r="A7" s="126" t="str" cm="1">
        <f t="array" ref="A7">IFERROR(INDEX('School Tables'!$A$4:$G$325,'School Tables'!$J5,3),"")</f>
        <v>Mary C. Dondero Elementary School</v>
      </c>
      <c r="B7" s="300">
        <f>IFERROR(VLOOKUP(A7,'School Tables'!$C$3:$D$365,2,FALSE),"")</f>
        <v>22545</v>
      </c>
      <c r="C7" s="293" t="str">
        <f>IFERROR(INDEX('School Tables'!$B$3:$B$365,MATCH('School Level Expenditures'!B7,'School Tables'!$D$3:$D$365,0)),"")</f>
        <v>Portsmouth</v>
      </c>
      <c r="D7" s="290">
        <f>4359488.88+3684.24+1459469.49+425792.32+397107.31</f>
        <v>6645542.2400000002</v>
      </c>
      <c r="E7" s="290">
        <f>328501.74+72435.46</f>
        <v>400937.2</v>
      </c>
      <c r="F7" s="303">
        <f t="shared" si="0"/>
        <v>7046479.4400000004</v>
      </c>
      <c r="G7" s="293"/>
      <c r="H7" s="293"/>
      <c r="I7" s="341"/>
      <c r="N7"/>
    </row>
    <row r="8" spans="1:18" x14ac:dyDescent="0.2">
      <c r="A8" s="126" t="str" cm="1">
        <f t="array" ref="A8">IFERROR(INDEX('School Tables'!$A$4:$G$325,'School Tables'!$J6,3),"")</f>
        <v>New Franklin School</v>
      </c>
      <c r="B8" s="300">
        <f>IFERROR(VLOOKUP(A8,'School Tables'!$C$3:$D$365,2,FALSE),"")</f>
        <v>22525</v>
      </c>
      <c r="C8" s="293" t="str">
        <f>IFERROR(INDEX('School Tables'!$B$3:$B$365,MATCH('School Level Expenditures'!B8,'School Tables'!$D$3:$D$365,0)),"")</f>
        <v>Portsmouth</v>
      </c>
      <c r="D8" s="290">
        <f>3842993.09+5374.59+1209274.72+352799.35+329031.77</f>
        <v>5739473.5199999996</v>
      </c>
      <c r="E8" s="290">
        <f>561224.28+113106.83+80483.84</f>
        <v>754814.95</v>
      </c>
      <c r="F8" s="303">
        <f t="shared" si="0"/>
        <v>6494288.4699999997</v>
      </c>
      <c r="G8" s="293"/>
      <c r="H8" s="293"/>
      <c r="I8" s="341"/>
      <c r="N8"/>
    </row>
    <row r="9" spans="1:18" x14ac:dyDescent="0.2">
      <c r="A9" s="126" t="str" cm="1">
        <f t="array" ref="A9">IFERROR(INDEX('School Tables'!$A$4:$G$325,'School Tables'!$J7,3),"")</f>
        <v>PEEP School - Pre School Program</v>
      </c>
      <c r="B9" s="300">
        <f>IFERROR(VLOOKUP(A9,'School Tables'!$C$3:$D$365,2,FALSE),"")</f>
        <v>22560</v>
      </c>
      <c r="C9" s="293" t="str">
        <f>IFERROR(INDEX('School Tables'!$B$3:$B$365,MATCH('School Level Expenditures'!B9,'School Tables'!$D$3:$D$365,0)),"")</f>
        <v>Portsmouth</v>
      </c>
      <c r="D9" s="290">
        <f>477251.8</f>
        <v>477251.8</v>
      </c>
      <c r="E9" s="290">
        <v>17669.12</v>
      </c>
      <c r="F9" s="303">
        <f t="shared" si="0"/>
        <v>494920.92</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21164844.960000001</v>
      </c>
      <c r="E21" s="338">
        <f>SUM(E5:E20)</f>
        <v>1326363.56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11573834.550000001</v>
      </c>
      <c r="G24" s="299">
        <f>'DOE25'!L230+'DOE25'!L310</f>
        <v>11573834.549999999</v>
      </c>
      <c r="H24" s="340">
        <f>F24-G24</f>
        <v>0</v>
      </c>
      <c r="I24" s="384" t="str">
        <f>IF(H24=0,"","ISSUES!! Please review page 8 and 12 totals in comparison with total on this page")</f>
        <v/>
      </c>
      <c r="N24"/>
    </row>
    <row r="25" spans="1:14" x14ac:dyDescent="0.2">
      <c r="A25" s="126" t="s">
        <v>1548</v>
      </c>
      <c r="B25" s="300">
        <v>99999</v>
      </c>
      <c r="C25" s="293" t="s">
        <v>1548</v>
      </c>
      <c r="D25" s="290">
        <v>404048.06</v>
      </c>
      <c r="E25" s="290"/>
      <c r="F25" s="303">
        <f>D25+E25</f>
        <v>404048.06</v>
      </c>
      <c r="G25" s="293"/>
      <c r="H25" s="293"/>
      <c r="I25" s="385"/>
      <c r="N25"/>
    </row>
    <row r="26" spans="1:14" x14ac:dyDescent="0.2">
      <c r="A26" s="126" t="str" cm="1">
        <f t="array" ref="A26">IFERROR(INDEX('School Tables'!$L$4:$R$75,'School Tables'!$U4,3),"")</f>
        <v>Portsmouth Middle School</v>
      </c>
      <c r="B26" s="300">
        <f>IFERROR(VLOOKUP(A26,'School Tables'!$N$4:$O$75,2,FALSE),"")</f>
        <v>22510</v>
      </c>
      <c r="C26" s="293" t="str">
        <f>IFERROR(INDEX('School Tables'!$M$4:$M$75,MATCH('School Level Expenditures'!A26,'School Tables'!$N$4:$N$75,0)),"")</f>
        <v>Portsmouth</v>
      </c>
      <c r="D26" s="290">
        <f>10780814.55-404048.06</f>
        <v>10376766.49</v>
      </c>
      <c r="E26" s="290">
        <v>793020</v>
      </c>
      <c r="F26" s="303">
        <f t="shared" ref="F26:F32" si="1">D26+E26</f>
        <v>11169786.49</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10780814.550000001</v>
      </c>
      <c r="E33" s="338">
        <f>SUM(E25:E32)</f>
        <v>793020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23240066.059999999</v>
      </c>
      <c r="G36" s="299">
        <f>'DOE25'!L248+'DOE25'!L329</f>
        <v>23240066.059999999</v>
      </c>
      <c r="H36" s="340">
        <f>F36-G36</f>
        <v>0</v>
      </c>
      <c r="I36" s="384" t="str">
        <f>IF(H36=0,"","ISSUES!! Please review page 9 and 13 totals in comparison with total on this page")</f>
        <v/>
      </c>
      <c r="N36"/>
    </row>
    <row r="37" spans="1:14" x14ac:dyDescent="0.2">
      <c r="A37" s="126" t="s">
        <v>1548</v>
      </c>
      <c r="B37" s="300">
        <v>99999</v>
      </c>
      <c r="C37" s="293" t="s">
        <v>1548</v>
      </c>
      <c r="D37" s="372">
        <f>623076.13+7440.44</f>
        <v>630516.56999999995</v>
      </c>
      <c r="E37" s="290"/>
      <c r="F37" s="303">
        <f t="shared" ref="F37:F42" si="2">D37+E37</f>
        <v>630516.56999999995</v>
      </c>
      <c r="G37" s="293"/>
      <c r="H37" s="293"/>
      <c r="I37" s="385"/>
      <c r="N37"/>
    </row>
    <row r="38" spans="1:14" x14ac:dyDescent="0.2">
      <c r="A38" s="126" t="str" cm="1">
        <f t="array" ref="A38">IFERROR(INDEX('School Tables'!$W$4:$AC$100,'School Tables'!$AF4,3),"")</f>
        <v>Portsmouth High School</v>
      </c>
      <c r="B38" s="300">
        <f>IFERROR(VLOOKUP(A38,'School Tables'!$Y$4:$Z$100,2,FALSE),"")</f>
        <v>22565</v>
      </c>
      <c r="C38" s="293" t="str">
        <f>IFERROR(INDEX('School Tables'!$X$4:$X$100,MATCH('School Level Expenditures'!A38,'School Tables'!$Y$4:$Y$100,0)),"")</f>
        <v>Portsmouth</v>
      </c>
      <c r="D38" s="290">
        <f>20577578.91-(623076.13+7440.44)</f>
        <v>19947062.34</v>
      </c>
      <c r="E38" s="290">
        <v>2662487.15</v>
      </c>
      <c r="F38" s="303">
        <f t="shared" si="2"/>
        <v>22609549.489999998</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20577578.91</v>
      </c>
      <c r="E43" s="339">
        <f>SUM(E37:E42)</f>
        <v>2662487.15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6"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Portsmouth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0</v>
      </c>
      <c r="D8" s="95">
        <f>'DOE25'!G9</f>
        <v>1408</v>
      </c>
      <c r="E8" s="95">
        <f>'DOE25'!H9</f>
        <v>0</v>
      </c>
      <c r="F8" s="95">
        <f>'DOE25'!I9</f>
        <v>0</v>
      </c>
      <c r="G8" s="95">
        <f>'DOE25'!J9</f>
        <v>0</v>
      </c>
      <c r="H8" s="124">
        <f>SUM(C8:G8)</f>
        <v>1408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281387.09999999998</v>
      </c>
      <c r="E11" s="95">
        <f>'DOE25'!H12</f>
        <v>612526.26000000071</v>
      </c>
      <c r="F11" s="95">
        <f>'DOE25'!I12</f>
        <v>0</v>
      </c>
      <c r="G11" s="95">
        <f>'DOE25'!J12</f>
        <v>0</v>
      </c>
      <c r="H11" s="124">
        <f t="shared" si="0"/>
        <v>893913.36000000068</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262.99</v>
      </c>
      <c r="E13" s="95">
        <f>'DOE25'!H14</f>
        <v>0</v>
      </c>
      <c r="F13" s="95">
        <f>'DOE25'!I14</f>
        <v>0</v>
      </c>
      <c r="G13" s="95">
        <f>'DOE25'!J14</f>
        <v>0</v>
      </c>
      <c r="H13" s="124">
        <f t="shared" si="0"/>
        <v>262.99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39641.619999999995</v>
      </c>
      <c r="E15" s="95">
        <f>'DOE25'!H16</f>
        <v>0</v>
      </c>
      <c r="F15" s="95">
        <f>'DOE25'!I16</f>
        <v>0</v>
      </c>
      <c r="G15" s="24" t="s">
        <v>288</v>
      </c>
      <c r="H15" s="124">
        <f t="shared" si="0"/>
        <v>39641.619999999995</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0</v>
      </c>
      <c r="D18" s="41">
        <f>SUM(D8:D17)</f>
        <v>322699.70999999996</v>
      </c>
      <c r="E18" s="41">
        <f>SUM(E8:E17)</f>
        <v>612526.26000000071</v>
      </c>
      <c r="F18" s="41">
        <f>SUM(F8:F17)</f>
        <v>0</v>
      </c>
      <c r="G18" s="41">
        <f>SUM(G8:G17)</f>
        <v>0</v>
      </c>
      <c r="H18" s="41">
        <f t="shared" si="0"/>
        <v>935225.97000000067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24202.84</v>
      </c>
      <c r="E29" s="95">
        <f>'DOE25'!H30</f>
        <v>0</v>
      </c>
      <c r="F29" s="95">
        <f>'DOE25'!I30</f>
        <v>0</v>
      </c>
      <c r="G29" s="24" t="s">
        <v>288</v>
      </c>
      <c r="H29" s="124">
        <f t="shared" si="1"/>
        <v>24202.84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24202.84</v>
      </c>
      <c r="E31" s="41">
        <f>SUM(E21:E30)</f>
        <v>0</v>
      </c>
      <c r="F31" s="41">
        <f>SUM(F21:F30)</f>
        <v>0</v>
      </c>
      <c r="G31" s="41">
        <f>SUM(G21:G30)</f>
        <v>0</v>
      </c>
      <c r="H31" s="41">
        <f t="shared" si="1"/>
        <v>24202.84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298496.86999999988</v>
      </c>
      <c r="E39" s="24" t="s">
        <v>288</v>
      </c>
      <c r="F39" s="24" t="s">
        <v>288</v>
      </c>
      <c r="G39" s="24" t="s">
        <v>288</v>
      </c>
      <c r="H39" s="124">
        <f t="shared" si="2"/>
        <v>298496.86999999988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612526.26000000071</v>
      </c>
      <c r="F47" s="95">
        <f>'DOE25'!I48</f>
        <v>0</v>
      </c>
      <c r="G47" s="95">
        <f>'DOE25'!J48</f>
        <v>0</v>
      </c>
      <c r="H47" s="124">
        <f t="shared" si="2"/>
        <v>612526.26000000071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0</v>
      </c>
      <c r="D50" s="41">
        <f>SUM(D34:D49)</f>
        <v>298496.86999999988</v>
      </c>
      <c r="E50" s="41">
        <f>SUM(E34:E49)</f>
        <v>612526.26000000071</v>
      </c>
      <c r="F50" s="41">
        <f>SUM(F34:F49)</f>
        <v>0</v>
      </c>
      <c r="G50" s="41">
        <f>SUM(G34:G49)</f>
        <v>0</v>
      </c>
      <c r="H50" s="41">
        <f t="shared" si="2"/>
        <v>911023.13000000059</v>
      </c>
      <c r="I50" s="124"/>
    </row>
    <row r="51" spans="1:9" ht="12" thickTop="1" x14ac:dyDescent="0.2">
      <c r="A51" s="38" t="s">
        <v>885</v>
      </c>
      <c r="B51" s="2"/>
      <c r="C51" s="41">
        <f>C50+C31</f>
        <v>0</v>
      </c>
      <c r="D51" s="41">
        <f>D50+D31</f>
        <v>322699.7099999999</v>
      </c>
      <c r="E51" s="41">
        <f>E50+E31</f>
        <v>612526.26000000071</v>
      </c>
      <c r="F51" s="41">
        <f>F50+F31</f>
        <v>0</v>
      </c>
      <c r="G51" s="41">
        <f>G50+G31</f>
        <v>0</v>
      </c>
      <c r="H51" s="41">
        <f t="shared" si="2"/>
        <v>935225.97000000067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32561813.690000001</v>
      </c>
      <c r="D56" s="95">
        <f>'DOE25'!G60</f>
        <v>0</v>
      </c>
      <c r="E56" s="95">
        <f>'DOE25'!H60</f>
        <v>348168.84</v>
      </c>
      <c r="F56" s="95">
        <f>'DOE25'!I60</f>
        <v>0</v>
      </c>
      <c r="G56" s="95">
        <f>'DOE25'!J60</f>
        <v>0</v>
      </c>
      <c r="H56" s="124">
        <f t="shared" ref="H56:H63" si="3">SUM(C56:G56)</f>
        <v>32909982.530000001</v>
      </c>
      <c r="I56"/>
    </row>
    <row r="57" spans="1:9" x14ac:dyDescent="0.2">
      <c r="A57" s="1" t="s">
        <v>164</v>
      </c>
      <c r="B57" s="6" t="s">
        <v>165</v>
      </c>
      <c r="C57" s="95">
        <f>'DOE25'!F79</f>
        <v>6577470.79</v>
      </c>
      <c r="D57" s="24" t="s">
        <v>288</v>
      </c>
      <c r="E57" s="95">
        <f>'DOE25'!H79</f>
        <v>1064229.1200000001</v>
      </c>
      <c r="F57" s="24" t="s">
        <v>288</v>
      </c>
      <c r="G57" s="24" t="s">
        <v>288</v>
      </c>
      <c r="H57" s="124">
        <f t="shared" si="3"/>
        <v>7641699.9100000001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31865.33</v>
      </c>
      <c r="E60" s="24" t="s">
        <v>288</v>
      </c>
      <c r="F60" s="24" t="s">
        <v>288</v>
      </c>
      <c r="G60" s="24" t="s">
        <v>288</v>
      </c>
      <c r="H60" s="124">
        <f t="shared" si="3"/>
        <v>31865.33</v>
      </c>
      <c r="I60"/>
    </row>
    <row r="61" spans="1:9" ht="12" thickBot="1" x14ac:dyDescent="0.25">
      <c r="A61" s="1" t="s">
        <v>172</v>
      </c>
      <c r="B61" s="118" t="s">
        <v>173</v>
      </c>
      <c r="C61" s="95">
        <f>SUM('DOE25'!F98:F110)</f>
        <v>258371.55000000002</v>
      </c>
      <c r="D61" s="95">
        <f>SUM('DOE25'!G98:G110)</f>
        <v>42937.97</v>
      </c>
      <c r="E61" s="95">
        <f>SUM('DOE25'!H98:H110)</f>
        <v>263849.57</v>
      </c>
      <c r="F61" s="95">
        <f>SUM('DOE25'!I98:I110)</f>
        <v>0</v>
      </c>
      <c r="G61" s="95">
        <f>SUM('DOE25'!J98:J110)</f>
        <v>0</v>
      </c>
      <c r="H61" s="124">
        <f t="shared" si="3"/>
        <v>565159.09000000008</v>
      </c>
      <c r="I61"/>
    </row>
    <row r="62" spans="1:9" ht="12.75" thickTop="1" thickBot="1" x14ac:dyDescent="0.25">
      <c r="A62" s="29" t="s">
        <v>174</v>
      </c>
      <c r="B62" s="6"/>
      <c r="C62" s="130">
        <f>SUM(C57:C61)</f>
        <v>6835842.3399999999</v>
      </c>
      <c r="D62" s="130">
        <f>SUM(D57:D61)</f>
        <v>74803.3</v>
      </c>
      <c r="E62" s="130">
        <f>SUM(E57:E61)</f>
        <v>1328078.6900000002</v>
      </c>
      <c r="F62" s="130">
        <f>SUM(F57:F61)</f>
        <v>0</v>
      </c>
      <c r="G62" s="130">
        <f>SUM(G57:G61)</f>
        <v>0</v>
      </c>
      <c r="H62" s="124">
        <f t="shared" si="3"/>
        <v>8238724.3300000001</v>
      </c>
      <c r="I62"/>
    </row>
    <row r="63" spans="1:9" ht="12" thickTop="1" x14ac:dyDescent="0.2">
      <c r="A63" s="29" t="s">
        <v>175</v>
      </c>
      <c r="B63" s="6"/>
      <c r="C63" s="22">
        <f>C56+C62</f>
        <v>39397656.030000001</v>
      </c>
      <c r="D63" s="22">
        <f>D56+D62</f>
        <v>74803.3</v>
      </c>
      <c r="E63" s="22">
        <f>E56+E62</f>
        <v>1676247.5300000003</v>
      </c>
      <c r="F63" s="22">
        <f>F56+F62</f>
        <v>0</v>
      </c>
      <c r="G63" s="22">
        <f>G56+G62</f>
        <v>0</v>
      </c>
      <c r="H63" s="124">
        <f t="shared" si="3"/>
        <v>41148706.859999999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12043851</v>
      </c>
      <c r="D67" s="24"/>
      <c r="E67" s="24"/>
      <c r="F67" s="24"/>
      <c r="G67" s="24"/>
      <c r="H67" s="124">
        <f t="shared" si="4"/>
        <v>12043851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3022.54</v>
      </c>
      <c r="F69" s="95">
        <f>'DOE25'!I120</f>
        <v>0</v>
      </c>
      <c r="G69" s="95">
        <f>'DOE25'!J120</f>
        <v>0</v>
      </c>
      <c r="H69" s="124">
        <f t="shared" si="4"/>
        <v>3022.54</v>
      </c>
      <c r="I69"/>
    </row>
    <row r="70" spans="1:9" ht="12" thickTop="1" x14ac:dyDescent="0.2">
      <c r="A70" s="29" t="s">
        <v>252</v>
      </c>
      <c r="B70" s="2"/>
      <c r="C70" s="139">
        <f>SUM(C66:C69)</f>
        <v>12043851</v>
      </c>
      <c r="D70" s="139">
        <f>D69</f>
        <v>0</v>
      </c>
      <c r="E70" s="139">
        <f>E69</f>
        <v>3022.54</v>
      </c>
      <c r="F70" s="139">
        <f>F69</f>
        <v>0</v>
      </c>
      <c r="G70" s="139">
        <f>G69</f>
        <v>0</v>
      </c>
      <c r="H70" s="124">
        <f t="shared" si="4"/>
        <v>12046873.539999999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1757196.45</v>
      </c>
      <c r="D72" s="24" t="s">
        <v>288</v>
      </c>
      <c r="E72" s="24" t="s">
        <v>288</v>
      </c>
      <c r="F72" s="95">
        <f>'DOE25'!I123</f>
        <v>0</v>
      </c>
      <c r="G72" s="24" t="s">
        <v>288</v>
      </c>
      <c r="H72" s="124">
        <f t="shared" si="4"/>
        <v>1757196.45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348168.84</v>
      </c>
      <c r="D75" s="24" t="s">
        <v>288</v>
      </c>
      <c r="E75" s="24" t="s">
        <v>288</v>
      </c>
      <c r="F75" s="24" t="s">
        <v>288</v>
      </c>
      <c r="G75" s="24" t="s">
        <v>288</v>
      </c>
      <c r="H75" s="124">
        <f t="shared" si="4"/>
        <v>348168.84</v>
      </c>
      <c r="I75"/>
    </row>
    <row r="76" spans="1:9" x14ac:dyDescent="0.2">
      <c r="A76" s="1" t="s">
        <v>257</v>
      </c>
      <c r="B76" s="6" t="s">
        <v>179</v>
      </c>
      <c r="C76" s="95">
        <f>SUM('DOE25'!F127:F130)</f>
        <v>258</v>
      </c>
      <c r="D76" s="24" t="s">
        <v>288</v>
      </c>
      <c r="E76" s="95">
        <f>SUM('DOE25'!H127:H130)</f>
        <v>0</v>
      </c>
      <c r="F76" s="95">
        <f>SUM('DOE25'!I127:I130)</f>
        <v>0</v>
      </c>
      <c r="G76" s="24" t="s">
        <v>288</v>
      </c>
      <c r="H76" s="124">
        <f t="shared" si="4"/>
        <v>258</v>
      </c>
      <c r="I76"/>
    </row>
    <row r="77" spans="1:9" ht="12" thickBot="1" x14ac:dyDescent="0.25">
      <c r="A77" s="1" t="s">
        <v>258</v>
      </c>
      <c r="B77" s="6" t="s">
        <v>180</v>
      </c>
      <c r="C77" s="95">
        <f>SUM('DOE25'!F131:F135)</f>
        <v>0</v>
      </c>
      <c r="D77" s="95">
        <f>SUM('DOE25'!G131:G135)</f>
        <v>56128.46</v>
      </c>
      <c r="E77" s="95">
        <f>SUM('DOE25'!H131:H135)</f>
        <v>0</v>
      </c>
      <c r="F77" s="95">
        <f>SUM('DOE25'!I131:I135)</f>
        <v>0</v>
      </c>
      <c r="G77" s="95">
        <f>SUM('DOE25'!J131:J135)</f>
        <v>0</v>
      </c>
      <c r="H77" s="124">
        <f t="shared" si="4"/>
        <v>56128.46</v>
      </c>
      <c r="I77"/>
    </row>
    <row r="78" spans="1:9" ht="12.75" thickTop="1" thickBot="1" x14ac:dyDescent="0.25">
      <c r="A78" s="29" t="s">
        <v>259</v>
      </c>
      <c r="B78" s="6"/>
      <c r="C78" s="130">
        <f>SUM(C72:C77)</f>
        <v>2105623.29</v>
      </c>
      <c r="D78" s="130">
        <f>SUM(D72:D77)</f>
        <v>56128.46</v>
      </c>
      <c r="E78" s="130">
        <f>SUM(E72:E77)</f>
        <v>0</v>
      </c>
      <c r="F78" s="130">
        <f>SUM(F72:F77)</f>
        <v>0</v>
      </c>
      <c r="G78" s="130">
        <f>SUM(G72:G77)</f>
        <v>0</v>
      </c>
      <c r="H78" s="124">
        <f t="shared" si="4"/>
        <v>2161751.75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14149474.289999999</v>
      </c>
      <c r="D81" s="130">
        <f>SUM(D79:D80)+D78+D70</f>
        <v>56128.46</v>
      </c>
      <c r="E81" s="130">
        <f>SUM(E79:E80)+E78+E70</f>
        <v>3022.54</v>
      </c>
      <c r="F81" s="130">
        <f>SUM(F79:F80)+F78+F70</f>
        <v>0</v>
      </c>
      <c r="G81" s="130">
        <f>SUM(G79:G80)+G78+G70</f>
        <v>0</v>
      </c>
      <c r="H81" s="130">
        <f t="shared" si="4"/>
        <v>14208625.289999999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1230567.48</v>
      </c>
      <c r="E88" s="326">
        <f>SUM('DOE25'!H153:H162)</f>
        <v>2195852.9000000004</v>
      </c>
      <c r="F88" s="326">
        <f>SUM('DOE25'!I153:I162)</f>
        <v>0</v>
      </c>
      <c r="G88" s="24" t="s">
        <v>288</v>
      </c>
      <c r="H88" s="124">
        <f t="shared" si="5"/>
        <v>3426420.3800000004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1230567.48</v>
      </c>
      <c r="E91" s="131">
        <f>SUM(E85:E90)</f>
        <v>2195852.9000000004</v>
      </c>
      <c r="F91" s="131">
        <f>SUM(F85:F90)</f>
        <v>0</v>
      </c>
      <c r="G91" s="24" t="s">
        <v>288</v>
      </c>
      <c r="H91" s="124">
        <f t="shared" si="5"/>
        <v>3426420.3800000004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1020.9</v>
      </c>
      <c r="E96" s="95">
        <f>'DOE25'!H180</f>
        <v>1022871</v>
      </c>
      <c r="F96" s="95">
        <f>'DOE25'!I180</f>
        <v>0</v>
      </c>
      <c r="G96" s="95">
        <f>'DOE25'!J180</f>
        <v>0</v>
      </c>
      <c r="H96" s="124">
        <f t="shared" si="5"/>
        <v>1023891.9</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1020.9</v>
      </c>
      <c r="E103" s="86">
        <f>SUM(E93:E102)</f>
        <v>1022871</v>
      </c>
      <c r="F103" s="86">
        <f>SUM(F93:F102)</f>
        <v>0</v>
      </c>
      <c r="G103" s="86">
        <f>SUM(G93:G102)</f>
        <v>0</v>
      </c>
      <c r="H103" s="86">
        <f t="shared" si="5"/>
        <v>1023891.9</v>
      </c>
    </row>
    <row r="104" spans="1:8" ht="12.75" thickTop="1" thickBot="1" x14ac:dyDescent="0.25">
      <c r="A104" s="33" t="s">
        <v>761</v>
      </c>
      <c r="C104" s="86">
        <f>C63+C81+C91+C103</f>
        <v>53547130.32</v>
      </c>
      <c r="D104" s="86">
        <f>D63+D81+D91+D103</f>
        <v>1362520.14</v>
      </c>
      <c r="E104" s="86">
        <f>E63+E81+E91+E103</f>
        <v>4897993.9700000007</v>
      </c>
      <c r="F104" s="86">
        <f>F63+F81+F91+F103</f>
        <v>0</v>
      </c>
      <c r="G104" s="86">
        <f>G63+G81+G103</f>
        <v>0</v>
      </c>
      <c r="H104" s="86">
        <f t="shared" si="5"/>
        <v>59807644.43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23583017.289999999</v>
      </c>
      <c r="D109" s="24" t="s">
        <v>288</v>
      </c>
      <c r="E109" s="95">
        <f>('DOE25'!L277)+('DOE25'!L296)+('DOE25'!L315)</f>
        <v>771531.60000000009</v>
      </c>
      <c r="F109" s="24" t="s">
        <v>288</v>
      </c>
      <c r="G109" s="24" t="s">
        <v>288</v>
      </c>
      <c r="H109" s="124">
        <f t="shared" ref="H109:H115" si="6">SUM(C109:G109)</f>
        <v>24354548.890000001</v>
      </c>
    </row>
    <row r="110" spans="1:8" x14ac:dyDescent="0.2">
      <c r="A110" t="s">
        <v>198</v>
      </c>
      <c r="B110" s="32" t="s">
        <v>199</v>
      </c>
      <c r="C110" s="95">
        <f>('DOE25'!L199)+('DOE25'!L217)+('DOE25'!L235)</f>
        <v>7260336.8499999996</v>
      </c>
      <c r="D110" s="24" t="s">
        <v>288</v>
      </c>
      <c r="E110" s="95">
        <f>('DOE25'!L278)+('DOE25'!L297)+('DOE25'!L316)</f>
        <v>2901414.1799999997</v>
      </c>
      <c r="F110" s="24" t="s">
        <v>288</v>
      </c>
      <c r="G110" s="24" t="s">
        <v>288</v>
      </c>
      <c r="H110" s="124">
        <f t="shared" si="6"/>
        <v>10161751.029999999</v>
      </c>
    </row>
    <row r="111" spans="1:8" x14ac:dyDescent="0.2">
      <c r="A111" t="s">
        <v>200</v>
      </c>
      <c r="B111" s="32" t="s">
        <v>165</v>
      </c>
      <c r="C111" s="95">
        <f>('DOE25'!L200)+('DOE25'!L218)+('DOE25'!L236)</f>
        <v>1776718.42</v>
      </c>
      <c r="D111" s="24" t="s">
        <v>288</v>
      </c>
      <c r="E111" s="95">
        <f>('DOE25'!L279)+('DOE25'!L298)+('DOE25'!L317)</f>
        <v>244089.29</v>
      </c>
      <c r="F111" s="24" t="s">
        <v>288</v>
      </c>
      <c r="G111" s="24" t="s">
        <v>288</v>
      </c>
      <c r="H111" s="124">
        <f t="shared" si="6"/>
        <v>2020807.71</v>
      </c>
    </row>
    <row r="112" spans="1:8" x14ac:dyDescent="0.2">
      <c r="A112" t="s">
        <v>201</v>
      </c>
      <c r="B112" s="32" t="s">
        <v>167</v>
      </c>
      <c r="C112" s="95">
        <f>('DOE25'!L201)+('DOE25'!L219)+('DOE25'!L237)</f>
        <v>902580.87</v>
      </c>
      <c r="D112" s="24" t="s">
        <v>288</v>
      </c>
      <c r="E112" s="95">
        <f>+('DOE25'!L280)+('DOE25'!L299)+('DOE25'!L318)</f>
        <v>235826.13</v>
      </c>
      <c r="F112" s="24" t="s">
        <v>288</v>
      </c>
      <c r="G112" s="24" t="s">
        <v>288</v>
      </c>
      <c r="H112" s="124">
        <f t="shared" si="6"/>
        <v>1138407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33522653.430000003</v>
      </c>
      <c r="D115" s="86">
        <f>SUM(D109:D114)</f>
        <v>0</v>
      </c>
      <c r="E115" s="86">
        <f>SUM(E109:E114)</f>
        <v>4152861.1999999997</v>
      </c>
      <c r="F115" s="86">
        <f>SUM(F109:F114)</f>
        <v>0</v>
      </c>
      <c r="G115" s="86">
        <f>SUM(G109:G114)</f>
        <v>0</v>
      </c>
      <c r="H115" s="86">
        <f t="shared" si="6"/>
        <v>37675514.630000003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6178937.2599999998</v>
      </c>
      <c r="D118" s="24" t="s">
        <v>288</v>
      </c>
      <c r="E118" s="95">
        <f>+('DOE25'!L282)+('DOE25'!L301)+('DOE25'!L320)</f>
        <v>73625.25</v>
      </c>
      <c r="F118" s="24" t="s">
        <v>288</v>
      </c>
      <c r="G118" s="24" t="s">
        <v>288</v>
      </c>
      <c r="H118" s="124">
        <f t="shared" ref="H118:H145" si="7">SUM(C118:G118)</f>
        <v>6252562.5099999998</v>
      </c>
    </row>
    <row r="119" spans="1:8" x14ac:dyDescent="0.2">
      <c r="A119" t="s">
        <v>208</v>
      </c>
      <c r="B119" s="32" t="s">
        <v>209</v>
      </c>
      <c r="C119" s="95">
        <f>('DOE25'!L204)+('DOE25'!L222)+('DOE25'!L240)</f>
        <v>1011823.1400000001</v>
      </c>
      <c r="D119" s="24" t="s">
        <v>288</v>
      </c>
      <c r="E119" s="95">
        <f>+('DOE25'!L283)+('DOE25'!L302)+('DOE25'!L321)</f>
        <v>155390.18</v>
      </c>
      <c r="F119" s="24" t="s">
        <v>288</v>
      </c>
      <c r="G119" s="24" t="s">
        <v>288</v>
      </c>
      <c r="H119" s="124">
        <f t="shared" si="7"/>
        <v>1167213.32</v>
      </c>
    </row>
    <row r="120" spans="1:8" x14ac:dyDescent="0.2">
      <c r="A120" t="s">
        <v>210</v>
      </c>
      <c r="B120" s="32" t="s">
        <v>211</v>
      </c>
      <c r="C120" s="95">
        <f>('DOE25'!L205)+('DOE25'!L223)+('DOE25'!L241)</f>
        <v>1583932.53</v>
      </c>
      <c r="D120" s="24" t="s">
        <v>288</v>
      </c>
      <c r="E120" s="95">
        <f>+('DOE25'!L284)+('DOE25'!L303)+('DOE25'!L322)</f>
        <v>183020.02000000002</v>
      </c>
      <c r="F120" s="24" t="s">
        <v>288</v>
      </c>
      <c r="G120" s="24" t="s">
        <v>288</v>
      </c>
      <c r="H120" s="124">
        <f t="shared" si="7"/>
        <v>1766952.55</v>
      </c>
    </row>
    <row r="121" spans="1:8" x14ac:dyDescent="0.2">
      <c r="A121" t="s">
        <v>212</v>
      </c>
      <c r="B121" s="32" t="s">
        <v>213</v>
      </c>
      <c r="C121" s="95">
        <f>('DOE25'!L206)+('DOE25'!L224)+('DOE25'!L242)</f>
        <v>2792642.0100000002</v>
      </c>
      <c r="D121" s="24" t="s">
        <v>288</v>
      </c>
      <c r="E121" s="95">
        <f>+('DOE25'!L285)+('DOE25'!L304)+('DOE25'!L323)</f>
        <v>146689.74</v>
      </c>
      <c r="F121" s="24" t="s">
        <v>288</v>
      </c>
      <c r="G121" s="24" t="s">
        <v>288</v>
      </c>
      <c r="H121" s="124">
        <f t="shared" si="7"/>
        <v>2939331.75</v>
      </c>
    </row>
    <row r="122" spans="1:8" x14ac:dyDescent="0.2">
      <c r="A122" t="s">
        <v>214</v>
      </c>
      <c r="B122" s="32" t="s">
        <v>215</v>
      </c>
      <c r="C122" s="95">
        <f>('DOE25'!L207)+('DOE25'!L225)+('DOE25'!L243)</f>
        <v>587645.77</v>
      </c>
      <c r="D122" s="24" t="s">
        <v>288</v>
      </c>
      <c r="E122" s="95">
        <f>+('DOE25'!L286)+('DOE25'!L305)+('DOE25'!L324)</f>
        <v>847.41</v>
      </c>
      <c r="F122" s="24" t="s">
        <v>288</v>
      </c>
      <c r="G122" s="24" t="s">
        <v>288</v>
      </c>
      <c r="H122" s="124">
        <f t="shared" si="7"/>
        <v>588493.18000000005</v>
      </c>
    </row>
    <row r="123" spans="1:8" x14ac:dyDescent="0.2">
      <c r="A123" t="s">
        <v>216</v>
      </c>
      <c r="B123" s="32" t="s">
        <v>217</v>
      </c>
      <c r="C123" s="95">
        <f>('DOE25'!L208)+('DOE25'!L226)+('DOE25'!L244)</f>
        <v>4216186.07</v>
      </c>
      <c r="D123" s="24" t="s">
        <v>288</v>
      </c>
      <c r="E123" s="95">
        <f>+('DOE25'!L287)+('DOE25'!L306)+('DOE25'!L325)</f>
        <v>66912.409999999989</v>
      </c>
      <c r="F123" s="24" t="s">
        <v>288</v>
      </c>
      <c r="G123" s="24" t="s">
        <v>288</v>
      </c>
      <c r="H123" s="124">
        <f t="shared" si="7"/>
        <v>4283098.4800000004</v>
      </c>
    </row>
    <row r="124" spans="1:8" x14ac:dyDescent="0.2">
      <c r="A124" t="s">
        <v>218</v>
      </c>
      <c r="B124" s="32" t="s">
        <v>219</v>
      </c>
      <c r="C124" s="95">
        <f>('DOE25'!L209)+('DOE25'!L227)+('DOE25'!L245+'DOE25'!L255)</f>
        <v>1404876.97</v>
      </c>
      <c r="D124" s="24" t="s">
        <v>288</v>
      </c>
      <c r="E124" s="95">
        <f>+('DOE25'!L288)+('DOE25'!L307)+('DOE25'!L326)</f>
        <v>664.28</v>
      </c>
      <c r="F124" s="24" t="s">
        <v>288</v>
      </c>
      <c r="G124" s="24" t="s">
        <v>288</v>
      </c>
      <c r="H124" s="124">
        <f t="shared" si="7"/>
        <v>1405541.25</v>
      </c>
    </row>
    <row r="125" spans="1:8" x14ac:dyDescent="0.2">
      <c r="A125" t="s">
        <v>220</v>
      </c>
      <c r="B125" s="32" t="s">
        <v>221</v>
      </c>
      <c r="C125" s="95">
        <f>('DOE25'!L210)+('DOE25'!L228)+('DOE25'!L246)</f>
        <v>1224541.2400000002</v>
      </c>
      <c r="D125" s="24" t="s">
        <v>288</v>
      </c>
      <c r="E125" s="95">
        <f>+('DOE25'!L289)+('DOE25'!L308)+('DOE25'!L327)</f>
        <v>1860.22</v>
      </c>
      <c r="F125" s="24" t="s">
        <v>288</v>
      </c>
      <c r="G125" s="24" t="s">
        <v>288</v>
      </c>
      <c r="H125" s="124">
        <f t="shared" si="7"/>
        <v>1226401.4600000002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1066494.5</v>
      </c>
      <c r="E127" s="24" t="s">
        <v>288</v>
      </c>
      <c r="F127" s="24" t="s">
        <v>288</v>
      </c>
      <c r="G127" s="24" t="s">
        <v>288</v>
      </c>
      <c r="H127" s="124">
        <f t="shared" si="7"/>
        <v>1066494.5</v>
      </c>
    </row>
    <row r="128" spans="1:8" ht="12.75" thickTop="1" thickBot="1" x14ac:dyDescent="0.25">
      <c r="A128" s="33" t="s">
        <v>226</v>
      </c>
      <c r="C128" s="86">
        <f>SUM(C118:C127)</f>
        <v>19000584.990000002</v>
      </c>
      <c r="D128" s="86">
        <f>SUM(D118:D127)</f>
        <v>1066494.5</v>
      </c>
      <c r="E128" s="86">
        <f>SUM(E118:E127)</f>
        <v>629009.51</v>
      </c>
      <c r="F128" s="86">
        <f>SUM(F118:F127)</f>
        <v>0</v>
      </c>
      <c r="G128" s="86">
        <f>SUM(G118:G127)</f>
        <v>0</v>
      </c>
      <c r="H128" s="86">
        <f t="shared" si="7"/>
        <v>20696089.000000004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33941.5</v>
      </c>
      <c r="F130" s="129">
        <f>SUM('DOE25'!L375:'DOE25'!L381)</f>
        <v>0</v>
      </c>
      <c r="G130" s="24" t="s">
        <v>288</v>
      </c>
      <c r="H130" s="124">
        <f t="shared" si="7"/>
        <v>33941.5</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1020.9</v>
      </c>
      <c r="D135" s="24" t="s">
        <v>288</v>
      </c>
      <c r="E135" s="129">
        <f>'DOE25'!L346</f>
        <v>0</v>
      </c>
      <c r="F135" s="24" t="s">
        <v>288</v>
      </c>
      <c r="G135" s="24" t="s">
        <v>288</v>
      </c>
      <c r="H135" s="124">
        <f t="shared" si="7"/>
        <v>1020.9</v>
      </c>
    </row>
    <row r="136" spans="1:8" x14ac:dyDescent="0.2">
      <c r="A136" t="s">
        <v>235</v>
      </c>
      <c r="B136" s="32" t="s">
        <v>236</v>
      </c>
      <c r="C136" s="95">
        <f>'DOE25'!L265</f>
        <v>1022871</v>
      </c>
      <c r="D136" s="24" t="s">
        <v>288</v>
      </c>
      <c r="E136" s="24" t="s">
        <v>288</v>
      </c>
      <c r="F136" s="24" t="s">
        <v>288</v>
      </c>
      <c r="G136" s="24" t="s">
        <v>288</v>
      </c>
      <c r="H136" s="124">
        <f t="shared" si="7"/>
        <v>1022871</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1023891.9</v>
      </c>
      <c r="D144" s="141">
        <f>SUM(D130:D143)</f>
        <v>0</v>
      </c>
      <c r="E144" s="141">
        <f>SUM(E130:E143)</f>
        <v>33941.5</v>
      </c>
      <c r="F144" s="141">
        <f>SUM(F130:F143)</f>
        <v>0</v>
      </c>
      <c r="G144" s="141">
        <f>SUM(G130:G143)</f>
        <v>0</v>
      </c>
      <c r="H144" s="141">
        <f t="shared" si="7"/>
        <v>1057833.3999999999</v>
      </c>
    </row>
    <row r="145" spans="1:9" ht="12.75" thickTop="1" thickBot="1" x14ac:dyDescent="0.25">
      <c r="A145" s="33" t="s">
        <v>244</v>
      </c>
      <c r="C145" s="86">
        <f>(C115+C128+C144)</f>
        <v>53547130.32</v>
      </c>
      <c r="D145" s="86">
        <f>(D115+D128+D144)</f>
        <v>1066494.5</v>
      </c>
      <c r="E145" s="86">
        <f>(E115+E128+E144)</f>
        <v>4815812.21</v>
      </c>
      <c r="F145" s="86">
        <f>(F115+F128+F144)</f>
        <v>0</v>
      </c>
      <c r="G145" s="86">
        <f>(G115+G128+G144)</f>
        <v>0</v>
      </c>
      <c r="H145" s="86">
        <f t="shared" si="7"/>
        <v>59429437.030000001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horizontalCentered="1" gridLines="1" gridLinesSet="0"/>
  <pageMargins left="0.5" right="0.5" top="1" bottom="1" header="0.5" footer="0.5"/>
  <pageSetup scale="85"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Portsmouth</v>
      </c>
    </row>
    <row r="3" spans="1:4" x14ac:dyDescent="0.2">
      <c r="B3" s="187" t="s">
        <v>1799</v>
      </c>
    </row>
    <row r="4" spans="1:4" x14ac:dyDescent="0.2">
      <c r="B4" t="s">
        <v>61</v>
      </c>
      <c r="C4" s="178">
        <f>IF('DOE25'!F666+'DOE25'!F671=0,0,ROUND('DOE25'!F673,0))</f>
        <v>23092</v>
      </c>
    </row>
    <row r="5" spans="1:4" x14ac:dyDescent="0.2">
      <c r="B5" t="s">
        <v>700</v>
      </c>
      <c r="C5" s="178">
        <f>IF('DOE25'!G666+'DOE25'!G671=0,0,ROUND('DOE25'!G673,0))</f>
        <v>22720</v>
      </c>
    </row>
    <row r="6" spans="1:4" x14ac:dyDescent="0.2">
      <c r="B6" t="s">
        <v>62</v>
      </c>
      <c r="C6" s="178">
        <f>IF('DOE25'!H666+'DOE25'!H671=0,0,ROUND('DOE25'!H673,0))</f>
        <v>20909</v>
      </c>
    </row>
    <row r="7" spans="1:4" x14ac:dyDescent="0.2">
      <c r="B7" t="s">
        <v>701</v>
      </c>
      <c r="C7" s="178">
        <f>IF('DOE25'!I666+'DOE25'!I671=0,0,ROUND('DOE25'!I673,0))</f>
        <v>22090</v>
      </c>
    </row>
    <row r="9" spans="1:4" x14ac:dyDescent="0.2">
      <c r="A9" s="186" t="s">
        <v>94</v>
      </c>
      <c r="B9" s="187" t="s">
        <v>1800</v>
      </c>
      <c r="C9" s="180" t="s">
        <v>720</v>
      </c>
      <c r="D9" s="180" t="s">
        <v>721</v>
      </c>
    </row>
    <row r="10" spans="1:4" x14ac:dyDescent="0.2">
      <c r="A10">
        <v>1100</v>
      </c>
      <c r="B10" t="s">
        <v>702</v>
      </c>
      <c r="C10" s="178">
        <f>ROUND('DOE25'!L198+'DOE25'!L216+'DOE25'!L234+'DOE25'!L277+'DOE25'!L296+'DOE25'!L315,0)</f>
        <v>24354549</v>
      </c>
      <c r="D10" s="181">
        <f>ROUND((C10/$C$28)*100,1)</f>
        <v>41.8</v>
      </c>
    </row>
    <row r="11" spans="1:4" x14ac:dyDescent="0.2">
      <c r="A11">
        <v>1200</v>
      </c>
      <c r="B11" t="s">
        <v>703</v>
      </c>
      <c r="C11" s="178">
        <f>ROUND('DOE25'!L199+'DOE25'!L217+'DOE25'!L235+'DOE25'!L278+'DOE25'!L297+'DOE25'!L316,0)</f>
        <v>10161751</v>
      </c>
      <c r="D11" s="181">
        <f>ROUND((C11/$C$28)*100,1)</f>
        <v>17.399999999999999</v>
      </c>
    </row>
    <row r="12" spans="1:4" x14ac:dyDescent="0.2">
      <c r="A12">
        <v>1300</v>
      </c>
      <c r="B12" t="s">
        <v>704</v>
      </c>
      <c r="C12" s="178">
        <f>ROUND('DOE25'!L200+'DOE25'!L218+'DOE25'!L236+'DOE25'!L279+'DOE25'!L298+'DOE25'!L317,0)</f>
        <v>2020808</v>
      </c>
      <c r="D12" s="181">
        <f>ROUND((C12/$C$28)*100,1)</f>
        <v>3.5</v>
      </c>
    </row>
    <row r="13" spans="1:4" x14ac:dyDescent="0.2">
      <c r="A13">
        <v>1400</v>
      </c>
      <c r="B13" t="s">
        <v>705</v>
      </c>
      <c r="C13" s="178">
        <f>ROUND('DOE25'!L201+'DOE25'!L219+'DOE25'!L237+'DOE25'!L280+'DOE25'!L299+'DOE25'!L318,0)</f>
        <v>1138407</v>
      </c>
      <c r="D13" s="181">
        <f>ROUND((C13/$C$28)*100,1)</f>
        <v>2</v>
      </c>
    </row>
    <row r="14" spans="1:4" x14ac:dyDescent="0.2">
      <c r="D14" s="181"/>
    </row>
    <row r="15" spans="1:4" x14ac:dyDescent="0.2">
      <c r="A15">
        <v>2100</v>
      </c>
      <c r="B15" t="s">
        <v>706</v>
      </c>
      <c r="C15" s="178">
        <f>ROUND('DOE25'!L203+'DOE25'!L221+'DOE25'!L239+'DOE25'!L282+'DOE25'!L301+'DOE25'!L320,0)</f>
        <v>6252563</v>
      </c>
      <c r="D15" s="181">
        <f t="shared" ref="D15:D27" si="0">ROUND((C15/$C$28)*100,1)</f>
        <v>10.7</v>
      </c>
    </row>
    <row r="16" spans="1:4" x14ac:dyDescent="0.2">
      <c r="A16">
        <v>2200</v>
      </c>
      <c r="B16" t="s">
        <v>707</v>
      </c>
      <c r="C16" s="178">
        <f>ROUND('DOE25'!L204+'DOE25'!L222+'DOE25'!L240+'DOE25'!L283+'DOE25'!L302+'DOE25'!L321,0)</f>
        <v>1167213</v>
      </c>
      <c r="D16" s="181">
        <f t="shared" si="0"/>
        <v>2</v>
      </c>
    </row>
    <row r="17" spans="1:4" x14ac:dyDescent="0.2">
      <c r="A17" s="182" t="s">
        <v>723</v>
      </c>
      <c r="B17" t="s">
        <v>738</v>
      </c>
      <c r="C17" s="178">
        <f>ROUND('DOE25'!L205+'DOE25'!L210+'DOE25'!L223+'DOE25'!L228+'DOE25'!L241+'DOE25'!L246+'DOE25'!L284+'DOE25'!L289+'DOE25'!L303+'DOE25'!L308+'DOE25'!L322+'DOE25'!L327,0)</f>
        <v>2993354</v>
      </c>
      <c r="D17" s="181">
        <f t="shared" si="0"/>
        <v>5.0999999999999996</v>
      </c>
    </row>
    <row r="18" spans="1:4" x14ac:dyDescent="0.2">
      <c r="A18">
        <v>2400</v>
      </c>
      <c r="B18" t="s">
        <v>711</v>
      </c>
      <c r="C18" s="178">
        <f>ROUND('DOE25'!L206+'DOE25'!L224+'DOE25'!L242+'DOE25'!L285+'DOE25'!L304+'DOE25'!L323,0)</f>
        <v>2939332</v>
      </c>
      <c r="D18" s="181">
        <f t="shared" si="0"/>
        <v>5</v>
      </c>
    </row>
    <row r="19" spans="1:4" x14ac:dyDescent="0.2">
      <c r="A19">
        <v>2500</v>
      </c>
      <c r="B19" t="s">
        <v>708</v>
      </c>
      <c r="C19" s="178">
        <f>ROUND('DOE25'!L207+'DOE25'!L225+'DOE25'!L243+'DOE25'!L286+'DOE25'!L305+'DOE25'!L324,0)</f>
        <v>588493</v>
      </c>
      <c r="D19" s="181">
        <f t="shared" si="0"/>
        <v>1</v>
      </c>
    </row>
    <row r="20" spans="1:4" x14ac:dyDescent="0.2">
      <c r="A20">
        <v>2600</v>
      </c>
      <c r="B20" t="s">
        <v>709</v>
      </c>
      <c r="C20" s="178">
        <f>ROUND('DOE25'!L208+'DOE25'!L226+'DOE25'!L244+'DOE25'!L287+'DOE25'!L306+'DOE25'!L325,0)</f>
        <v>4283098</v>
      </c>
      <c r="D20" s="181">
        <f t="shared" si="0"/>
        <v>7.3</v>
      </c>
    </row>
    <row r="21" spans="1:4" x14ac:dyDescent="0.2">
      <c r="A21">
        <v>2700</v>
      </c>
      <c r="B21" t="s">
        <v>710</v>
      </c>
      <c r="C21" s="178">
        <f>ROUND('DOE25'!L209+'DOE25'!L227+'DOE25'!L245+'DOE25'!L288+'DOE25'!L307+'DOE25'!L326,0)</f>
        <v>1405541</v>
      </c>
      <c r="D21" s="181">
        <f t="shared" si="0"/>
        <v>2.4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991691.7</v>
      </c>
      <c r="D27" s="181">
        <f t="shared" si="0"/>
        <v>1.7</v>
      </c>
    </row>
    <row r="28" spans="1:4" x14ac:dyDescent="0.2">
      <c r="B28" s="186" t="s">
        <v>719</v>
      </c>
      <c r="C28" s="179">
        <f>SUM(C10:C27)</f>
        <v>58296800.700000003</v>
      </c>
      <c r="D28" s="183">
        <f>ROUND(SUM(D10:D27),0)</f>
        <v>100</v>
      </c>
    </row>
    <row r="29" spans="1:4" x14ac:dyDescent="0.2">
      <c r="A29">
        <v>4000</v>
      </c>
      <c r="B29" t="s">
        <v>724</v>
      </c>
      <c r="C29" s="178">
        <f>ROUND('DOE25'!L256+'DOE25'!L337+'DOE25'!L375+'DOE25'!L376+'DOE25'!L377+'DOE25'!L378+'DOE25'!L379+'DOE25'!L380+'DOE25'!L381,0)</f>
        <v>33942</v>
      </c>
    </row>
    <row r="30" spans="1:4" x14ac:dyDescent="0.2">
      <c r="B30" s="186" t="s">
        <v>725</v>
      </c>
      <c r="C30" s="179">
        <f>SUM(C28:C29)</f>
        <v>58330742.700000003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32909983</v>
      </c>
      <c r="D35" s="181">
        <f t="shared" ref="D35:D40" si="1">ROUND((C35/$C$41)*100,1)</f>
        <v>56.1</v>
      </c>
    </row>
    <row r="36" spans="1:4" x14ac:dyDescent="0.2">
      <c r="B36" s="184" t="s">
        <v>739</v>
      </c>
      <c r="C36" s="178">
        <f>SUM('DOE25'!F112:J112)-SUM('DOE25'!G97:G110)+('DOE25'!F175+'DOE25'!F176+'DOE25'!I175+'DOE25'!I176)-C35</f>
        <v>8163920.5600000024</v>
      </c>
      <c r="D36" s="181">
        <f t="shared" si="1"/>
        <v>13.9</v>
      </c>
    </row>
    <row r="37" spans="1:4" x14ac:dyDescent="0.2">
      <c r="A37" s="182" t="s">
        <v>835</v>
      </c>
      <c r="B37" s="184" t="s">
        <v>728</v>
      </c>
      <c r="C37" s="178">
        <f>ROUND('DOE25'!F117+'DOE25'!F118,0)</f>
        <v>12043851</v>
      </c>
      <c r="D37" s="181">
        <f t="shared" si="1"/>
        <v>20.5</v>
      </c>
    </row>
    <row r="38" spans="1:4" x14ac:dyDescent="0.2">
      <c r="A38" s="182" t="s">
        <v>734</v>
      </c>
      <c r="B38" s="184" t="s">
        <v>729</v>
      </c>
      <c r="C38" s="178">
        <f>ROUND(SUM('DOE25'!F140:J140)-SUM('DOE25'!F117:F119),0)</f>
        <v>2164774</v>
      </c>
      <c r="D38" s="181">
        <f t="shared" si="1"/>
        <v>3.7</v>
      </c>
    </row>
    <row r="39" spans="1:4" x14ac:dyDescent="0.2">
      <c r="A39">
        <v>4000</v>
      </c>
      <c r="B39" s="184" t="s">
        <v>730</v>
      </c>
      <c r="C39" s="178">
        <f>ROUND('DOE25'!F170+'DOE25'!G170+'DOE25'!H170+'DOE25'!I170,0)</f>
        <v>3426420</v>
      </c>
      <c r="D39" s="181">
        <f t="shared" si="1"/>
        <v>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58708948.560000002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Portsmouth</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56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76</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177</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208</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230</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f>IF('School Level Expenditures'!$B$2='School Tables'!L59,'School Tables'!S59,"")</f>
        <v>56</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f>IF('School Level Expenditures'!$B$2='School Tables'!W79,'School Tables'!AD79,"")</f>
        <v>76</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f>IF('School Level Expenditures'!$B$2=A166,'School Tables'!H166,"")</f>
        <v>163</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f>IF('School Level Expenditures'!$B$2=A180,'School Tables'!H180,"")</f>
        <v>177</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f>IF('School Level Expenditures'!$B$2=A211,'School Tables'!H211,"")</f>
        <v>208</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f>IF('School Level Expenditures'!$B$2=A233,'School Tables'!H233,"")</f>
        <v>230</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2022-10-02T18:34:16Z</cp:lastPrinted>
  <dcterms:created xsi:type="dcterms:W3CDTF">1997-12-04T19:04:30Z</dcterms:created>
  <dcterms:modified xsi:type="dcterms:W3CDTF">2022-12-20T16:09:24Z</dcterms:modified>
</cp:coreProperties>
</file>