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48804653-2D6C-447E-94C9-7DD65410313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 i="1" l="1"/>
  <c r="H224" i="1" l="1"/>
  <c r="K223" i="1"/>
  <c r="H223" i="1"/>
  <c r="F50" i="1"/>
  <c r="J595" i="1"/>
  <c r="I596" i="1"/>
  <c r="I595" i="1"/>
  <c r="G529" i="1"/>
  <c r="F529" i="1"/>
  <c r="G524" i="1"/>
  <c r="F524" i="1"/>
  <c r="F523" i="1"/>
  <c r="G217" i="1"/>
  <c r="F217" i="1"/>
  <c r="H216" i="1"/>
  <c r="F216" i="1"/>
  <c r="H227" i="1"/>
  <c r="G219" i="1"/>
  <c r="H246" i="1"/>
  <c r="G234" i="1"/>
  <c r="F234" i="1"/>
  <c r="F110" i="1"/>
  <c r="H228" i="1"/>
  <c r="G227" i="1"/>
  <c r="F227" i="1"/>
  <c r="I227" i="1"/>
  <c r="G224" i="1"/>
  <c r="F224" i="1"/>
  <c r="H221" i="1"/>
  <c r="K219" i="1"/>
  <c r="H219" i="1"/>
  <c r="F218" i="1"/>
  <c r="I217" i="1"/>
  <c r="H217" i="1"/>
  <c r="J216" i="1"/>
  <c r="J473" i="1"/>
  <c r="G97" i="1" l="1"/>
  <c r="H48" i="1"/>
  <c r="H9" i="1"/>
  <c r="H469" i="1"/>
  <c r="G315" i="1"/>
  <c r="K322" i="1"/>
  <c r="G316" i="1"/>
  <c r="F315" i="1"/>
  <c r="H30" i="1"/>
  <c r="H12" i="1"/>
  <c r="H154"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E124" i="2" s="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J111" i="1"/>
  <c r="J112" i="1" s="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C125"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I170" i="1"/>
  <c r="H125" i="2" l="1"/>
  <c r="H89" i="2"/>
  <c r="H72" i="2"/>
  <c r="H59" i="2"/>
  <c r="H35" i="2"/>
  <c r="H143" i="2"/>
  <c r="F409" i="1"/>
  <c r="H644" i="1" s="1"/>
  <c r="H101" i="2"/>
  <c r="H100" i="2"/>
  <c r="H98" i="2"/>
  <c r="H79" i="2"/>
  <c r="H76" i="2"/>
  <c r="H58" i="2"/>
  <c r="G663" i="1"/>
  <c r="J652" i="1"/>
  <c r="C119" i="2"/>
  <c r="C110" i="2"/>
  <c r="D15" i="13"/>
  <c r="C15" i="13" s="1"/>
  <c r="C120" i="2"/>
  <c r="H120" i="2" s="1"/>
  <c r="C13" i="10"/>
  <c r="H9" i="2"/>
  <c r="H11" i="2"/>
  <c r="H87" i="2"/>
  <c r="D18" i="13"/>
  <c r="C18" i="13" s="1"/>
  <c r="H477" i="1"/>
  <c r="H625" i="1" s="1"/>
  <c r="J625" i="1" s="1"/>
  <c r="G477" i="1"/>
  <c r="H624" i="1" s="1"/>
  <c r="J624" i="1" s="1"/>
  <c r="H97" i="2"/>
  <c r="H94" i="2"/>
  <c r="H69" i="2"/>
  <c r="H61" i="2"/>
  <c r="H29" i="2"/>
  <c r="H25" i="2"/>
  <c r="H17" i="2"/>
  <c r="H8" i="2"/>
  <c r="H47" i="2"/>
  <c r="D144" i="2"/>
  <c r="E112" i="2"/>
  <c r="H93" i="2"/>
  <c r="H80" i="2"/>
  <c r="H30" i="2"/>
  <c r="H27" i="2"/>
  <c r="H22" i="2"/>
  <c r="H12" i="2"/>
  <c r="H113" i="2"/>
  <c r="I112" i="1"/>
  <c r="H38" i="2"/>
  <c r="H44" i="2"/>
  <c r="E121" i="2"/>
  <c r="G409" i="1"/>
  <c r="H646" i="1" s="1"/>
  <c r="I409" i="1"/>
  <c r="H135" i="2"/>
  <c r="H112" i="2"/>
  <c r="H102" i="2"/>
  <c r="H99" i="2"/>
  <c r="H34" i="2"/>
  <c r="H23" i="2"/>
  <c r="H15" i="2"/>
  <c r="H13" i="2"/>
  <c r="J140" i="1"/>
  <c r="A40" i="12"/>
  <c r="C32" i="10"/>
  <c r="C121" i="2"/>
  <c r="H121" i="2" s="1"/>
  <c r="D6" i="13"/>
  <c r="C6" i="13" s="1"/>
  <c r="C12" i="10"/>
  <c r="E13" i="13"/>
  <c r="C13" i="13" s="1"/>
  <c r="H96" i="2"/>
  <c r="H77" i="2"/>
  <c r="H28" i="2"/>
  <c r="H24" i="2"/>
  <c r="H132" i="2"/>
  <c r="G662" i="1"/>
  <c r="H36" i="2"/>
  <c r="H43" i="2"/>
  <c r="H48"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H110" i="2"/>
  <c r="F194" i="1"/>
  <c r="G628" i="1" s="1"/>
  <c r="J628" i="1" s="1"/>
  <c r="I663" i="1"/>
  <c r="H118" i="2"/>
  <c r="H109" i="2"/>
  <c r="H62" i="2"/>
  <c r="E51" i="2"/>
  <c r="H18" i="2"/>
  <c r="H31" i="2"/>
  <c r="H50" i="2"/>
  <c r="E115" i="2"/>
  <c r="E145" i="2" s="1"/>
  <c r="F661" i="1"/>
  <c r="F665" i="1" s="1"/>
  <c r="F668" i="1" s="1"/>
  <c r="H42" i="2"/>
  <c r="D128" i="2"/>
  <c r="D145" i="2" s="1"/>
  <c r="H127" i="2"/>
  <c r="C81" i="2"/>
  <c r="H81" i="2" s="1"/>
  <c r="H78" i="2"/>
  <c r="H85" i="2"/>
  <c r="H16" i="2"/>
  <c r="L572" i="1"/>
  <c r="B33" i="16"/>
  <c r="H57" i="2"/>
  <c r="H103" i="2"/>
  <c r="H91" i="2"/>
  <c r="H21" i="2"/>
  <c r="H134"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H673" i="1"/>
  <c r="C6" i="10" s="1"/>
  <c r="H51" i="2"/>
  <c r="C144" i="2"/>
  <c r="C145" i="2" s="1"/>
  <c r="H141" i="2"/>
  <c r="C104" i="2"/>
  <c r="H104" i="2" s="1"/>
  <c r="H63" i="2"/>
  <c r="H128"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<sst xmlns="http://schemas.openxmlformats.org/spreadsheetml/2006/main" count="6537" uniqueCount="1804">
  <si>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</si>
  <si>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</si>
  <si>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</si>
  <si>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</si>
  <si>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</si>
  <si>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</si>
  <si>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</si>
  <si>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</si>
  <si>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</si>
  <si>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</si>
  <si>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</si>
  <si>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</si>
  <si>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</si>
  <si>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</si>
  <si>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</si>
  <si>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</si>
  <si>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</si>
  <si>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</si>
  <si>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</si>
  <si>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</si>
  <si>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</si>
  <si>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</si>
  <si>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</si>
  <si>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</si>
  <si>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</si>
  <si>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</si>
  <si>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</si>
  <si>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</si>
  <si>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</si>
  <si>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</si>
  <si>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</si>
  <si>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</si>
  <si>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</si>
  <si>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</si>
  <si>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</si>
  <si>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</si>
  <si>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</si>
  <si>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</si>
  <si>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</si>
  <si>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</si>
  <si>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</si>
  <si>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</si>
  <si>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</si>
  <si>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</si>
  <si>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</si>
  <si>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</si>
  <si>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</si>
  <si>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</si>
  <si>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</si>
  <si>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</si>
  <si>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</si>
  <si>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</si>
  <si>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</si>
  <si>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</si>
  <si>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</si>
  <si>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</si>
  <si>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</si>
  <si>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</si>
  <si>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</si>
  <si>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</si>
  <si>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</si>
  <si>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</si>
  <si>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</si>
  <si>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</si>
  <si>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</si>
  <si>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</si>
  <si>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</si>
  <si>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</si>
  <si>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</si>
  <si>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</si>
  <si>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</si>
  <si>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</si>
  <si>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</si>
  <si>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</si>
  <si>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</si>
  <si>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</si>
  <si>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</si>
  <si>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</si>
  <si>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</si>
  <si>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</si>
  <si>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</si>
  <si>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</si>
  <si>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</si>
  <si>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</si>
  <si>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</si>
  <si>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</si>
  <si>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</si>
  <si>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</si>
  <si>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</si>
  <si>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</si>
  <si>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</si>
  <si>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</si>
  <si>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</si>
  <si>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</si>
  <si>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</si>
  <si>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</si>
  <si>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</si>
  <si>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</si>
  <si>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</si>
  <si>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</si>
  <si>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</si>
  <si>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</si>
  <si>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</si>
  <si>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</si>
  <si>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</si>
  <si>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</si>
  <si>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</si>
  <si>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</si>
  <si>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</si>
  <si>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</si>
  <si>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</si>
  <si>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</si>
  <si>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</si>
  <si>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</si>
  <si>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</si>
  <si>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</si>
  <si>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</si>
  <si>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</si>
  <si>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</si>
  <si>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</si>
  <si>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</si>
  <si>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</si>
  <si>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</si>
  <si>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</si>
  <si>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</si>
  <si>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</si>
  <si>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</si>
  <si>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</si>
  <si>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</si>
  <si>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</si>
  <si>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</si>
  <si>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</si>
  <si>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</si>
  <si>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</si>
  <si>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</si>
  <si>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</si>
  <si>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</si>
  <si>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</si>
  <si>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</si>
  <si>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</si>
  <si>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</si>
  <si>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</si>
  <si>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</si>
  <si>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</si>
  <si>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</si>
  <si>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</si>
  <si>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</si>
  <si>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</si>
  <si>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</si>
  <si>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</si>
  <si>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</si>
  <si>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</si>
  <si>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</si>
  <si>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</si>
  <si>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</si>
  <si>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</si>
  <si>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</si>
  <si>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</si>
  <si>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</si>
  <si>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</si>
  <si>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</si>
  <si>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</si>
  <si>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</si>
  <si>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</si>
  <si>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</si>
  <si>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</si>
  <si>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</si>
  <si>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</si>
  <si>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</si>
  <si>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</si>
  <si>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</si>
  <si>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</si>
  <si>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</si>
  <si>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</si>
  <si>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</si>
  <si>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</si>
  <si>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</si>
  <si>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</si>
  <si>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</si>
  <si>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</si>
  <si>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</si>
  <si>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</si>
  <si>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</si>
  <si>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</si>
  <si>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</si>
  <si>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</si>
  <si>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</si>
  <si>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</si>
  <si>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</si>
  <si>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</si>
  <si>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</si>
  <si>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</si>
  <si>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</si>
  <si>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</si>
  <si>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</si>
  <si>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</si>
  <si>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</si>
  <si>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</si>
  <si>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</si>
  <si>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</si>
  <si>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</si>
  <si>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</si>
  <si>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</si>
  <si>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</si>
  <si>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</si>
  <si>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</si>
  <si>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</si>
  <si>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</si>
  <si>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</si>
  <si>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</si>
  <si>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</si>
  <si>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</si>
  <si>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</si>
  <si>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</si>
  <si>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</si>
  <si>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</si>
  <si>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</si>
  <si>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</si>
  <si>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</si>
  <si>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</si>
  <si>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</si>
  <si>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</si>
  <si>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</si>
  <si>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</si>
  <si>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</si>
  <si>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</si>
  <si>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</si>
  <si>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</si>
  <si>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</si>
  <si>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</si>
  <si>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</si>
  <si>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</si>
  <si>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</si>
  <si>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</si>
  <si>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</si>
  <si>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</si>
  <si>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</si>
  <si>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</si>
  <si>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</si>
  <si>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</si>
  <si>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</si>
  <si>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</si>
  <si>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</si>
  <si>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</si>
  <si>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</si>
  <si>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</si>
  <si>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</si>
  <si>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</si>
  <si>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</si>
  <si>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</si>
  <si>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</si>
  <si>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</si>
  <si>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</si>
  <si>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</si>
  <si>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</si>
  <si>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</si>
  <si>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</si>
  <si>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</si>
  <si>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</si>
  <si>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</si>
  <si>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</si>
  <si>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</si>
  <si>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</si>
  <si>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</si>
  <si>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</si>
  <si>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</si>
  <si>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</si>
  <si>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</si>
  <si>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</si>
  <si>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</si>
  <si>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</si>
  <si>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</si>
  <si>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</si>
  <si>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</si>
  <si>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</si>
  <si>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</si>
  <si>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</si>
  <si>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</si>
  <si>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</si>
  <si>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</si>
  <si>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</si>
  <si>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</si>
  <si>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</si>
  <si>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</si>
  <si>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</si>
  <si>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</si>
  <si>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</si>
  <si>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</si>
  <si>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</si>
  <si>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</si>
  <si>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</si>
  <si>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</si>
  <si>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</si>
  <si>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</si>
  <si>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</si>
  <si>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</si>
  <si>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</si>
  <si>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</si>
  <si>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</si>
  <si>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</si>
  <si>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</si>
  <si>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</si>
  <si>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</si>
  <si>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</si>
  <si>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</si>
  <si>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</si>
  <si>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</si>
  <si>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</si>
  <si>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</si>
  <si>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</si>
  <si>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</si>
  <si>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</si>
  <si>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</si>
  <si>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</si>
  <si>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</si>
  <si>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</si>
  <si>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</si>
  <si>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</si>
  <si>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</si>
  <si>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</si>
  <si>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</si>
  <si>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</si>
  <si>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</si>
  <si>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</si>
  <si>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</si>
  <si>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</si>
  <si>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</si>
  <si>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</si>
  <si>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</si>
  <si>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</si>
  <si>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</si>
  <si>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</si>
  <si>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</si>
  <si>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</si>
  <si>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</si>
  <si>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</si>
  <si>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</si>
  <si>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</si>
  <si>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</si>
  <si>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</si>
  <si>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</si>
  <si>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</si>
  <si>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</si>
  <si>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</si>
  <si>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</si>
  <si>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</si>
  <si>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</si>
  <si>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</si>
  <si>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</si>
  <si>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</si>
  <si>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</si>
  <si>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</si>
  <si>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</si>
  <si>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</si>
  <si>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</si>
  <si>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</si>
  <si>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</si>
  <si>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</si>
  <si>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</si>
  <si>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</si>
  <si>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</si>
  <si>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</si>
  <si>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</si>
  <si>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</si>
  <si>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</si>
  <si>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</si>
  <si>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</si>
  <si>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</si>
  <si>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</si>
  <si>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</si>
  <si>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</si>
  <si>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</si>
  <si>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</si>
  <si>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</si>
  <si>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</si>
  <si>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</si>
  <si>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</si>
  <si>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</si>
  <si>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</si>
  <si>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</si>
  <si>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</si>
  <si>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</si>
  <si>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</si>
  <si>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</si>
  <si>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</si>
  <si>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</si>
  <si>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</si>
  <si>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</si>
  <si>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</si>
  <si>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</si>
  <si>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</si>
  <si>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</si>
  <si>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</si>
  <si>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</si>
  <si>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</si>
  <si>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</si>
  <si>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</si>
  <si>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</si>
  <si>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</si>
  <si>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</si>
  <si>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</si>
  <si>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</si>
  <si>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</si>
  <si>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</si>
  <si>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</si>
  <si>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</si>
  <si>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</si>
  <si>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</si>
  <si>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</si>
  <si>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</si>
  <si>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</si>
  <si>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</si>
  <si>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</si>
  <si>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</si>
  <si>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</si>
  <si>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</si>
  <si>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</si>
  <si>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</si>
  <si>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</si>
  <si>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</si>
  <si>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</si>
  <si>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</si>
  <si>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</si>
  <si>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</si>
  <si>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</si>
  <si>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</si>
  <si>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</si>
  <si>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</si>
  <si>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</si>
  <si>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</si>
  <si>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</si>
  <si>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</si>
  <si>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</si>
  <si>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</si>
  <si>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</si>
  <si>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</si>
  <si>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</si>
  <si>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</si>
  <si>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</si>
  <si>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</si>
  <si>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</si>
  <si>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</si>
  <si>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</si>
  <si>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</si>
  <si>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</si>
  <si>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</si>
  <si>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</si>
  <si>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</si>
  <si>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</si>
  <si>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</si>
  <si>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</si>
  <si>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</si>
  <si>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</si>
  <si>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</si>
  <si>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</si>
  <si>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</si>
  <si>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</si>
  <si>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</si>
  <si>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</si>
  <si>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</si>
  <si>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</si>
  <si>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</si>
  <si>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</si>
  <si>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</si>
  <si>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</si>
  <si>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</si>
  <si>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</si>
  <si>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</si>
  <si>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</si>
  <si>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</si>
  <si>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</si>
  <si>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</si>
  <si>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</si>
  <si>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</si>
  <si>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</si>
  <si>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</si>
  <si>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</si>
  <si>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</si>
  <si>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</si>
  <si>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</si>
  <si>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</si>
  <si>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</si>
  <si>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</si>
  <si>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</si>
  <si>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</si>
  <si>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</si>
  <si>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</si>
  <si>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</si>
  <si>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</si>
  <si>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</si>
  <si>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</si>
  <si>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</si>
  <si>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</si>
  <si>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</si>
  <si>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</si>
  <si>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</si>
  <si>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</si>
  <si>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</si>
  <si>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</si>
  <si>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</si>
  <si>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</si>
  <si>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</si>
  <si>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</si>
  <si>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</si>
  <si>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</si>
  <si>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</si>
  <si>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</si>
  <si>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</si>
  <si>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</si>
  <si>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</si>
  <si>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</si>
  <si>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</si>
  <si>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</si>
  <si>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</si>
  <si>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</si>
  <si>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</si>
  <si>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</si>
  <si>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</si>
  <si>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</si>
  <si>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</si>
  <si>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</si>
  <si>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</si>
  <si>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</si>
  <si>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</si>
  <si>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</si>
  <si>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</si>
  <si>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</si>
  <si>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</si>
  <si>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</si>
  <si>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</si>
  <si>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</si>
  <si>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</si>
  <si>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</si>
  <si>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</si>
  <si>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</si>
  <si>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</si>
  <si>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</si>
  <si>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</si>
  <si>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</si>
  <si>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</si>
  <si>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</si>
  <si>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</si>
  <si>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</si>
  <si>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</si>
  <si>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</si>
  <si>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</si>
  <si>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</si>
  <si>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</si>
  <si>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</si>
  <si>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</si>
  <si>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</si>
  <si>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</si>
  <si>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</si>
  <si>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</si>
  <si>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</si>
  <si>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</si>
  <si>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</si>
  <si>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</si>
  <si>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</si>
  <si>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</si>
  <si>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</si>
  <si>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</si>
  <si>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</si>
  <si>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</si>
  <si>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</si>
  <si>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</si>
  <si>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</si>
  <si>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</si>
  <si>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</si>
  <si>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</si>
  <si>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</si>
  <si>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</si>
  <si>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</si>
  <si>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</si>
  <si>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</si>
  <si>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</si>
  <si>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</si>
  <si>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</si>
  <si>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</si>
  <si>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</si>
  <si>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</si>
  <si>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</si>
  <si>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</si>
  <si>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</si>
  <si>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</si>
  <si>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</si>
  <si>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</si>
  <si>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</si>
  <si>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</si>
  <si>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</si>
  <si>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</si>
  <si>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</si>
  <si>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</si>
  <si>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</si>
  <si>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</si>
  <si>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</si>
  <si>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</si>
  <si>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</si>
  <si>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</si>
  <si>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</si>
  <si>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</si>
  <si>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</si>
  <si>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</si>
  <si>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</si>
  <si>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</si>
  <si>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</si>
  <si>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</si>
  <si>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</si>
  <si>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</si>
  <si>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</si>
  <si>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</si>
  <si>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</si>
  <si>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</si>
  <si>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</si>
  <si>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</si>
  <si>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</si>
  <si>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</si>
  <si>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</si>
  <si>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</si>
  <si>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</si>
  <si>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</si>
  <si>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</si>
  <si>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</si>
  <si>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</si>
  <si>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</si>
  <si>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</si>
  <si>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</si>
  <si>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</si>
  <si>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</si>
  <si>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</si>
  <si>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</si>
  <si>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</si>
  <si>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</si>
  <si>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</si>
  <si>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</si>
  <si>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</si>
  <si>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</si>
  <si>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</si>
  <si>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</si>
  <si>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</si>
  <si>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</si>
  <si>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</si>
  <si>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</si>
  <si>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</si>
  <si>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</si>
  <si>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</si>
  <si>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</si>
  <si>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</si>
  <si>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</si>
  <si>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</si>
  <si>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</si>
  <si>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</si>
  <si>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</si>
  <si>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</si>
  <si>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</si>
  <si>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</si>
  <si>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</si>
  <si>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</si>
  <si>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</si>
  <si>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</si>
  <si>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</si>
  <si>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</si>
  <si>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</si>
  <si>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</si>
  <si>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</si>
  <si>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</si>
  <si>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</si>
  <si>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</si>
  <si>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</si>
  <si>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</si>
  <si>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</si>
  <si>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</si>
  <si>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</si>
  <si>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</si>
  <si>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</si>
  <si>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</si>
  <si>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</si>
  <si>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</si>
  <si>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</si>
  <si>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</si>
  <si>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</si>
  <si>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</si>
  <si>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</si>
  <si>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</si>
  <si>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</si>
  <si>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</si>
  <si>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</si>
  <si>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</si>
  <si>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</si>
  <si>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</si>
  <si>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</si>
  <si>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</si>
  <si>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</si>
  <si>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</si>
  <si>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</si>
  <si>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</si>
  <si>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</si>
  <si>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</si>
  <si>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</si>
  <si>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</si>
  <si>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</si>
  <si>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</si>
  <si>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</si>
  <si>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</si>
  <si>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</si>
  <si>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</si>
  <si>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</si>
  <si>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</si>
  <si>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</si>
  <si>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</si>
  <si>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</si>
  <si>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</si>
  <si>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</si>
  <si>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</si>
  <si>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</si>
  <si>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</si>
  <si>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</si>
  <si>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</si>
  <si>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</si>
  <si>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</si>
  <si>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</si>
  <si>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</si>
  <si>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</si>
  <si>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</si>
  <si>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</si>
  <si>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</si>
  <si>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</si>
  <si>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</si>
  <si>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</si>
  <si>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</si>
  <si>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</si>
  <si>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</si>
  <si>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</si>
  <si>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</si>
  <si>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</si>
  <si>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</si>
  <si>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</si>
  <si>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</si>
  <si>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</si>
  <si>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</si>
  <si>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</si>
  <si>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</si>
  <si>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</si>
  <si>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</si>
  <si>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</si>
  <si>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</si>
  <si>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</si>
  <si>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</si>
  <si>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</si>
  <si>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</si>
  <si>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</si>
  <si>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</si>
  <si>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</si>
  <si>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</si>
  <si>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</si>
  <si>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</si>
  <si>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</si>
  <si>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</si>
  <si>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</si>
  <si>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</si>
  <si>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</si>
  <si>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</si>
  <si>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</si>
  <si>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</si>
  <si>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</si>
  <si>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</si>
  <si>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</si>
  <si>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</si>
  <si>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</si>
  <si>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</si>
  <si>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</si>
  <si>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</si>
  <si>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</si>
  <si>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</si>
  <si>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</si>
  <si>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</si>
  <si>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</si>
  <si>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</si>
  <si>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</si>
  <si>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</si>
  <si>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</si>
  <si>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</si>
  <si>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</si>
  <si>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</si>
  <si>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</si>
  <si>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</si>
  <si>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</si>
  <si>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</si>
  <si>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</si>
  <si>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</si>
  <si>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</si>
  <si>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</si>
  <si>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</si>
  <si>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</si>
  <si>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</si>
  <si>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</si>
  <si>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</si>
  <si>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</si>
  <si>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</si>
  <si>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</si>
  <si>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</si>
  <si>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</si>
  <si>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</si>
  <si>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</si>
  <si>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</si>
  <si>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</si>
  <si>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</si>
  <si>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</si>
  <si>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</si>
  <si>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</si>
  <si>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</si>
  <si>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</si>
  <si>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</si>
  <si>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</si>
  <si>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</si>
  <si>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</si>
  <si>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</si>
  <si>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</si>
  <si>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</si>
  <si>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</si>
  <si>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</si>
  <si>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</si>
  <si>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</si>
  <si>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</si>
  <si>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</si>
  <si>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</si>
  <si>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</si>
  <si>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</si>
  <si>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</si>
  <si>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</si>
  <si>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</si>
  <si>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</si>
  <si>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</si>
  <si>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</si>
  <si>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</si>
  <si>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</si>
  <si>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</si>
  <si>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</si>
  <si>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</si>
  <si>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</si>
  <si>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</si>
  <si>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</si>
  <si>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</si>
  <si>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</si>
  <si>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</si>
  <si>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</si>
  <si>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</si>
  <si>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</si>
  <si>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</si>
  <si>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</si>
  <si>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</si>
  <si>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</si>
  <si>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</si>
  <si>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</si>
  <si>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</si>
  <si>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</si>
  <si>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</si>
  <si>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</si>
  <si>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</si>
  <si>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</si>
  <si>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</si>
  <si>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</si>
  <si>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</si>
  <si>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</si>
  <si>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</si>
  <si>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</si>
  <si>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</si>
  <si>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</si>
  <si>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</si>
  <si>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</si>
  <si>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</si>
  <si>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</si>
  <si>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</si>
  <si>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</si>
  <si>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</si>
  <si>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</si>
  <si>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</si>
  <si>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</si>
  <si>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</si>
  <si>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</si>
  <si>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</si>
  <si>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</si>
  <si>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</si>
  <si>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</si>
  <si>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</si>
  <si>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</si>
  <si>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</si>
  <si>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</si>
  <si>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</si>
  <si>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</si>
  <si>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</si>
  <si>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</si>
  <si>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</si>
  <si>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</si>
  <si>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</si>
  <si>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</si>
  <si>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</si>
  <si>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</si>
  <si>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</si>
  <si>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</si>
  <si>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</si>
  <si>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</si>
  <si>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</si>
  <si>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</si>
  <si>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</si>
  <si>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</si>
  <si>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</si>
  <si>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</si>
  <si>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</si>
  <si>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</si>
  <si>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</si>
  <si>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</si>
  <si>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</si>
  <si>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</si>
  <si>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</si>
  <si>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</si>
  <si>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</si>
  <si>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</si>
  <si>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</si>
  <si>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</si>
  <si>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</si>
  <si>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</si>
  <si>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</si>
  <si>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</si>
  <si>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</si>
  <si>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</si>
  <si>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</si>
  <si>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</si>
  <si>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</si>
  <si>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</si>
  <si>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</si>
  <si>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</si>
  <si>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</si>
  <si>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</si>
  <si>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</si>
  <si>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</si>
  <si>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</si>
  <si>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</si>
  <si>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</si>
  <si>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</si>
  <si>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</si>
  <si>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</si>
  <si>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</si>
  <si>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</si>
  <si>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</si>
  <si>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</si>
  <si>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</si>
  <si>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</si>
  <si>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</si>
  <si>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</si>
  <si>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</si>
  <si>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</si>
  <si>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</si>
  <si>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</si>
  <si>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</si>
  <si>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</si>
  <si>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</si>
  <si>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</si>
  <si>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</si>
  <si>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</si>
  <si>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</si>
  <si>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</si>
  <si>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</si>
  <si>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</si>
  <si>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</si>
  <si>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</si>
  <si>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</si>
  <si>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</si>
  <si>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</si>
  <si>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</si>
  <si>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</si>
  <si>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</si>
  <si>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</si>
  <si>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</si>
  <si>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</si>
  <si>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</si>
  <si>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</si>
  <si>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</si>
  <si>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</si>
  <si>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</si>
  <si>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</si>
  <si>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</si>
  <si>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</si>
  <si>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</si>
  <si>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</si>
  <si>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</si>
  <si>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</si>
  <si>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</si>
  <si>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</si>
  <si>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</si>
  <si>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</si>
  <si>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</si>
  <si>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</si>
  <si>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</si>
  <si>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</si>
  <si>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</si>
  <si>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</si>
  <si>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</si>
  <si>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</si>
  <si>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</si>
  <si>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</si>
  <si>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</si>
  <si>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</si>
  <si>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</si>
  <si>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</si>
  <si>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</si>
  <si>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</si>
  <si>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</si>
  <si>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</si>
  <si>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</si>
  <si>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</si>
  <si>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</si>
  <si>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</si>
  <si>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</si>
  <si>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</si>
  <si>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</si>
  <si>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</si>
  <si>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</si>
  <si>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</si>
  <si>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</si>
  <si>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</si>
  <si>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</si>
  <si>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</si>
  <si>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</si>
  <si>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</si>
  <si>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</si>
  <si>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</si>
  <si>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</si>
  <si>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</si>
  <si>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</si>
  <si>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</si>
  <si>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</si>
  <si>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</si>
  <si>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</si>
  <si>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</si>
  <si>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</si>
  <si>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</si>
  <si>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</si>
  <si>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</si>
  <si>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</si>
  <si>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</si>
  <si>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</si>
  <si>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</si>
  <si>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</si>
  <si>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</si>
  <si>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</si>
  <si>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</si>
  <si>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</si>
  <si>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</si>
  <si>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</si>
  <si>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</si>
  <si>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</si>
  <si>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</si>
  <si>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</si>
  <si>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</si>
  <si>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</si>
  <si>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</si>
  <si>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</si>
  <si>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</si>
  <si>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</si>
  <si>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</si>
  <si>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</si>
  <si>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</si>
  <si>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</si>
  <si>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</si>
  <si>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</si>
  <si>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</si>
  <si>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</si>
  <si>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</si>
  <si>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</si>
  <si>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</si>
  <si>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</si>
  <si>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</si>
  <si>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</si>
  <si>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</si>
  <si>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</si>
  <si>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</si>
  <si>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</si>
  <si>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</si>
  <si>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</si>
  <si>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</si>
  <si>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</si>
  <si>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</si>
  <si>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</si>
  <si>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</si>
  <si>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</si>
  <si>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</si>
  <si>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</si>
  <si>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</si>
  <si>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</si>
  <si>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</si>
  <si>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</si>
  <si>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</si>
  <si>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</si>
  <si>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</si>
  <si>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</si>
  <si>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</si>
  <si>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</si>
  <si>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</si>
  <si>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</si>
  <si>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</si>
  <si>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</si>
  <si>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</si>
  <si>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</si>
  <si>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</si>
  <si>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</si>
  <si>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</si>
  <si>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</si>
  <si>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</si>
  <si>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</si>
  <si>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</si>
  <si>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</si>
  <si>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</si>
  <si>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</si>
  <si>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</si>
  <si>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</si>
  <si>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</si>
  <si>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</si>
  <si>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</si>
  <si>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</si>
  <si>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</si>
  <si>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</si>
  <si>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</si>
  <si>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</si>
  <si>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</si>
  <si>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</si>
  <si>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</si>
  <si>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</si>
  <si>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</si>
  <si>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</si>
  <si>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</si>
  <si>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</si>
  <si>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</si>
  <si>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</si>
  <si>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</si>
  <si>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</si>
  <si>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</si>
  <si>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</si>
  <si>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</si>
  <si>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</si>
  <si>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</si>
  <si>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</si>
  <si>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</si>
  <si>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</si>
  <si>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</si>
  <si>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</si>
  <si>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</si>
  <si>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</si>
  <si>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</si>
  <si>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</si>
  <si>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</si>
  <si>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</si>
  <si>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</si>
  <si>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</si>
  <si>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</si>
  <si>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</si>
  <si>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</si>
  <si>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</si>
  <si>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</si>
  <si>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</si>
  <si>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</si>
  <si>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</si>
  <si>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</si>
  <si>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</si>
  <si>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</si>
  <si>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</si>
  <si>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</si>
  <si>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</si>
  <si>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</si>
  <si>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</si>
  <si>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</si>
  <si>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</si>
  <si>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</si>
  <si>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</si>
  <si>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</si>
  <si>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</si>
  <si>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</si>
  <si>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</si>
  <si>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</si>
  <si>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</si>
  <si>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</si>
  <si>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</si>
  <si>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</si>
  <si>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</si>
  <si>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</si>
  <si>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</si>
  <si>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</si>
  <si>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</si>
  <si>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</si>
  <si>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</si>
  <si>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</si>
  <si>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</si>
  <si>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</si>
  <si>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</si>
  <si>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</si>
  <si>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</si>
  <si>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</si>
  <si>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</si>
  <si>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</si>
  <si>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</si>
  <si>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</si>
  <si>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</si>
  <si>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</si>
  <si>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</si>
  <si>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</si>
  <si>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</si>
  <si>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</si>
  <si>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</si>
  <si>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</si>
  <si>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</si>
  <si>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</si>
  <si>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</si>
  <si>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</si>
  <si>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</si>
  <si>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</si>
  <si>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</si>
  <si>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</si>
  <si>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</si>
  <si>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</si>
  <si>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</si>
  <si>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</si>
  <si>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</si>
  <si>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</si>
  <si>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</si>
  <si>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</si>
  <si>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</si>
  <si>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</si>
  <si>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</si>
  <si>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</si>
  <si>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</si>
  <si>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</si>
  <si>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</si>
  <si>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</si>
  <si>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</si>
  <si>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</si>
  <si>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</si>
  <si>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</si>
  <si>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</si>
  <si>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</si>
  <si>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</si>
  <si>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</si>
  <si>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</si>
  <si>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</si>
  <si>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</si>
  <si>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</si>
  <si>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</si>
  <si>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</si>
  <si>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</si>
  <si>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</si>
  <si>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</si>
  <si>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</si>
  <si>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</si>
  <si>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</si>
  <si>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</si>
  <si>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</si>
  <si>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</si>
  <si>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</si>
  <si>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</si>
  <si>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</si>
  <si>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</si>
  <si>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</si>
  <si>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</si>
  <si>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</si>
  <si>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</si>
  <si>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</si>
  <si>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</si>
  <si>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</si>
  <si>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</si>
  <si>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</si>
  <si>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</si>
  <si>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</si>
  <si>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</si>
  <si>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</si>
  <si>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</si>
  <si>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</si>
  <si>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</si>
  <si>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</si>
  <si>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</si>
  <si>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</si>
  <si>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</si>
  <si>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</si>
  <si>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</si>
  <si>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</si>
  <si>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</si>
  <si>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</si>
  <si>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</si>
  <si>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</si>
  <si>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</si>
  <si>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</si>
  <si>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</si>
  <si>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</si>
  <si>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</si>
  <si>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</si>
  <si>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</si>
  <si>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</si>
  <si>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</si>
  <si>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</si>
  <si>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</si>
  <si>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</si>
  <si>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</si>
  <si>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</si>
  <si>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</si>
  <si>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</si>
  <si>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</si>
  <si>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</si>
  <si>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</si>
  <si>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</si>
  <si>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</si>
  <si>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</si>
  <si>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</si>
  <si>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</si>
  <si>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</si>
  <si>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</si>
  <si>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</si>
  <si>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</si>
  <si>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</si>
  <si>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</si>
  <si>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</si>
  <si>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</si>
  <si>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</si>
  <si>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</si>
  <si>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</si>
  <si>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</si>
  <si>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</si>
  <si>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</si>
  <si>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</si>
  <si>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</si>
  <si>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</si>
  <si>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</si>
  <si>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</si>
  <si>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</si>
  <si>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</si>
  <si>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</si>
  <si>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</si>
  <si>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</si>
  <si>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</si>
  <si>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</si>
  <si>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</si>
  <si>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</si>
  <si>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</si>
  <si>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</si>
  <si>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</si>
  <si>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</si>
  <si>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</si>
  <si>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</si>
  <si>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</si>
  <si>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</si>
  <si>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</si>
  <si>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</si>
  <si>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</si>
  <si>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</si>
  <si>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</si>
  <si>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</si>
  <si>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</si>
  <si>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</si>
  <si>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</si>
  <si>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</si>
  <si>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</si>
  <si>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</si>
  <si>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</si>
  <si>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</si>
  <si>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</si>
  <si>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</si>
  <si>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</si>
  <si>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</si>
  <si>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</si>
  <si>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</si>
  <si>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</si>
  <si>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</si>
  <si>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</si>
  <si>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</si>
  <si>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</si>
  <si>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</si>
  <si>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</si>
  <si>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</si>
  <si>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</si>
  <si>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</si>
  <si>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</si>
  <si>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</si>
  <si>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</si>
  <si>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</si>
  <si>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</si>
  <si>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</si>
  <si>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</si>
  <si>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</si>
  <si>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</si>
  <si>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</si>
  <si>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</si>
  <si>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</si>
  <si>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</si>
  <si>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</si>
  <si>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</si>
  <si>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</si>
  <si>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</si>
  <si>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</si>
  <si>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</si>
  <si>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</si>
  <si>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</si>
  <si>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</si>
  <si>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</si>
  <si>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</si>
  <si>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</si>
  <si>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</si>
  <si>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</si>
  <si>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</si>
  <si>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</si>
  <si>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</si>
  <si>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</si>
  <si>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</si>
  <si>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</si>
  <si>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</si>
  <si>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</si>
  <si>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</si>
  <si>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</si>
  <si>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</si>
  <si>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</si>
  <si>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</si>
  <si>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</si>
  <si>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</si>
  <si>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</si>
  <si>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</si>
  <si>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</si>
  <si>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</si>
  <si>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</si>
  <si>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</si>
  <si>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</si>
  <si>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</si>
  <si>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</si>
  <si>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</si>
  <si>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</si>
  <si>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</si>
  <si>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</si>
  <si>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</si>
  <si>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</si>
  <si>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</si>
  <si>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</si>
  <si>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</si>
  <si>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</si>
  <si>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</si>
  <si>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</si>
  <si>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</si>
  <si>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</si>
  <si>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</si>
  <si>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</si>
  <si>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</si>
  <si>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</si>
  <si>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</si>
  <si>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</si>
  <si>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</si>
  <si>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</si>
  <si>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</si>
  <si>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</si>
  <si>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</si>
  <si>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</si>
  <si>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</si>
  <si>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</si>
  <si>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</si>
  <si>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</si>
  <si>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</si>
  <si>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</si>
  <si>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</si>
  <si>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</si>
  <si>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</si>
  <si>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</si>
  <si>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</si>
  <si>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</si>
  <si>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</si>
  <si>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</si>
  <si>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</si>
  <si>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</si>
  <si>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</si>
  <si>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</si>
  <si>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</si>
  <si>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</si>
  <si>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</si>
  <si>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</si>
  <si>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</si>
  <si>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</si>
  <si>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</si>
  <si>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</si>
  <si>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</si>
  <si>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</si>
  <si>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</si>
  <si>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</si>
  <si>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</si>
  <si>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</si>
  <si>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</si>
  <si>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</si>
  <si>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</si>
  <si>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</si>
  <si>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</si>
  <si>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</si>
  <si>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</si>
  <si>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</si>
  <si>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</si>
  <si>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</si>
  <si>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</si>
  <si>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</si>
  <si>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</si>
  <si>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</si>
  <si>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</si>
  <si>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</si>
  <si>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</si>
  <si>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</si>
  <si>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</si>
  <si>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</si>
  <si>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</si>
  <si>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</si>
  <si>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</si>
  <si>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</si>
  <si>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</si>
  <si>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</si>
  <si>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</si>
  <si>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</si>
  <si>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</si>
  <si>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</si>
  <si>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</si>
  <si>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</si>
  <si>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</si>
  <si>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</si>
  <si>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</si>
  <si>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</si>
  <si>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</si>
  <si>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</si>
  <si>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</si>
  <si>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</si>
  <si>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</si>
  <si>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</si>
  <si>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</si>
  <si>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</si>
  <si>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</si>
  <si>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</si>
  <si>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</si>
  <si>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</si>
  <si>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</si>
  <si>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</si>
  <si>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</si>
  <si>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</si>
  <si>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</si>
  <si>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</si>
  <si>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</si>
  <si>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</si>
  <si>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</si>
  <si>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</si>
  <si>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</si>
  <si>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</si>
  <si>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</si>
  <si>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</si>
  <si>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</si>
  <si>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</si>
  <si>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</si>
  <si>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</si>
  <si>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</si>
  <si>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</si>
  <si>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</si>
  <si>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</si>
  <si>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</si>
  <si>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</si>
  <si>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</si>
  <si>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</si>
  <si>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</si>
  <si>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</si>
  <si>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</si>
  <si>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</si>
  <si>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</si>
  <si>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</si>
  <si>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</si>
  <si>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</si>
  <si>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</si>
  <si>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</si>
  <si>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</si>
  <si>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</si>
  <si>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</si>
  <si>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</si>
  <si>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</si>
  <si>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</si>
  <si>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</si>
  <si>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</si>
  <si>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</si>
  <si>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</si>
  <si>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</si>
  <si>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</si>
  <si>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</si>
  <si>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</si>
  <si>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</si>
  <si>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</si>
  <si>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</si>
  <si>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</si>
  <si>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</si>
  <si>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</si>
  <si>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</si>
  <si>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</si>
  <si>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</si>
  <si>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</si>
  <si>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</si>
  <si>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</si>
  <si>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</si>
  <si>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</si>
  <si>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</si>
  <si>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</si>
  <si>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</si>
  <si>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</si>
  <si>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</si>
  <si>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</si>
  <si>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</si>
  <si>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</si>
  <si>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</si>
  <si>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</si>
  <si>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</si>
  <si>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</si>
  <si>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</si>
  <si>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</si>
  <si>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</si>
  <si>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</si>
  <si>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</si>
  <si>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</si>
  <si>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</si>
  <si>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</si>
  <si>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</si>
  <si>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</si>
  <si>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</si>
  <si>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</si>
  <si>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</si>
  <si>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</si>
  <si>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</si>
  <si>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</si>
  <si>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</si>
  <si>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</si>
  <si>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</si>
  <si>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</si>
  <si>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</si>
  <si>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</si>
  <si>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</si>
  <si>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</si>
  <si>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</si>
  <si>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</si>
  <si>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</si>
  <si>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</si>
  <si>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</si>
  <si>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</si>
  <si>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</si>
  <si>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</si>
  <si>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</si>
  <si>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</si>
  <si>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</si>
  <si>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</si>
  <si>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</si>
  <si>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</si>
  <si>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</si>
  <si>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</si>
  <si>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</si>
  <si>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</si>
  <si>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</si>
  <si>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</si>
  <si>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</si>
  <si>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</si>
  <si>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</si>
  <si>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</si>
  <si>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</si>
  <si>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</si>
  <si>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</si>
  <si>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</si>
  <si>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</si>
  <si>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</si>
  <si>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</si>
  <si>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</si>
  <si>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</si>
  <si>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</si>
  <si>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</si>
  <si>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</si>
  <si>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</si>
  <si>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</si>
  <si>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</si>
  <si>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</si>
  <si>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</si>
  <si>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</si>
  <si>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</si>
  <si>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</si>
  <si>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</si>
  <si>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</si>
  <si>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</si>
  <si>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</si>
  <si>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</si>
  <si>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</si>
  <si>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</si>
  <si>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</si>
  <si>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</si>
  <si>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</si>
  <si>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</si>
  <si>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</si>
  <si>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</si>
  <si>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</si>
  <si>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</si>
  <si>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</si>
  <si>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</si>
  <si>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</si>
  <si>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</si>
  <si>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</si>
  <si>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</si>
  <si>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</si>
  <si>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</si>
  <si>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</si>
  <si>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</si>
  <si>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</si>
  <si>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</si>
  <si>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</si>
  <si>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</si>
  <si>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</si>
  <si>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</si>
  <si>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</si>
  <si>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</si>
  <si>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</si>
  <si>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</si>
  <si>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</si>
  <si>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</si>
  <si>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</si>
  <si>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</si>
  <si>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</si>
  <si>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</si>
  <si>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</si>
  <si>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</si>
  <si>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</si>
  <si>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</si>
  <si>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</si>
  <si>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</si>
  <si>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</si>
  <si>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</si>
  <si>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</si>
  <si>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</si>
  <si>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</si>
  <si>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</si>
  <si>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</si>
  <si>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</si>
  <si>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</si>
  <si>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</si>
  <si>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</si>
  <si>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</si>
  <si>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</si>
  <si>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</si>
  <si>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</si>
  <si>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</si>
  <si>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</si>
  <si>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</si>
  <si>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</si>
  <si>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</si>
  <si>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</si>
  <si>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</si>
  <si>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</si>
  <si>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</si>
  <si>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</si>
  <si>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</si>
  <si>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</si>
  <si>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</si>
  <si>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</si>
  <si>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</si>
  <si>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</si>
  <si>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</si>
  <si>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</si>
  <si>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</si>
  <si>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</si>
  <si>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</si>
  <si>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</si>
  <si>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</si>
  <si>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</si>
  <si>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</si>
  <si>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</si>
  <si>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</si>
  <si>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</si>
  <si>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</si>
  <si>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</si>
  <si>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</si>
  <si>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</si>
  <si>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</si>
  <si>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</si>
  <si>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</si>
  <si>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</si>
  <si>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</si>
  <si>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</si>
  <si>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</si>
  <si>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</si>
  <si>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</si>
  <si>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</si>
  <si>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</si>
  <si>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</si>
  <si>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</si>
  <si>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</si>
  <si>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</si>
  <si>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</si>
  <si>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</si>
  <si>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</si>
  <si>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</si>
  <si>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</si>
  <si>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</si>
  <si>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</si>
  <si>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</si>
  <si>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</si>
  <si>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</si>
  <si>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</si>
  <si>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</si>
  <si>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</si>
  <si>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</si>
  <si>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</si>
  <si>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Adjustment for Prior Period Balances</t>
  </si>
  <si>
    <t>Prior period adjustment to reflect receivables not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</si>
</sst>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5" zoomScale="130" zoomScaleNormal="13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1369</v>
      </c>
      <c r="B2">
        <f>INDEX('School Tables'!$AH$3:$AH$208,MATCH('DOE25'!A2,'School Tables'!$AJ$3:$AJ$208,0))</f>
        <v>450</v>
      </c>
      <c r="C2">
        <f>INDEX('School Tables'!$AI$3:$AI$208,MATCH('DOE25'!A2,'School Tables'!$AJ$3:$AJ$208,0))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816290.1</v>
      </c>
      <c r="G9" s="18"/>
      <c r="H9" s="18">
        <f>14803.39+98373.38</f>
        <v>113176.77</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64950.45</f>
        <v>64950.45</v>
      </c>
      <c r="G12" s="18"/>
      <c r="H12" s="18">
        <f>13000+29928.68</f>
        <v>42928.68</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57003.73</v>
      </c>
      <c r="H13" s="18">
        <v>14449.42</v>
      </c>
      <c r="I13" s="18"/>
      <c r="J13" s="13">
        <f>SUM(I443)</f>
        <v>441163.6</v>
      </c>
      <c r="K13" s="23" t="s">
        <v>288</v>
      </c>
      <c r="L13" s="23" t="s">
        <v>288</v>
      </c>
      <c r="M13" s="8"/>
      <c r="N13" s="165"/>
    </row>
    <row r="14" spans="1:14" s="3" customFormat="1" ht="12.2" customHeight="1" x14ac:dyDescent="0.15">
      <c r="A14" s="1" t="s">
        <v>565</v>
      </c>
      <c r="B14" s="2" t="s">
        <v>289</v>
      </c>
      <c r="C14" s="6">
        <v>6</v>
      </c>
      <c r="D14" s="2" t="s">
        <v>428</v>
      </c>
      <c r="E14" s="6">
        <v>150</v>
      </c>
      <c r="F14" s="18"/>
      <c r="G14" s="18">
        <v>874.8</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881240.54999999993</v>
      </c>
      <c r="G19" s="38">
        <f>SUM(G9:G18)</f>
        <v>57878.530000000006</v>
      </c>
      <c r="H19" s="38">
        <f>SUM(H9:H18)</f>
        <v>170554.87000000002</v>
      </c>
      <c r="I19" s="38">
        <f>SUM(I9:I18)</f>
        <v>0</v>
      </c>
      <c r="J19" s="38">
        <f>SUM(J9:J18)</f>
        <v>441163.6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42528.43</v>
      </c>
      <c r="H22" s="18">
        <v>14449.42</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34725.550000000003</v>
      </c>
      <c r="G24" s="18">
        <v>7241.05</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209147</v>
      </c>
      <c r="G30" s="18">
        <v>8109.05</v>
      </c>
      <c r="H30" s="18">
        <f>29928.68</f>
        <v>29928.68</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243872.55</v>
      </c>
      <c r="G32" s="38">
        <f>SUM(G22:G31)</f>
        <v>57878.530000000006</v>
      </c>
      <c r="H32" s="38">
        <f>SUM(H22:H31)</f>
        <v>44378.1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441163.6</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f>13000+113176.77</f>
        <v>126176.77</v>
      </c>
      <c r="I48" s="18"/>
      <c r="J48" s="13">
        <f>SUM(I460)</f>
        <v>0</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f>401014.73+236353.27</f>
        <v>637368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637368</v>
      </c>
      <c r="G51" s="38">
        <f>SUM(G35:G50)</f>
        <v>0</v>
      </c>
      <c r="H51" s="38">
        <f>SUM(H35:H50)</f>
        <v>126176.77</v>
      </c>
      <c r="I51" s="38">
        <f>SUM(I35:I50)</f>
        <v>0</v>
      </c>
      <c r="J51" s="38">
        <f>SUM(J35:J50)</f>
        <v>441163.6</v>
      </c>
      <c r="K51" s="42" t="s">
        <v>288</v>
      </c>
      <c r="L51" s="42" t="s">
        <v>288</v>
      </c>
      <c r="N51" s="131"/>
    </row>
    <row r="52" spans="1:14" s="3" customFormat="1" ht="12.2" customHeight="1" thickTop="1" x14ac:dyDescent="0.15">
      <c r="A52" s="35" t="s">
        <v>455</v>
      </c>
      <c r="B52" s="36" t="s">
        <v>289</v>
      </c>
      <c r="C52" s="6">
        <v>37</v>
      </c>
      <c r="D52" s="36" t="s">
        <v>653</v>
      </c>
      <c r="E52" s="36"/>
      <c r="F52" s="38">
        <f>F51+F32</f>
        <v>881240.55</v>
      </c>
      <c r="G52" s="38">
        <f>G51+G32</f>
        <v>57878.530000000006</v>
      </c>
      <c r="H52" s="38">
        <f>H51+H32</f>
        <v>170554.87</v>
      </c>
      <c r="I52" s="38">
        <f>I51+I32</f>
        <v>0</v>
      </c>
      <c r="J52" s="38">
        <f>J51+J32</f>
        <v>441163.6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4456246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4456246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t="s">
        <v>355</v>
      </c>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65940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65940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488.35</v>
      </c>
      <c r="G96" s="18"/>
      <c r="H96" s="18"/>
      <c r="I96" s="18"/>
      <c r="J96" s="18">
        <v>6192.4</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16952.45+1299.72</f>
        <v>18252.170000000002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600</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53473.87+9105.65</f>
        <v>62579.520000000004</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63067.87</v>
      </c>
      <c r="G111" s="38">
        <f>SUM(G96:G110)</f>
        <v>18252.170000000002</v>
      </c>
      <c r="H111" s="38">
        <f>SUM(H96:H110)</f>
        <v>600</v>
      </c>
      <c r="I111" s="38">
        <f>SUM(I96:I110)</f>
        <v>0</v>
      </c>
      <c r="J111" s="38">
        <f>SUM(J96:J110)</f>
        <v>6192.4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4585253.87</v>
      </c>
      <c r="G112" s="38">
        <f>G60+G111</f>
        <v>18252.170000000002</v>
      </c>
      <c r="H112" s="38">
        <f>H60+H79+H94+H111</f>
        <v>600</v>
      </c>
      <c r="I112" s="38">
        <f>I60+I111</f>
        <v>0</v>
      </c>
      <c r="J112" s="38">
        <f>J60+J111</f>
        <v>6192.4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611042.56000000006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780685</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1391727.56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366886.36</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t="s">
        <v>286</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6159.6</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1564.5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373045.95999999996</v>
      </c>
      <c r="G136" s="38">
        <f>SUM(G123:G135)</f>
        <v>1564.5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1764773.52</v>
      </c>
      <c r="G140" s="38">
        <f>G121+SUM(G136:G137)</f>
        <v>1564.5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3515.01</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51435.55 +2134.94</f>
        <v>53570.490000000005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9633.83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103694.85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72427.64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35751.230000000003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15124.33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35751.230000000003</v>
      </c>
      <c r="G163" s="38">
        <f>SUM(G150:G162)</f>
        <v>103694.85</v>
      </c>
      <c r="H163" s="38">
        <f>SUM(H150:H162)</f>
        <v>154271.29999999999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503.12</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36254.350000000006</v>
      </c>
      <c r="G170" s="38">
        <f>G147+G163+SUM(G164:G169)</f>
        <v>103694.85</v>
      </c>
      <c r="H170" s="38">
        <f>H147+H163+SUM(H164:H169)</f>
        <v>154271.29999999999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12899.76</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12899.76</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12899.76</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6386281.7400000002</v>
      </c>
      <c r="G194" s="38">
        <f>G112+G140+G170+G193</f>
        <v>136411.28</v>
      </c>
      <c r="H194" s="38">
        <f>H112+H140+H170+H193</f>
        <v>154871.29999999999</v>
      </c>
      <c r="I194" s="38">
        <f>I112+I140+I170+I193</f>
        <v>0</v>
      </c>
      <c r="J194" s="38">
        <f>J112+J140+J193</f>
        <v>6192.4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v>0</v>
      </c>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v>0</v>
      </c>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525875.87</f>
        <v>525875.87</v>
      </c>
      <c r="G216" s="18">
        <v>232350.02</v>
      </c>
      <c r="H216" s="18">
        <f>315.62+1662.5</f>
        <v>1978.12</v>
      </c>
      <c r="I216" s="18">
        <v>13421.88</v>
      </c>
      <c r="J216" s="18">
        <f>602.18+174.36+409.16+1785.7+542.85+264.99</f>
        <v>3779.24</v>
      </c>
      <c r="K216" s="18"/>
      <c r="L216" s="13">
        <f>SUM(F216:K216)</f>
        <v>777405.13</v>
      </c>
      <c r="M216" s="8"/>
      <c r="N216" s="165"/>
    </row>
    <row r="217" spans="1:14" s="3" customFormat="1" ht="12.2" customHeight="1" x14ac:dyDescent="0.15">
      <c r="A217" s="1" t="s">
        <v>439</v>
      </c>
      <c r="B217" s="2" t="s">
        <v>346</v>
      </c>
      <c r="C217" s="2" t="s">
        <v>291</v>
      </c>
      <c r="D217" s="2" t="s">
        <v>431</v>
      </c>
      <c r="E217" s="6">
        <v>1200</v>
      </c>
      <c r="F217" s="18">
        <f>123601.42+23078.89</f>
        <v>146680.31</v>
      </c>
      <c r="G217" s="18">
        <f>46870.83+0.2</f>
        <v>46871.03</v>
      </c>
      <c r="H217" s="18">
        <f>10054.55+53720.64</f>
        <v>63775.19</v>
      </c>
      <c r="I217" s="18">
        <f>469.55+486.7</f>
        <v>956.25</v>
      </c>
      <c r="J217" s="18"/>
      <c r="K217" s="18"/>
      <c r="L217" s="13">
        <f>SUM(F217:K217)</f>
        <v>258282.78</v>
      </c>
      <c r="M217" s="8"/>
      <c r="N217" s="165"/>
    </row>
    <row r="218" spans="1:14" s="3" customFormat="1" ht="12.2" customHeight="1" x14ac:dyDescent="0.15">
      <c r="A218" s="1" t="s">
        <v>440</v>
      </c>
      <c r="B218" s="2" t="s">
        <v>346</v>
      </c>
      <c r="C218" s="2" t="s">
        <v>292</v>
      </c>
      <c r="D218" s="2" t="s">
        <v>431</v>
      </c>
      <c r="E218" s="6">
        <v>1300</v>
      </c>
      <c r="F218" s="18">
        <f>41921.53+87.5</f>
        <v>42009.03</v>
      </c>
      <c r="G218" s="18">
        <v>17968.43</v>
      </c>
      <c r="H218" s="18"/>
      <c r="I218" s="18">
        <v>2002.1</v>
      </c>
      <c r="J218" s="18">
        <v>1654.03</v>
      </c>
      <c r="K218" s="18"/>
      <c r="L218" s="13">
        <f>SUM(F218:K218)</f>
        <v>63633.59</v>
      </c>
      <c r="M218" s="8"/>
      <c r="N218" s="165"/>
    </row>
    <row r="219" spans="1:14" s="3" customFormat="1" ht="12.2" customHeight="1" x14ac:dyDescent="0.15">
      <c r="A219" s="1" t="s">
        <v>441</v>
      </c>
      <c r="B219" s="2" t="s">
        <v>346</v>
      </c>
      <c r="C219" s="2" t="s">
        <v>293</v>
      </c>
      <c r="D219" s="2" t="s">
        <v>431</v>
      </c>
      <c r="E219" s="6">
        <v>1400</v>
      </c>
      <c r="F219" s="18">
        <v>25312.84</v>
      </c>
      <c r="G219" s="18">
        <f>4785.05+5.94</f>
        <v>4790.99</v>
      </c>
      <c r="H219" s="18">
        <f>668.87+7981.2</f>
        <v>8650.07</v>
      </c>
      <c r="I219" s="18">
        <v>1562.9</v>
      </c>
      <c r="J219" s="18">
        <v>1692.43</v>
      </c>
      <c r="K219" s="18">
        <f>1963.59+469.75</f>
        <v>2433.34</v>
      </c>
      <c r="L219" s="13">
        <f>SUM(F219:K219)</f>
        <v>44442.570000000007</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69182.13</v>
      </c>
      <c r="G221" s="18">
        <v>41998.26</v>
      </c>
      <c r="H221" s="18">
        <f>8847.82+10019.76+6555.33</f>
        <v>25422.910000000003</v>
      </c>
      <c r="I221" s="18">
        <v>355.96</v>
      </c>
      <c r="J221" s="18">
        <v>77.14</v>
      </c>
      <c r="K221" s="18">
        <v>0</v>
      </c>
      <c r="L221" s="13">
        <f t="shared" ref="L221:L227" si="2">SUM(F221:K221)</f>
        <v>137036.40000000002</v>
      </c>
      <c r="M221" s="8"/>
      <c r="N221" s="165"/>
    </row>
    <row r="222" spans="1:14" s="3" customFormat="1" ht="12.2" customHeight="1" x14ac:dyDescent="0.15">
      <c r="A222" s="1" t="s">
        <v>443</v>
      </c>
      <c r="B222" s="2" t="s">
        <v>346</v>
      </c>
      <c r="C222" s="2" t="s">
        <v>295</v>
      </c>
      <c r="D222" s="2" t="s">
        <v>431</v>
      </c>
      <c r="E222" s="6">
        <v>2200</v>
      </c>
      <c r="F222" s="18">
        <v>45270.43</v>
      </c>
      <c r="G222" s="18">
        <v>26584.63</v>
      </c>
      <c r="H222" s="18"/>
      <c r="I222" s="18">
        <v>2964.19</v>
      </c>
      <c r="J222" s="18"/>
      <c r="K222" s="18">
        <v>5701.76</v>
      </c>
      <c r="L222" s="13">
        <f t="shared" si="2"/>
        <v>80521.009999999995</v>
      </c>
      <c r="M222" s="8"/>
      <c r="N222" s="165"/>
    </row>
    <row r="223" spans="1:14" s="3" customFormat="1" ht="12.2" customHeight="1" x14ac:dyDescent="0.15">
      <c r="A223" s="1" t="s">
        <v>444</v>
      </c>
      <c r="B223" s="2" t="s">
        <v>346</v>
      </c>
      <c r="C223" s="2" t="s">
        <v>296</v>
      </c>
      <c r="D223" s="2" t="s">
        <v>431</v>
      </c>
      <c r="E223" s="6">
        <v>2300</v>
      </c>
      <c r="F223" s="18">
        <v>8725</v>
      </c>
      <c r="G223" s="18">
        <v>667.49</v>
      </c>
      <c r="H223" s="18">
        <f>23166.27+10291.58+93514.76+1202.5</f>
        <v>128175.10999999999</v>
      </c>
      <c r="I223" s="18"/>
      <c r="J223" s="18"/>
      <c r="K223" s="18">
        <f>2224.95+90</f>
        <v>2314.9499999999998</v>
      </c>
      <c r="L223" s="13">
        <f t="shared" si="2"/>
        <v>139882.54999999999</v>
      </c>
      <c r="M223" s="8"/>
      <c r="N223" s="165"/>
    </row>
    <row r="224" spans="1:14" s="3" customFormat="1" ht="12.2" customHeight="1" x14ac:dyDescent="0.15">
      <c r="A224" s="1" t="s">
        <v>445</v>
      </c>
      <c r="B224" s="2" t="s">
        <v>346</v>
      </c>
      <c r="C224" s="2" t="s">
        <v>297</v>
      </c>
      <c r="D224" s="2" t="s">
        <v>431</v>
      </c>
      <c r="E224" s="6">
        <v>2400</v>
      </c>
      <c r="F224" s="18">
        <f>60488.95+33399.79</f>
        <v>93888.739999999991</v>
      </c>
      <c r="G224" s="18">
        <f>27482.96+10195.96</f>
        <v>37678.92</v>
      </c>
      <c r="H224" s="18">
        <f>24806.22+111.33</f>
        <v>24917.550000000003</v>
      </c>
      <c r="I224" s="18">
        <v>964.3</v>
      </c>
      <c r="J224" s="18"/>
      <c r="K224" s="18"/>
      <c r="L224" s="13">
        <f t="shared" si="2"/>
        <v>157449.50999999995</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46841.03</v>
      </c>
      <c r="G226" s="18">
        <v>10563.02</v>
      </c>
      <c r="H226" s="18">
        <v>45501.59</v>
      </c>
      <c r="I226" s="18">
        <v>49603.44</v>
      </c>
      <c r="J226" s="18">
        <v>2351.7600000000002</v>
      </c>
      <c r="K226" s="18"/>
      <c r="L226" s="13">
        <f t="shared" si="2"/>
        <v>154860.84000000003</v>
      </c>
      <c r="M226" s="8"/>
      <c r="N226" s="165"/>
    </row>
    <row r="227" spans="1:14" s="3" customFormat="1" ht="12.2" customHeight="1" x14ac:dyDescent="0.15">
      <c r="A227" s="1" t="s">
        <v>448</v>
      </c>
      <c r="B227" s="2" t="s">
        <v>346</v>
      </c>
      <c r="C227" s="2" t="s">
        <v>300</v>
      </c>
      <c r="D227" s="2" t="s">
        <v>431</v>
      </c>
      <c r="E227" s="6">
        <v>2700</v>
      </c>
      <c r="F227" s="18">
        <f>965.25</f>
        <v>965.25</v>
      </c>
      <c r="G227" s="18">
        <f>180.72</f>
        <v>180.72</v>
      </c>
      <c r="H227" s="18">
        <f>12822.59+15937.95</f>
        <v>28760.54</v>
      </c>
      <c r="I227" s="18">
        <f>485.43</f>
        <v>485.43</v>
      </c>
      <c r="J227" s="18">
        <v>0</v>
      </c>
      <c r="K227" s="18"/>
      <c r="L227" s="13">
        <f t="shared" si="2"/>
        <v>30391.940000000002</v>
      </c>
      <c r="M227" s="8"/>
      <c r="N227" s="165"/>
    </row>
    <row r="228" spans="1:14" s="3" customFormat="1" ht="12.2" customHeight="1" x14ac:dyDescent="0.15">
      <c r="A228" s="1" t="s">
        <v>449</v>
      </c>
      <c r="B228" s="2" t="s">
        <v>346</v>
      </c>
      <c r="C228" s="2" t="s">
        <v>343</v>
      </c>
      <c r="D228" s="2" t="s">
        <v>431</v>
      </c>
      <c r="E228" s="6">
        <v>2800</v>
      </c>
      <c r="F228" s="18"/>
      <c r="G228" s="18"/>
      <c r="H228" s="18">
        <f>163.98</f>
        <v>163.98</v>
      </c>
      <c r="I228" s="18">
        <v>3139.23</v>
      </c>
      <c r="J228" s="18">
        <v>6155.37</v>
      </c>
      <c r="K228" s="18"/>
      <c r="L228" s="13">
        <f>SUM(F228:K228)</f>
        <v>9458.58</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1004750.63</v>
      </c>
      <c r="G230" s="38">
        <f>SUM(G216:G229)</f>
        <v>419653.50999999995</v>
      </c>
      <c r="H230" s="38">
        <f>SUM(H216:H229)</f>
        <v>327345.06</v>
      </c>
      <c r="I230" s="38">
        <f>SUM(I216:I229)</f>
        <v>75455.679999999993</v>
      </c>
      <c r="J230" s="38">
        <f>SUM(J216:J229)</f>
        <v>15709.970000000001</v>
      </c>
      <c r="K230" s="38">
        <f t="shared" si="3"/>
        <v>10450.049999999999</v>
      </c>
      <c r="L230" s="38">
        <f t="shared" si="3"/>
        <v>1853364.9000000004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1033365.64</f>
        <v>1033365.64</v>
      </c>
      <c r="G234" s="18">
        <f>571528.59</f>
        <v>571528.59</v>
      </c>
      <c r="H234" s="18">
        <v>3673.63</v>
      </c>
      <c r="I234" s="18">
        <v>16411.72</v>
      </c>
      <c r="J234" s="18">
        <v>8546.25</v>
      </c>
      <c r="K234" s="18"/>
      <c r="L234" s="13">
        <f>SUM(F234:K234)</f>
        <v>1633525.8299999998</v>
      </c>
      <c r="M234" s="8"/>
      <c r="N234" s="165"/>
    </row>
    <row r="235" spans="1:14" s="3" customFormat="1" ht="12.2" customHeight="1" x14ac:dyDescent="0.15">
      <c r="A235" s="1" t="s">
        <v>439</v>
      </c>
      <c r="B235" s="2" t="s">
        <v>350</v>
      </c>
      <c r="C235" s="2" t="s">
        <v>291</v>
      </c>
      <c r="D235" s="2" t="s">
        <v>431</v>
      </c>
      <c r="E235" s="6">
        <v>1200</v>
      </c>
      <c r="F235" s="18">
        <v>197110.76</v>
      </c>
      <c r="G235" s="18">
        <v>99574.24</v>
      </c>
      <c r="H235" s="18">
        <v>110875.97</v>
      </c>
      <c r="I235" s="18">
        <v>6928.53</v>
      </c>
      <c r="J235" s="18" t="s">
        <v>286</v>
      </c>
      <c r="K235" s="18"/>
      <c r="L235" s="13">
        <f>SUM(F235:K235)</f>
        <v>414489.5</v>
      </c>
      <c r="M235" s="8"/>
      <c r="N235" s="165"/>
    </row>
    <row r="236" spans="1:14" s="3" customFormat="1" ht="12.2" customHeight="1" x14ac:dyDescent="0.15">
      <c r="A236" s="1" t="s">
        <v>440</v>
      </c>
      <c r="B236" s="2" t="s">
        <v>350</v>
      </c>
      <c r="C236" s="2" t="s">
        <v>292</v>
      </c>
      <c r="D236" s="2" t="s">
        <v>431</v>
      </c>
      <c r="E236" s="6">
        <v>1300</v>
      </c>
      <c r="F236" s="18">
        <v>78016.97</v>
      </c>
      <c r="G236" s="18">
        <v>33369.75</v>
      </c>
      <c r="H236" s="18">
        <v>14747.43</v>
      </c>
      <c r="I236" s="18">
        <v>3956.6</v>
      </c>
      <c r="J236" s="18">
        <v>3132.75</v>
      </c>
      <c r="K236" s="18"/>
      <c r="L236" s="13">
        <f>SUM(F236:K236)</f>
        <v>133223.5</v>
      </c>
      <c r="M236" s="8"/>
      <c r="N236" s="165"/>
    </row>
    <row r="237" spans="1:14" s="3" customFormat="1" ht="12.2" customHeight="1" x14ac:dyDescent="0.15">
      <c r="A237" s="1" t="s">
        <v>441</v>
      </c>
      <c r="B237" s="2" t="s">
        <v>350</v>
      </c>
      <c r="C237" s="2" t="s">
        <v>293</v>
      </c>
      <c r="D237" s="2" t="s">
        <v>431</v>
      </c>
      <c r="E237" s="6">
        <v>1400</v>
      </c>
      <c r="F237" s="18">
        <v>56830.720000000001</v>
      </c>
      <c r="G237" s="18">
        <v>9370.0400000000009</v>
      </c>
      <c r="H237" s="18">
        <v>14499.8</v>
      </c>
      <c r="I237" s="18">
        <v>4794.17</v>
      </c>
      <c r="J237" s="18">
        <v>3241.78</v>
      </c>
      <c r="K237" s="18">
        <v>9178.25</v>
      </c>
      <c r="L237" s="13">
        <f>SUM(F237:K237)</f>
        <v>97914.760000000009</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106468.84</v>
      </c>
      <c r="G239" s="18">
        <v>63479.26</v>
      </c>
      <c r="H239" s="18">
        <v>47702.46</v>
      </c>
      <c r="I239" s="18">
        <v>1779.29</v>
      </c>
      <c r="J239" s="18">
        <v>143.26</v>
      </c>
      <c r="K239" s="18">
        <v>0</v>
      </c>
      <c r="L239" s="13">
        <f t="shared" ref="L239:L245" si="4">SUM(F239:K239)</f>
        <v>219573.11000000002</v>
      </c>
      <c r="M239" s="8"/>
      <c r="N239" s="165"/>
    </row>
    <row r="240" spans="1:14" s="3" customFormat="1" ht="12.2" customHeight="1" x14ac:dyDescent="0.15">
      <c r="A240" s="1" t="s">
        <v>443</v>
      </c>
      <c r="B240" s="2" t="s">
        <v>350</v>
      </c>
      <c r="C240" s="2" t="s">
        <v>295</v>
      </c>
      <c r="D240" s="2" t="s">
        <v>431</v>
      </c>
      <c r="E240" s="6">
        <v>2200</v>
      </c>
      <c r="F240" s="18">
        <v>84073.74</v>
      </c>
      <c r="G240" s="18">
        <v>49372.42</v>
      </c>
      <c r="H240" s="18" t="s">
        <v>286</v>
      </c>
      <c r="I240" s="18">
        <v>5504.69</v>
      </c>
      <c r="J240" s="18"/>
      <c r="K240" s="18">
        <v>10378.34</v>
      </c>
      <c r="L240" s="13">
        <f t="shared" si="4"/>
        <v>149329.19</v>
      </c>
      <c r="M240" s="8"/>
      <c r="N240" s="165"/>
    </row>
    <row r="241" spans="1:14" s="3" customFormat="1" ht="12.2" customHeight="1" x14ac:dyDescent="0.15">
      <c r="A241" s="1" t="s">
        <v>444</v>
      </c>
      <c r="B241" s="2" t="s">
        <v>350</v>
      </c>
      <c r="C241" s="2" t="s">
        <v>296</v>
      </c>
      <c r="D241" s="2" t="s">
        <v>431</v>
      </c>
      <c r="E241" s="6">
        <v>2300</v>
      </c>
      <c r="F241" s="18"/>
      <c r="G241" s="18"/>
      <c r="H241" s="18">
        <v>235806.87</v>
      </c>
      <c r="I241" s="18"/>
      <c r="J241" s="18"/>
      <c r="K241" s="18">
        <v>4144.84</v>
      </c>
      <c r="L241" s="13">
        <f t="shared" si="4"/>
        <v>239951.71</v>
      </c>
      <c r="M241" s="8"/>
      <c r="N241" s="165"/>
    </row>
    <row r="242" spans="1:14" s="3" customFormat="1" ht="12.2" customHeight="1" x14ac:dyDescent="0.15">
      <c r="A242" s="1" t="s">
        <v>445</v>
      </c>
      <c r="B242" s="2" t="s">
        <v>350</v>
      </c>
      <c r="C242" s="2" t="s">
        <v>297</v>
      </c>
      <c r="D242" s="2" t="s">
        <v>431</v>
      </c>
      <c r="E242" s="6">
        <v>2400</v>
      </c>
      <c r="F242" s="18">
        <v>160447.24</v>
      </c>
      <c r="G242" s="18">
        <v>66771.06</v>
      </c>
      <c r="H242" s="18">
        <v>46530.61</v>
      </c>
      <c r="I242" s="18">
        <v>1790.74</v>
      </c>
      <c r="J242" s="18"/>
      <c r="K242" s="18">
        <v>6095.99</v>
      </c>
      <c r="L242" s="13">
        <f t="shared" si="4"/>
        <v>281635.63999999996</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86814.5</v>
      </c>
      <c r="G244" s="18">
        <v>19604.18</v>
      </c>
      <c r="H244" s="18">
        <v>87455.82</v>
      </c>
      <c r="I244" s="18">
        <v>92120.56</v>
      </c>
      <c r="J244" s="18">
        <v>4367.53</v>
      </c>
      <c r="K244" s="18"/>
      <c r="L244" s="13">
        <f t="shared" si="4"/>
        <v>290362.59000000003</v>
      </c>
      <c r="M244" s="8"/>
      <c r="N244" s="165"/>
    </row>
    <row r="245" spans="1:14" s="3" customFormat="1" ht="12.2" customHeight="1" x14ac:dyDescent="0.15">
      <c r="A245" s="1" t="s">
        <v>448</v>
      </c>
      <c r="B245" s="2" t="s">
        <v>350</v>
      </c>
      <c r="C245" s="2" t="s">
        <v>300</v>
      </c>
      <c r="D245" s="2" t="s">
        <v>431</v>
      </c>
      <c r="E245" s="6">
        <v>2700</v>
      </c>
      <c r="F245" s="18">
        <v>1734.73</v>
      </c>
      <c r="G245" s="18">
        <v>319.12</v>
      </c>
      <c r="H245" s="18">
        <v>104513.89</v>
      </c>
      <c r="I245" s="18">
        <v>901.54</v>
      </c>
      <c r="J245" s="18">
        <v>0</v>
      </c>
      <c r="K245" s="18"/>
      <c r="L245" s="13">
        <f t="shared" si="4"/>
        <v>107469.28</v>
      </c>
      <c r="M245" s="8"/>
      <c r="N245" s="165"/>
    </row>
    <row r="246" spans="1:14" s="3" customFormat="1" ht="12.2" customHeight="1" x14ac:dyDescent="0.15">
      <c r="A246" s="1" t="s">
        <v>449</v>
      </c>
      <c r="B246" s="2" t="s">
        <v>350</v>
      </c>
      <c r="C246" s="2" t="s">
        <v>343</v>
      </c>
      <c r="D246" s="2" t="s">
        <v>431</v>
      </c>
      <c r="E246" s="6">
        <v>2800</v>
      </c>
      <c r="F246" s="18"/>
      <c r="G246" s="18"/>
      <c r="H246" s="18">
        <f>304.52</f>
        <v>304.52</v>
      </c>
      <c r="I246" s="18">
        <v>5830.01</v>
      </c>
      <c r="J246" s="18">
        <v>14138.54</v>
      </c>
      <c r="K246" s="18"/>
      <c r="L246" s="13">
        <f>SUM(F246:K246)</f>
        <v>20273.07</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1804863.14</v>
      </c>
      <c r="G248" s="38">
        <f t="shared" si="5"/>
        <v>913388.66000000015</v>
      </c>
      <c r="H248" s="38">
        <f t="shared" si="5"/>
        <v>666111</v>
      </c>
      <c r="I248" s="38">
        <f t="shared" si="5"/>
        <v>140017.85</v>
      </c>
      <c r="J248" s="38">
        <f t="shared" si="5"/>
        <v>33570.11</v>
      </c>
      <c r="K248" s="38">
        <f t="shared" si="5"/>
        <v>29797.42</v>
      </c>
      <c r="L248" s="38">
        <f t="shared" si="5"/>
        <v>3587748.1799999992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2809613.77</v>
      </c>
      <c r="G258" s="38">
        <f t="shared" si="8"/>
        <v>1333042.1700000002</v>
      </c>
      <c r="H258" s="38">
        <f t="shared" si="8"/>
        <v>993456.06</v>
      </c>
      <c r="I258" s="38">
        <f t="shared" si="8"/>
        <v>215473.53</v>
      </c>
      <c r="J258" s="38">
        <f t="shared" si="8"/>
        <v>49280.08</v>
      </c>
      <c r="K258" s="38">
        <f t="shared" si="8"/>
        <v>40247.47</v>
      </c>
      <c r="L258" s="38">
        <f t="shared" si="8"/>
        <v>5441113.0800000001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645000</v>
      </c>
      <c r="L261" s="13">
        <f>SUM(F261:K261)</f>
        <v>645000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38415.663</v>
      </c>
      <c r="L262" s="13">
        <f>SUM(F262:K262)</f>
        <v>38415.663</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12899.76</v>
      </c>
      <c r="L264" s="13">
        <f>SUM(F264:K264)</f>
        <v>12899.76</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12500</v>
      </c>
      <c r="L269" s="13">
        <f t="shared" si="9"/>
        <v>12500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708815.42299999995</v>
      </c>
      <c r="L271" s="38">
        <f t="shared" si="9"/>
        <v>708815.42299999995</v>
      </c>
      <c r="M271" s="8"/>
      <c r="N271" s="165"/>
    </row>
    <row r="272" spans="1:14" s="33" customFormat="1" ht="12.2" customHeight="1" thickTop="1" x14ac:dyDescent="0.2">
      <c r="A272" s="40" t="s">
        <v>464</v>
      </c>
      <c r="B272" s="37">
        <v>10</v>
      </c>
      <c r="C272" s="37">
        <v>18</v>
      </c>
      <c r="D272" s="36" t="s">
        <v>431</v>
      </c>
      <c r="E272" s="37"/>
      <c r="F272" s="39">
        <f t="shared" ref="F272:L272" si="11">F258+F271</f>
        <v>2809613.77</v>
      </c>
      <c r="G272" s="39">
        <f t="shared" si="11"/>
        <v>1333042.1700000002</v>
      </c>
      <c r="H272" s="39">
        <f t="shared" si="11"/>
        <v>993456.06</v>
      </c>
      <c r="I272" s="39">
        <f t="shared" si="11"/>
        <v>215473.53</v>
      </c>
      <c r="J272" s="39">
        <f t="shared" si="11"/>
        <v>49280.08</v>
      </c>
      <c r="K272" s="39">
        <f t="shared" si="11"/>
        <v>749062.89299999992</v>
      </c>
      <c r="L272" s="39">
        <f t="shared" si="11"/>
        <v>6149928.5030000005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51457.25+3128.75+2817</f>
        <v>57403</v>
      </c>
      <c r="G315" s="18">
        <f>2447.18+1.31</f>
        <v>2448.4899999999998</v>
      </c>
      <c r="H315" s="18"/>
      <c r="I315" s="18"/>
      <c r="J315" s="18"/>
      <c r="K315" s="18"/>
      <c r="L315" s="13">
        <f>SUM(F315:K315)</f>
        <v>59851.49</v>
      </c>
      <c r="M315" s="8"/>
      <c r="N315" s="165"/>
    </row>
    <row r="316" spans="1:14" s="3" customFormat="1" ht="12.2" customHeight="1" x14ac:dyDescent="0.15">
      <c r="A316" s="1" t="s">
        <v>439</v>
      </c>
      <c r="B316" s="2" t="s">
        <v>359</v>
      </c>
      <c r="C316" s="2" t="s">
        <v>291</v>
      </c>
      <c r="D316" s="2" t="s">
        <v>431</v>
      </c>
      <c r="E316" s="6">
        <v>1200</v>
      </c>
      <c r="F316" s="18">
        <v>30690.25</v>
      </c>
      <c r="G316" s="18">
        <f>20411.4+535.2+70+3358.94+188.76+491.32+165+11924.9+179</f>
        <v>37324.519999999997</v>
      </c>
      <c r="H316" s="18"/>
      <c r="I316" s="18"/>
      <c r="J316" s="18"/>
      <c r="K316" s="18"/>
      <c r="L316" s="13">
        <f>SUM(F316:K316)</f>
        <v>68014.76999999999</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400</v>
      </c>
      <c r="G320" s="18">
        <v>31</v>
      </c>
      <c r="H320" s="18">
        <v>2000</v>
      </c>
      <c r="I320" s="18"/>
      <c r="J320" s="18"/>
      <c r="K320" s="18"/>
      <c r="L320" s="13">
        <f t="shared" ref="L320:L326" si="16">SUM(F320:K320)</f>
        <v>2431</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f>1794.21+146.31+2134.95+640.23+1543.58+1222.33+47.32+2423.82+85.61+734.7</f>
        <v>10773.060000000001</v>
      </c>
      <c r="L322" s="13">
        <f t="shared" si="16"/>
        <v>10773.060000000001</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600</v>
      </c>
      <c r="I325" s="18"/>
      <c r="J325" s="18"/>
      <c r="K325" s="18"/>
      <c r="L325" s="13">
        <f t="shared" si="16"/>
        <v>600</v>
      </c>
      <c r="M325" s="8"/>
      <c r="N325" s="165"/>
    </row>
    <row r="326" spans="1:14" s="3" customFormat="1" ht="12.2" customHeight="1" x14ac:dyDescent="0.15">
      <c r="A326" s="1" t="s">
        <v>448</v>
      </c>
      <c r="B326" s="2" t="s">
        <v>359</v>
      </c>
      <c r="C326" s="2" t="s">
        <v>300</v>
      </c>
      <c r="D326" s="2" t="s">
        <v>431</v>
      </c>
      <c r="E326" s="6">
        <v>2700</v>
      </c>
      <c r="F326" s="18"/>
      <c r="G326" s="18"/>
      <c r="H326" s="18">
        <v>1298.98</v>
      </c>
      <c r="I326" s="18"/>
      <c r="J326" s="18"/>
      <c r="K326" s="18"/>
      <c r="L326" s="13">
        <f t="shared" si="16"/>
        <v>1298.98</v>
      </c>
      <c r="M326" s="8"/>
      <c r="N326" s="165"/>
    </row>
    <row r="327" spans="1:14" s="3" customFormat="1" ht="12.2" customHeight="1" x14ac:dyDescent="0.15">
      <c r="A327" s="1" t="s">
        <v>449</v>
      </c>
      <c r="B327" s="2" t="s">
        <v>359</v>
      </c>
      <c r="C327" s="2" t="s">
        <v>343</v>
      </c>
      <c r="D327" s="2" t="s">
        <v>431</v>
      </c>
      <c r="E327" s="6">
        <v>2800</v>
      </c>
      <c r="F327" s="18"/>
      <c r="G327" s="18"/>
      <c r="H327" s="18"/>
      <c r="I327" s="18"/>
      <c r="J327" s="18">
        <v>13902</v>
      </c>
      <c r="K327" s="18"/>
      <c r="L327" s="13">
        <f>SUM(F327:K327)</f>
        <v>13902</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88493.25</v>
      </c>
      <c r="G329" s="39">
        <f t="shared" si="17"/>
        <v>39804.009999999995</v>
      </c>
      <c r="H329" s="39">
        <f t="shared" si="17"/>
        <v>3898.98</v>
      </c>
      <c r="I329" s="39">
        <f t="shared" si="17"/>
        <v>0</v>
      </c>
      <c r="J329" s="39">
        <f t="shared" si="17"/>
        <v>13902</v>
      </c>
      <c r="K329" s="39">
        <f t="shared" si="17"/>
        <v>10773.060000000001</v>
      </c>
      <c r="L329" s="38">
        <f t="shared" si="17"/>
        <v>156871.29999999999</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88493.25</v>
      </c>
      <c r="G339" s="38">
        <f t="shared" si="20"/>
        <v>39804.009999999995</v>
      </c>
      <c r="H339" s="38">
        <f t="shared" si="20"/>
        <v>3898.98</v>
      </c>
      <c r="I339" s="38">
        <f t="shared" si="20"/>
        <v>0</v>
      </c>
      <c r="J339" s="38">
        <f t="shared" si="20"/>
        <v>13902</v>
      </c>
      <c r="K339" s="38">
        <f t="shared" si="20"/>
        <v>10773.060000000001</v>
      </c>
      <c r="L339" s="38">
        <f t="shared" si="20"/>
        <v>156871.29999999999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88493.25</v>
      </c>
      <c r="G353" s="38">
        <f>G339</f>
        <v>39804.009999999995</v>
      </c>
      <c r="H353" s="38">
        <f>H339</f>
        <v>3898.98</v>
      </c>
      <c r="I353" s="38">
        <f>I339</f>
        <v>0</v>
      </c>
      <c r="J353" s="38">
        <f>J339</f>
        <v>13902</v>
      </c>
      <c r="K353" s="38">
        <f>K339+K352</f>
        <v>10773.060000000001</v>
      </c>
      <c r="L353" s="38">
        <f>L339+L352</f>
        <v>156871.29999999999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v>43735.02</v>
      </c>
      <c r="I360" s="18">
        <v>4008.93</v>
      </c>
      <c r="J360" s="18"/>
      <c r="K360" s="18"/>
      <c r="L360" s="13">
        <f>SUM(F360:K360)</f>
        <v>47743.95</v>
      </c>
      <c r="M360" s="8"/>
      <c r="N360" s="165"/>
    </row>
    <row r="361" spans="1:22" s="3" customFormat="1" ht="12.2" customHeight="1" x14ac:dyDescent="0.15">
      <c r="A361" s="3" t="s">
        <v>543</v>
      </c>
      <c r="B361" s="2" t="s">
        <v>366</v>
      </c>
      <c r="C361" s="6">
        <v>3</v>
      </c>
      <c r="D361" s="2" t="s">
        <v>431</v>
      </c>
      <c r="E361" s="6"/>
      <c r="F361" s="18"/>
      <c r="G361" s="18"/>
      <c r="H361" s="18">
        <v>81222.17</v>
      </c>
      <c r="I361" s="18">
        <v>7445.16</v>
      </c>
      <c r="J361" s="18"/>
      <c r="K361" s="18"/>
      <c r="L361" s="13">
        <f>SUM(F361:K361)</f>
        <v>88667.33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124957.19</v>
      </c>
      <c r="I363" s="38">
        <f t="shared" si="22"/>
        <v>11454.09</v>
      </c>
      <c r="J363" s="38">
        <f t="shared" si="22"/>
        <v>0</v>
      </c>
      <c r="K363" s="38">
        <f t="shared" si="22"/>
        <v>0</v>
      </c>
      <c r="L363" s="38">
        <f t="shared" si="22"/>
        <v>136411.28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v>4008.93</v>
      </c>
      <c r="H368" s="18">
        <v>7445.16</v>
      </c>
      <c r="I368" s="13">
        <f>SUM(F368:H368)</f>
        <v>11454.09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4008.93</v>
      </c>
      <c r="H370" s="38">
        <f>SUM(H368:H369)</f>
        <v>7445.16</v>
      </c>
      <c r="I370" s="38">
        <f>SUM(I368:I369)</f>
        <v>11454.09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1921.15</v>
      </c>
      <c r="I397" s="18"/>
      <c r="J397" s="23" t="s">
        <v>288</v>
      </c>
      <c r="K397" s="23" t="s">
        <v>288</v>
      </c>
      <c r="L397" s="13">
        <f t="shared" si="26"/>
        <v>1921.15</v>
      </c>
      <c r="M397" s="8"/>
      <c r="N397" s="165"/>
    </row>
    <row r="398" spans="1:14" s="3" customFormat="1" ht="12.2" customHeight="1" x14ac:dyDescent="0.15">
      <c r="A398" s="62" t="s">
        <v>515</v>
      </c>
      <c r="B398" s="2" t="s">
        <v>381</v>
      </c>
      <c r="C398" s="6">
        <v>10</v>
      </c>
      <c r="D398" s="2" t="s">
        <v>432</v>
      </c>
      <c r="E398" s="6"/>
      <c r="F398" s="18"/>
      <c r="G398" s="18"/>
      <c r="H398" s="18">
        <v>3213.99</v>
      </c>
      <c r="I398" s="18"/>
      <c r="J398" s="23" t="s">
        <v>288</v>
      </c>
      <c r="K398" s="23" t="s">
        <v>288</v>
      </c>
      <c r="L398" s="13">
        <f t="shared" si="26"/>
        <v>3213.99</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v>1057.26</v>
      </c>
      <c r="I400" s="18"/>
      <c r="J400" s="23" t="s">
        <v>288</v>
      </c>
      <c r="K400" s="23" t="s">
        <v>288</v>
      </c>
      <c r="L400" s="13">
        <f t="shared" si="26"/>
        <v>1057.26</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6192.4</v>
      </c>
      <c r="I402" s="38">
        <f>SUM(I396:I401)</f>
        <v>0</v>
      </c>
      <c r="J402" s="42" t="s">
        <v>288</v>
      </c>
      <c r="K402" s="42" t="s">
        <v>288</v>
      </c>
      <c r="L402" s="38">
        <f>SUM(L396:L401)</f>
        <v>6192.4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6192.4</v>
      </c>
      <c r="I409" s="38">
        <f>I394+I402+I408</f>
        <v>0</v>
      </c>
      <c r="J409" s="23" t="s">
        <v>288</v>
      </c>
      <c r="K409" s="23" t="s">
        <v>288</v>
      </c>
      <c r="L409" s="38">
        <f>L394+L402+L408</f>
        <v>6192.4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12839.3</v>
      </c>
      <c r="I423" s="18"/>
      <c r="J423" s="18"/>
      <c r="K423" s="18"/>
      <c r="L423" s="13">
        <f t="shared" si="29"/>
        <v>12839.3</v>
      </c>
      <c r="M423" s="8"/>
      <c r="N423" s="165"/>
    </row>
    <row r="424" spans="1:21" s="3" customFormat="1" ht="12.2" customHeight="1" x14ac:dyDescent="0.15">
      <c r="A424" s="62" t="s">
        <v>515</v>
      </c>
      <c r="B424" s="6">
        <v>17</v>
      </c>
      <c r="C424" s="6">
        <v>10</v>
      </c>
      <c r="D424" s="2" t="s">
        <v>432</v>
      </c>
      <c r="E424" s="6"/>
      <c r="F424" s="18"/>
      <c r="G424" s="18"/>
      <c r="H424" s="18">
        <v>21479.439999999999</v>
      </c>
      <c r="I424" s="18"/>
      <c r="J424" s="18"/>
      <c r="K424" s="18"/>
      <c r="L424" s="13">
        <f t="shared" si="29"/>
        <v>21479.439999999999</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v>7065.68</v>
      </c>
      <c r="I426" s="18"/>
      <c r="J426" s="18"/>
      <c r="K426" s="18"/>
      <c r="L426" s="13">
        <f t="shared" si="29"/>
        <v>7065.68</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41384.42</v>
      </c>
      <c r="I428" s="38">
        <f t="shared" si="30"/>
        <v>0</v>
      </c>
      <c r="J428" s="38">
        <f t="shared" si="30"/>
        <v>0</v>
      </c>
      <c r="K428" s="38">
        <f t="shared" si="30"/>
        <v>0</v>
      </c>
      <c r="L428" s="38">
        <f t="shared" si="30"/>
        <v>41384.42</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41384.42</v>
      </c>
      <c r="I435" s="38">
        <f t="shared" si="32"/>
        <v>0</v>
      </c>
      <c r="J435" s="38">
        <f t="shared" si="32"/>
        <v>0</v>
      </c>
      <c r="K435" s="38">
        <f t="shared" si="32"/>
        <v>0</v>
      </c>
      <c r="L435" s="38">
        <f t="shared" si="32"/>
        <v>41384.42</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441163.6</v>
      </c>
      <c r="H443" s="18"/>
      <c r="I443" s="13">
        <f t="shared" si="33"/>
        <v>441163.6</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441163.6</v>
      </c>
      <c r="H447" s="13">
        <f>SUM(H440:H446)</f>
        <v>0</v>
      </c>
      <c r="I447" s="13">
        <f>SUM(I440:I446)</f>
        <v>441163.6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441163.6</v>
      </c>
      <c r="H457" s="18"/>
      <c r="I457" s="13">
        <f t="shared" si="34"/>
        <v>441163.6</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441163.6</v>
      </c>
      <c r="H461" s="65">
        <f>SUM(H455:H460)</f>
        <v>0</v>
      </c>
      <c r="I461" s="65">
        <f>SUM(I455:I460)</f>
        <v>441163.6</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441163.6</v>
      </c>
      <c r="H462" s="39">
        <f>H453+H461</f>
        <v>0</v>
      </c>
      <c r="I462" s="39">
        <f>I453+I461</f>
        <v>441163.6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378900</v>
      </c>
      <c r="G466" s="18"/>
      <c r="H466" s="18">
        <v>0</v>
      </c>
      <c r="I466" s="18"/>
      <c r="J466" s="18">
        <v>476355.62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6386281.7400000002</v>
      </c>
      <c r="G469" s="18">
        <v>136411.28</v>
      </c>
      <c r="H469" s="18">
        <f>600+154271.3</f>
        <v>154871.29999999999</v>
      </c>
      <c r="I469" s="18"/>
      <c r="J469" s="18">
        <v>6192.4</v>
      </c>
      <c r="K469" s="23" t="s">
        <v>288</v>
      </c>
      <c r="L469" s="23" t="s">
        <v>288</v>
      </c>
      <c r="N469" s="131"/>
    </row>
    <row r="470" spans="1:14" ht="12.2" customHeight="1" x14ac:dyDescent="0.2">
      <c r="A470" s="71" t="s">
        <v>611</v>
      </c>
      <c r="B470" s="22">
        <v>19</v>
      </c>
      <c r="C470" s="31">
        <v>3</v>
      </c>
      <c r="D470" s="2" t="s">
        <v>432</v>
      </c>
      <c r="E470" s="31"/>
      <c r="F470" s="18">
        <v>22114.76</v>
      </c>
      <c r="G470" s="18"/>
      <c r="H470" s="18">
        <v>128176.77</v>
      </c>
      <c r="I470" s="18"/>
      <c r="J470" s="18"/>
      <c r="K470" s="23" t="s">
        <v>288</v>
      </c>
      <c r="L470" s="23" t="s">
        <v>288</v>
      </c>
      <c r="N470" s="131"/>
    </row>
    <row r="471" spans="1:14" ht="12.2" customHeight="1" x14ac:dyDescent="0.2">
      <c r="A471" s="32" t="s">
        <v>425</v>
      </c>
      <c r="B471" s="22">
        <v>19</v>
      </c>
      <c r="C471" s="31">
        <v>4</v>
      </c>
      <c r="D471" s="2" t="s">
        <v>432</v>
      </c>
      <c r="E471" s="31"/>
      <c r="F471" s="19">
        <f>SUM(F469:F470)</f>
        <v>6408396.5</v>
      </c>
      <c r="G471" s="19">
        <f>SUM(G469:G470)</f>
        <v>136411.28</v>
      </c>
      <c r="H471" s="19">
        <f>SUM(H469:H470)</f>
        <v>283048.07</v>
      </c>
      <c r="I471" s="19">
        <f>SUM(I469:I470)</f>
        <v>0</v>
      </c>
      <c r="J471" s="19">
        <f>SUM(J469:J470)</f>
        <v>6192.4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6149928.5</v>
      </c>
      <c r="G473" s="18">
        <v>136411.28</v>
      </c>
      <c r="H473" s="18">
        <v>156871.29999999999</v>
      </c>
      <c r="I473" s="18"/>
      <c r="J473" s="18">
        <f>39042.69+2341.73</f>
        <v>41384.420000000006</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6149928.5</v>
      </c>
      <c r="G475" s="19">
        <f>SUM(G473:G474)</f>
        <v>136411.28</v>
      </c>
      <c r="H475" s="19">
        <f>SUM(H473:H474)</f>
        <v>156871.29999999999</v>
      </c>
      <c r="I475" s="19">
        <f>SUM(I473:I474)</f>
        <v>0</v>
      </c>
      <c r="J475" s="19">
        <f>SUM(J473:J474)</f>
        <v>41384.420000000006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637368</v>
      </c>
      <c r="G477" s="19">
        <f>(G466+G471)- G475</f>
        <v>0</v>
      </c>
      <c r="H477" s="19">
        <f>(H466+H471)- H475</f>
        <v>126176.77000000002</v>
      </c>
      <c r="I477" s="19">
        <f>(I466+I471)- I475</f>
        <v>0</v>
      </c>
      <c r="J477" s="19">
        <f>(J466+J471)- J475</f>
        <v>441163.60000000003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1802</v>
      </c>
      <c r="B481" s="73"/>
      <c r="C481" s="73"/>
      <c r="D481" s="73"/>
      <c r="E481" s="73"/>
      <c r="F481" s="73"/>
      <c r="G481" s="73"/>
      <c r="H481" s="73"/>
      <c r="I481" s="73" t="s">
        <v>401</v>
      </c>
      <c r="J481" s="73"/>
      <c r="K481" s="73"/>
      <c r="L481" s="73"/>
      <c r="N481" s="131"/>
    </row>
    <row r="482" spans="1:14" ht="12.2" customHeight="1" x14ac:dyDescent="0.2">
      <c r="A482" s="20" t="s">
        <v>1803</v>
      </c>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f>57403+123601.42</f>
        <v>181004.41999999998</v>
      </c>
      <c r="G523" s="18">
        <v>46870.83</v>
      </c>
      <c r="H523" s="18">
        <v>63775.19</v>
      </c>
      <c r="I523" s="18">
        <v>956.25</v>
      </c>
      <c r="J523" s="18"/>
      <c r="K523" s="18"/>
      <c r="L523" s="69">
        <f>SUM(F523:K523)</f>
        <v>292606.69</v>
      </c>
      <c r="N523" s="131"/>
    </row>
    <row r="524" spans="1:14" ht="12.2" customHeight="1" thickBot="1" x14ac:dyDescent="0.25">
      <c r="A524" s="21" t="s">
        <v>635</v>
      </c>
      <c r="B524" s="22">
        <v>21</v>
      </c>
      <c r="C524" s="22">
        <v>3</v>
      </c>
      <c r="D524" s="2" t="s">
        <v>432</v>
      </c>
      <c r="E524" s="22"/>
      <c r="F524" s="18">
        <f>197110.76+30690.26</f>
        <v>227801.02000000002</v>
      </c>
      <c r="G524" s="18">
        <f>99574.24+37325.72</f>
        <v>136899.96000000002</v>
      </c>
      <c r="H524" s="18">
        <v>110875.97</v>
      </c>
      <c r="I524" s="18">
        <v>6928.53</v>
      </c>
      <c r="J524" s="18"/>
      <c r="K524" s="18"/>
      <c r="L524" s="69">
        <f>SUM(F524:K524)</f>
        <v>482505.4800000001</v>
      </c>
      <c r="N524" s="131"/>
    </row>
    <row r="525" spans="1:14" ht="12.2" customHeight="1" thickTop="1" x14ac:dyDescent="0.2">
      <c r="A525" s="97" t="s">
        <v>63</v>
      </c>
      <c r="B525" s="41">
        <v>21</v>
      </c>
      <c r="C525" s="41">
        <v>4</v>
      </c>
      <c r="D525" s="115" t="s">
        <v>432</v>
      </c>
      <c r="E525" s="41"/>
      <c r="F525" s="81">
        <f>SUM(F522:F524)</f>
        <v>408805.44</v>
      </c>
      <c r="G525" s="81">
        <f t="shared" ref="G525:L525" si="36">SUM(G522:G524)</f>
        <v>183770.79000000004</v>
      </c>
      <c r="H525" s="81">
        <f t="shared" si="36"/>
        <v>174651.16</v>
      </c>
      <c r="I525" s="81">
        <f t="shared" si="36"/>
        <v>7884.78</v>
      </c>
      <c r="J525" s="81">
        <f t="shared" si="36"/>
        <v>0</v>
      </c>
      <c r="K525" s="81">
        <f t="shared" si="36"/>
        <v>0</v>
      </c>
      <c r="L525" s="70">
        <f t="shared" si="36"/>
        <v>775112.17000000016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v>69182.13</v>
      </c>
      <c r="G528" s="18">
        <v>41998.26</v>
      </c>
      <c r="H528" s="18">
        <v>25422.91</v>
      </c>
      <c r="I528" s="18">
        <v>355.96</v>
      </c>
      <c r="J528" s="18">
        <v>77.14</v>
      </c>
      <c r="K528" s="18"/>
      <c r="L528" s="69">
        <f>SUM(F528:K528)</f>
        <v>137036.40000000002</v>
      </c>
      <c r="M528" s="8"/>
      <c r="N528" s="165"/>
    </row>
    <row r="529" spans="1:14" s="3" customFormat="1" ht="12.2" customHeight="1" thickBot="1" x14ac:dyDescent="0.2">
      <c r="A529" s="21" t="s">
        <v>635</v>
      </c>
      <c r="B529" s="22">
        <v>21</v>
      </c>
      <c r="C529" s="22">
        <v>7</v>
      </c>
      <c r="D529" s="2" t="s">
        <v>432</v>
      </c>
      <c r="E529" s="22"/>
      <c r="F529" s="18">
        <f>106468.84+400</f>
        <v>106868.84</v>
      </c>
      <c r="G529" s="18">
        <f>63479.26+31</f>
        <v>63510.26</v>
      </c>
      <c r="H529" s="18">
        <v>47702.46</v>
      </c>
      <c r="I529" s="18">
        <v>1779.29</v>
      </c>
      <c r="J529" s="18">
        <v>143.26</v>
      </c>
      <c r="K529" s="18"/>
      <c r="L529" s="69">
        <f>SUM(F529:K529)</f>
        <v>220004.11000000002</v>
      </c>
      <c r="M529" s="8"/>
      <c r="N529" s="165"/>
    </row>
    <row r="530" spans="1:14" s="3" customFormat="1" ht="12.2" customHeight="1" thickTop="1" x14ac:dyDescent="0.15">
      <c r="A530" s="97" t="s">
        <v>65</v>
      </c>
      <c r="B530" s="41">
        <v>21</v>
      </c>
      <c r="C530" s="41">
        <v>8</v>
      </c>
      <c r="D530" s="115" t="s">
        <v>432</v>
      </c>
      <c r="E530" s="41"/>
      <c r="F530" s="70">
        <f>SUM(F527:F529)</f>
        <v>176050.97</v>
      </c>
      <c r="G530" s="70">
        <f t="shared" ref="G530:L530" si="37">SUM(G527:G529)</f>
        <v>105508.52</v>
      </c>
      <c r="H530" s="70">
        <f t="shared" si="37"/>
        <v>73125.37</v>
      </c>
      <c r="I530" s="70">
        <f t="shared" si="37"/>
        <v>2135.25</v>
      </c>
      <c r="J530" s="70">
        <f t="shared" si="37"/>
        <v>220.39999999999998</v>
      </c>
      <c r="K530" s="70">
        <f t="shared" si="37"/>
        <v>0</v>
      </c>
      <c r="L530" s="70">
        <f t="shared" si="37"/>
        <v>357040.51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51101.43</v>
      </c>
      <c r="I544" s="18"/>
      <c r="J544" s="18"/>
      <c r="K544" s="18"/>
      <c r="L544" s="69">
        <f>SUM(F544:K544)</f>
        <v>51101.43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51101.43</v>
      </c>
      <c r="I545" s="141">
        <f t="shared" si="40"/>
        <v>0</v>
      </c>
      <c r="J545" s="141">
        <f t="shared" si="40"/>
        <v>0</v>
      </c>
      <c r="K545" s="141">
        <f t="shared" si="40"/>
        <v>0</v>
      </c>
      <c r="L545" s="141">
        <f t="shared" si="40"/>
        <v>51101.43</v>
      </c>
      <c r="M545" s="8"/>
      <c r="N545" s="165"/>
    </row>
    <row r="546" spans="1:14" s="3" customFormat="1" ht="12.2" customHeight="1" thickTop="1" x14ac:dyDescent="0.15">
      <c r="A546" s="75" t="s">
        <v>72</v>
      </c>
      <c r="B546" s="41">
        <v>21</v>
      </c>
      <c r="C546" s="41">
        <v>21</v>
      </c>
      <c r="D546" s="115" t="s">
        <v>432</v>
      </c>
      <c r="E546" s="41"/>
      <c r="F546" s="70">
        <f>F525+F530+F535+F540+F545</f>
        <v>584856.41</v>
      </c>
      <c r="G546" s="70">
        <f t="shared" ref="G546:L546" si="41">G525+G530+G535+G540+G545</f>
        <v>289279.31000000006</v>
      </c>
      <c r="H546" s="70">
        <f t="shared" si="41"/>
        <v>298877.96000000002</v>
      </c>
      <c r="I546" s="70">
        <f t="shared" si="41"/>
        <v>10020.029999999999</v>
      </c>
      <c r="J546" s="70">
        <f t="shared" si="41"/>
        <v>220.39999999999998</v>
      </c>
      <c r="K546" s="70">
        <f t="shared" si="41"/>
        <v>0</v>
      </c>
      <c r="L546" s="70">
        <f t="shared" si="41"/>
        <v>1183254.1100000001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2" customHeight="1" x14ac:dyDescent="0.15">
      <c r="A551" s="21" t="s">
        <v>634</v>
      </c>
      <c r="B551" s="22">
        <v>21</v>
      </c>
      <c r="C551" s="22">
        <v>23</v>
      </c>
      <c r="D551" s="2" t="s">
        <v>432</v>
      </c>
      <c r="E551" s="22"/>
      <c r="F551" s="69">
        <f>L523</f>
        <v>292606.69</v>
      </c>
      <c r="G551" s="69">
        <f>L528</f>
        <v>137036.40000000002</v>
      </c>
      <c r="H551" s="69">
        <f>L533</f>
        <v>0</v>
      </c>
      <c r="I551" s="69">
        <f>L538</f>
        <v>0</v>
      </c>
      <c r="J551" s="69">
        <f>L543</f>
        <v>0</v>
      </c>
      <c r="K551" s="69">
        <f>SUM(F551:J551)</f>
        <v>429643.09</v>
      </c>
      <c r="L551" s="23" t="s">
        <v>288</v>
      </c>
      <c r="M551" s="8"/>
      <c r="N551" s="165"/>
    </row>
    <row r="552" spans="1:14" s="3" customFormat="1" ht="12.2" customHeight="1" thickBot="1" x14ac:dyDescent="0.2">
      <c r="A552" s="21" t="s">
        <v>635</v>
      </c>
      <c r="B552" s="22">
        <v>21</v>
      </c>
      <c r="C552" s="22">
        <v>24</v>
      </c>
      <c r="D552" s="2" t="s">
        <v>432</v>
      </c>
      <c r="E552" s="22"/>
      <c r="F552" s="69">
        <f>L524</f>
        <v>482505.4800000001</v>
      </c>
      <c r="G552" s="69">
        <f>L529</f>
        <v>220004.11000000002</v>
      </c>
      <c r="H552" s="69">
        <f>L534</f>
        <v>0</v>
      </c>
      <c r="I552" s="69">
        <f>L539</f>
        <v>0</v>
      </c>
      <c r="J552" s="69">
        <f>L544</f>
        <v>51101.43</v>
      </c>
      <c r="K552" s="69">
        <f>SUM(F552:J552)</f>
        <v>753611.02000000014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775112.17000000016</v>
      </c>
      <c r="G553" s="70">
        <f t="shared" si="42"/>
        <v>357040.51</v>
      </c>
      <c r="H553" s="70">
        <f t="shared" si="42"/>
        <v>0</v>
      </c>
      <c r="I553" s="70">
        <f t="shared" si="42"/>
        <v>0</v>
      </c>
      <c r="J553" s="70">
        <f t="shared" si="42"/>
        <v>51101.43</v>
      </c>
      <c r="K553" s="70">
        <f t="shared" si="42"/>
        <v>1183254.1100000001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v>53720.639999999999</v>
      </c>
      <c r="H583" s="18">
        <v>108779.72</v>
      </c>
      <c r="I583" s="69">
        <f t="shared" si="47"/>
        <v>162500.35999999999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14747.43</v>
      </c>
      <c r="I585" s="69">
        <f t="shared" si="47"/>
        <v>14747.43</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8">SUM(H592:J592)</f>
        <v>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51101.43</v>
      </c>
      <c r="K593" s="80">
        <f t="shared" si="48"/>
        <v>51101.43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v>12567.39</v>
      </c>
      <c r="J594" s="18">
        <v>23339.51</v>
      </c>
      <c r="K594" s="80">
        <f t="shared" si="48"/>
        <v>35906.899999999994</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f>965.25+73.83+6.65+100.24+11448.85</f>
        <v>12594.82</v>
      </c>
      <c r="J595" s="18">
        <f>1734.73+132.72+12.34+174.06+21262.11+473.94+901.54</f>
        <v>24691.439999999999</v>
      </c>
      <c r="K595" s="80">
        <f t="shared" si="48"/>
        <v>37286.259999999995</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f>4489.1+255.2+485.43</f>
        <v>5229.7300000000005</v>
      </c>
      <c r="J596" s="18">
        <v>8336.9</v>
      </c>
      <c r="K596" s="80">
        <f t="shared" si="48"/>
        <v>13566.630000000001</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t="s">
        <v>286</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30391.94</v>
      </c>
      <c r="J599" s="81">
        <f>SUM(J592:J598)</f>
        <v>107469.28</v>
      </c>
      <c r="K599" s="81">
        <f>SUM(K592:K598)</f>
        <v>137861.21999999997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v>15709.97</v>
      </c>
      <c r="J605" s="18">
        <v>47472.11</v>
      </c>
      <c r="K605" s="80">
        <f>SUM(H605:J605)</f>
        <v>63182.080000000002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15709.97</v>
      </c>
      <c r="J606" s="81">
        <f>SUM(J603:J605)</f>
        <v>47472.11</v>
      </c>
      <c r="K606" s="81">
        <f>SUM(K603:K605)</f>
        <v>63182.080000000002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881240.54999999993</v>
      </c>
      <c r="H618" s="80">
        <f>SUM(F52)</f>
        <v>881240.55</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57878.530000000006</v>
      </c>
      <c r="H619" s="80">
        <f>SUM(G52)</f>
        <v>57878.530000000006</v>
      </c>
      <c r="I619" s="87" t="s">
        <v>876</v>
      </c>
      <c r="J619" s="80">
        <f>G619-H619</f>
        <v>0</v>
      </c>
      <c r="K619" s="80"/>
      <c r="L619" s="80"/>
      <c r="M619" s="8"/>
    </row>
    <row r="620" spans="1:14" s="3" customFormat="1" ht="12.2" customHeight="1" x14ac:dyDescent="0.15">
      <c r="A620" s="74"/>
      <c r="B620" s="22"/>
      <c r="C620" s="22"/>
      <c r="D620" s="22"/>
      <c r="E620" s="22"/>
      <c r="F620" s="87" t="s">
        <v>685</v>
      </c>
      <c r="G620" s="80">
        <f>SUM(H19)</f>
        <v>170554.87000000002</v>
      </c>
      <c r="H620" s="80">
        <f>SUM(H52)</f>
        <v>170554.87</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441163.6</v>
      </c>
      <c r="H622" s="80">
        <f>SUM(J52)</f>
        <v>441163.6</v>
      </c>
      <c r="I622" s="87" t="s">
        <v>879</v>
      </c>
      <c r="J622" s="80">
        <f>G622-H622</f>
        <v>0</v>
      </c>
      <c r="K622" s="80"/>
      <c r="L622" s="80"/>
      <c r="M622" s="8"/>
    </row>
    <row r="623" spans="1:14" s="3" customFormat="1" ht="12.2" customHeight="1" x14ac:dyDescent="0.15">
      <c r="A623" s="74"/>
      <c r="B623" s="22"/>
      <c r="C623" s="22"/>
      <c r="D623" s="22"/>
      <c r="E623" s="22"/>
      <c r="F623" s="87" t="s">
        <v>865</v>
      </c>
      <c r="G623" s="80">
        <f>F51</f>
        <v>637368</v>
      </c>
      <c r="H623" s="80">
        <f>F477</f>
        <v>637368</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126176.77</v>
      </c>
      <c r="H625" s="80">
        <f>H477</f>
        <v>126176.77000000002</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441163.6</v>
      </c>
      <c r="H627" s="80">
        <f>J477</f>
        <v>441163.60000000003</v>
      </c>
      <c r="I627" s="87" t="s">
        <v>105</v>
      </c>
      <c r="J627" s="80">
        <f t="shared" si="50"/>
        <v>0</v>
      </c>
      <c r="K627" s="67"/>
      <c r="L627" s="69"/>
      <c r="M627" s="8"/>
    </row>
    <row r="628" spans="1:13" s="3" customFormat="1" ht="12.2" customHeight="1" x14ac:dyDescent="0.15">
      <c r="A628" s="21"/>
      <c r="B628" s="22"/>
      <c r="C628" s="22"/>
      <c r="D628" s="22"/>
      <c r="E628" s="22"/>
      <c r="F628" s="86" t="s">
        <v>658</v>
      </c>
      <c r="G628" s="80">
        <f>F194</f>
        <v>6386281.7400000002</v>
      </c>
      <c r="H628" s="80">
        <f>SUM(F469)</f>
        <v>6386281.7400000002</v>
      </c>
      <c r="I628" s="87" t="s">
        <v>106</v>
      </c>
      <c r="J628" s="80">
        <f>G628-H628</f>
        <v>0</v>
      </c>
      <c r="K628" s="67"/>
      <c r="L628" s="69"/>
      <c r="M628" s="8"/>
    </row>
    <row r="629" spans="1:13" s="3" customFormat="1" ht="12.2" customHeight="1" x14ac:dyDescent="0.15">
      <c r="A629" s="21"/>
      <c r="B629" s="22"/>
      <c r="C629" s="22"/>
      <c r="D629" s="22"/>
      <c r="E629" s="22"/>
      <c r="F629" s="86" t="s">
        <v>659</v>
      </c>
      <c r="G629" s="80">
        <f>G194</f>
        <v>136411.28</v>
      </c>
      <c r="H629" s="80">
        <f>SUM(G469)</f>
        <v>136411.28</v>
      </c>
      <c r="I629" s="87" t="s">
        <v>107</v>
      </c>
      <c r="J629" s="80">
        <f>G629-H629</f>
        <v>0</v>
      </c>
      <c r="K629" s="67"/>
      <c r="L629" s="69"/>
      <c r="M629" s="8"/>
    </row>
    <row r="630" spans="1:13" s="3" customFormat="1" ht="12.2" customHeight="1" x14ac:dyDescent="0.15">
      <c r="A630" s="21"/>
      <c r="B630" s="22"/>
      <c r="C630" s="22"/>
      <c r="D630" s="22"/>
      <c r="E630" s="22"/>
      <c r="F630" s="86" t="s">
        <v>660</v>
      </c>
      <c r="G630" s="80">
        <f>H194</f>
        <v>154871.29999999999</v>
      </c>
      <c r="H630" s="80">
        <f>SUM(H469)</f>
        <v>154871.29999999999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6192.4</v>
      </c>
      <c r="H632" s="80">
        <f>SUM(J469)</f>
        <v>6192.4</v>
      </c>
      <c r="I632" s="87" t="s">
        <v>110</v>
      </c>
      <c r="J632" s="80">
        <f>G632-H632</f>
        <v>0</v>
      </c>
      <c r="K632" s="67"/>
      <c r="L632" s="69"/>
      <c r="M632" s="8"/>
    </row>
    <row r="633" spans="1:13" s="3" customFormat="1" ht="12.2" customHeight="1" x14ac:dyDescent="0.15">
      <c r="A633" s="21"/>
      <c r="B633" s="22"/>
      <c r="C633" s="22"/>
      <c r="D633" s="22"/>
      <c r="E633" s="22"/>
      <c r="F633" s="86" t="s">
        <v>394</v>
      </c>
      <c r="G633" s="80">
        <f>SUM(L272)</f>
        <v>6149928.5030000005</v>
      </c>
      <c r="H633" s="80">
        <f>SUM(F473)</f>
        <v>6149928.5</v>
      </c>
      <c r="I633" s="87" t="s">
        <v>111</v>
      </c>
      <c r="J633" s="80">
        <f t="shared" si="50"/>
        <v>3.0000004917383194E-3</v>
      </c>
      <c r="K633" s="67"/>
      <c r="L633" s="69"/>
      <c r="M633" s="8"/>
    </row>
    <row r="634" spans="1:13" s="3" customFormat="1" ht="12.2" customHeight="1" x14ac:dyDescent="0.15">
      <c r="A634" s="21"/>
      <c r="B634" s="22"/>
      <c r="C634" s="22"/>
      <c r="D634" s="22"/>
      <c r="E634" s="22"/>
      <c r="F634" s="86" t="s">
        <v>395</v>
      </c>
      <c r="G634" s="80">
        <f>SUM(L353)</f>
        <v>156871.29999999999</v>
      </c>
      <c r="H634" s="80">
        <f>SUM(H473)</f>
        <v>156871.29999999999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11454.09</v>
      </c>
      <c r="H635" s="80">
        <f>I370</f>
        <v>11454.09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136411.28</v>
      </c>
      <c r="H636" s="80">
        <f>SUM(G473)</f>
        <v>136411.28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6192.4</v>
      </c>
      <c r="H638" s="108">
        <f>SUM(J469)</f>
        <v>6192.4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41384.42</v>
      </c>
      <c r="H639" s="108">
        <f>SUM(J473)</f>
        <v>41384.420000000006</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441163.6</v>
      </c>
      <c r="H641" s="80">
        <f>SUM(G462)</f>
        <v>441163.6</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441163.6</v>
      </c>
      <c r="H643" s="80">
        <f>SUM(I462)</f>
        <v>441163.6</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6192.4</v>
      </c>
      <c r="H645" s="80">
        <f>H409</f>
        <v>6192.4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6192.4</v>
      </c>
      <c r="H647" s="80">
        <f>L409</f>
        <v>6192.4</v>
      </c>
      <c r="I647" s="87" t="s">
        <v>477</v>
      </c>
      <c r="J647" s="80">
        <f t="shared" si="50"/>
        <v>0</v>
      </c>
      <c r="K647" s="67"/>
      <c r="L647" s="69"/>
      <c r="M647" s="8"/>
    </row>
    <row r="648" spans="1:13" s="3" customFormat="1" ht="12.2" customHeight="1" x14ac:dyDescent="0.15">
      <c r="A648" s="21"/>
      <c r="B648" s="22"/>
      <c r="C648" s="22"/>
      <c r="D648" s="22"/>
      <c r="E648" s="22"/>
      <c r="F648" s="86" t="s">
        <v>51</v>
      </c>
      <c r="G648" s="80">
        <f>K599</f>
        <v>137861.21999999997</v>
      </c>
      <c r="H648" s="80">
        <f>L209+L227+L245</f>
        <v>137861.22</v>
      </c>
      <c r="I648" s="87" t="s">
        <v>396</v>
      </c>
      <c r="J648" s="80">
        <f t="shared" si="50"/>
        <v>0</v>
      </c>
      <c r="K648" s="67"/>
      <c r="L648" s="69"/>
      <c r="M648" s="8"/>
    </row>
    <row r="649" spans="1:13" s="3" customFormat="1" ht="12.2" customHeight="1" x14ac:dyDescent="0.15">
      <c r="A649" s="21"/>
      <c r="B649" s="22"/>
      <c r="C649" s="22"/>
      <c r="D649" s="22"/>
      <c r="E649" s="22"/>
      <c r="F649" s="86" t="s">
        <v>52</v>
      </c>
      <c r="G649" s="80">
        <f>K606</f>
        <v>63182.080000000002</v>
      </c>
      <c r="H649" s="80">
        <f>(J258+J339)-(J256+J337)</f>
        <v>63182.080000000002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0"/>
        <v>0</v>
      </c>
      <c r="K650" s="67"/>
      <c r="L650" s="69"/>
      <c r="M650" s="8"/>
    </row>
    <row r="651" spans="1:13" s="3" customFormat="1" ht="12.2" customHeight="1" x14ac:dyDescent="0.15">
      <c r="A651" s="21"/>
      <c r="B651" s="22"/>
      <c r="C651" s="22"/>
      <c r="D651" s="22"/>
      <c r="E651" s="22"/>
      <c r="F651" s="86" t="s">
        <v>392</v>
      </c>
      <c r="G651" s="80">
        <f>L227</f>
        <v>30391.940000000002</v>
      </c>
      <c r="H651" s="80">
        <f>I599</f>
        <v>30391.94</v>
      </c>
      <c r="I651" s="87" t="s">
        <v>389</v>
      </c>
      <c r="J651" s="80">
        <f t="shared" si="50"/>
        <v>0</v>
      </c>
      <c r="K651" s="67"/>
      <c r="L651" s="69"/>
      <c r="M651" s="8"/>
    </row>
    <row r="652" spans="1:13" s="3" customFormat="1" ht="12.2" customHeight="1" x14ac:dyDescent="0.15">
      <c r="A652" s="21"/>
      <c r="B652" s="22"/>
      <c r="C652" s="22"/>
      <c r="D652" s="22"/>
      <c r="E652" s="22"/>
      <c r="F652" s="86" t="s">
        <v>393</v>
      </c>
      <c r="G652" s="80">
        <f>L245</f>
        <v>107469.28</v>
      </c>
      <c r="H652" s="80">
        <f>J599</f>
        <v>107469.28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12899.76</v>
      </c>
      <c r="H653" s="80">
        <f>K264+K346</f>
        <v>12899.76</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2.9999986290931702E-3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0</v>
      </c>
      <c r="G661" s="13">
        <f>(L230+L310+L360)</f>
        <v>1901108.8500000003</v>
      </c>
      <c r="H661" s="13">
        <f>(L248+L329+L361)</f>
        <v>3833286.8099999991</v>
      </c>
      <c r="I661" s="13">
        <f>SUM(F661:H661)</f>
        <v>5734395.6599999992</v>
      </c>
      <c r="J661" s="13"/>
      <c r="K661" s="13"/>
      <c r="L661" s="13"/>
      <c r="M661" s="9"/>
    </row>
    <row r="662" spans="1:13" s="3" customFormat="1" ht="12.2" customHeight="1" x14ac:dyDescent="0.2">
      <c r="A662" s="1" t="s">
        <v>127</v>
      </c>
      <c r="F662" s="13">
        <f>(L359/IF(SUM(L359:L361)=0,1,SUM(L359:L361))*(SUM(G97:G110)))</f>
        <v>0</v>
      </c>
      <c r="G662" s="13">
        <f>(L360/IF(SUM(L359:L361)=0,1,SUM(L359:L361))*(SUM(G97:G110)))</f>
        <v>6388.2597676049963</v>
      </c>
      <c r="H662" s="13">
        <f>(L361/IF(SUM(L359:L361)=0,1,SUM(L359:L361))*(SUM(G97:G110)))</f>
        <v>11863.910232395006</v>
      </c>
      <c r="I662" s="13">
        <f>SUM(F662:H662)</f>
        <v>18252.170000000002</v>
      </c>
      <c r="J662"/>
      <c r="K662" s="13"/>
      <c r="L662" s="13"/>
      <c r="M662" s="8"/>
    </row>
    <row r="663" spans="1:13" s="3" customFormat="1" ht="12.2" customHeight="1" x14ac:dyDescent="0.2">
      <c r="A663" s="1" t="s">
        <v>128</v>
      </c>
      <c r="F663" s="13">
        <f>(L209+L288)-(J209+J288)</f>
        <v>0</v>
      </c>
      <c r="G663" s="13">
        <f>(L227+L307)-(J227+J307)</f>
        <v>30391.940000000002</v>
      </c>
      <c r="H663" s="13">
        <f>(L245+L326)-(J245+J326)</f>
        <v>108768.26</v>
      </c>
      <c r="I663" s="13">
        <f>SUM(F663:H663)</f>
        <v>139160.20000000001</v>
      </c>
      <c r="J663"/>
      <c r="K663" s="13"/>
      <c r="L663" s="13"/>
      <c r="M663" s="9"/>
    </row>
    <row r="664" spans="1:13" s="3" customFormat="1" ht="12.2" customHeight="1" x14ac:dyDescent="0.15">
      <c r="A664" s="142" t="s">
        <v>129</v>
      </c>
      <c r="B664" s="124"/>
      <c r="C664" s="124"/>
      <c r="D664" s="124"/>
      <c r="E664" s="124"/>
      <c r="F664" s="143">
        <f>SUM(F576:F588)+SUM(H603:H605)+SUM(L612)</f>
        <v>0</v>
      </c>
      <c r="G664" s="143">
        <f>SUM(G576:G588)+SUM(I603:I605)+L613</f>
        <v>69430.61</v>
      </c>
      <c r="H664" s="143">
        <f>SUM(H576:H588)+SUM(J603:J605)+L614</f>
        <v>170999.26</v>
      </c>
      <c r="I664" s="13">
        <f>SUM(F664:H664)</f>
        <v>240429.87</v>
      </c>
      <c r="J664" s="13"/>
      <c r="K664" s="13"/>
      <c r="L664" s="13"/>
      <c r="M664" s="9"/>
    </row>
    <row r="665" spans="1:13" s="3" customFormat="1" ht="12.2" customHeight="1" x14ac:dyDescent="0.15">
      <c r="A665" s="1" t="s">
        <v>130</v>
      </c>
      <c r="F665" s="13">
        <f>F661-SUM(F662:F664)</f>
        <v>0</v>
      </c>
      <c r="G665" s="13">
        <f>G661-SUM(G662:G664)</f>
        <v>1794898.0402323953</v>
      </c>
      <c r="H665" s="13">
        <f>H661-SUM(H662:H664)</f>
        <v>3541655.3797676042</v>
      </c>
      <c r="I665" s="13">
        <f>I661-SUM(I662:I664)</f>
        <v>5336553.419999999</v>
      </c>
      <c r="J665" s="13"/>
      <c r="K665" s="13"/>
      <c r="L665" s="13"/>
      <c r="M665" s="8"/>
    </row>
    <row r="666" spans="1:13" s="3" customFormat="1" ht="12.2" customHeight="1" x14ac:dyDescent="0.2">
      <c r="A666" s="1" t="s">
        <v>131</v>
      </c>
      <c r="F666" s="183">
        <v>0</v>
      </c>
      <c r="G666" s="184">
        <v>84.49</v>
      </c>
      <c r="H666" s="184">
        <v>140.34</v>
      </c>
      <c r="I666" s="13">
        <f>SUM(F666:H666)</f>
        <v>224.82999999999998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f>ROUND(G665/G666,2)</f>
        <v>21243.91</v>
      </c>
      <c r="H668" s="13">
        <f>ROUND(H665/H666,2)</f>
        <v>25236.25</v>
      </c>
      <c r="I668" s="13">
        <f>ROUND(I665/I666,2)</f>
        <v>23735.95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-3.33</v>
      </c>
      <c r="I671" s="13">
        <f>SUM(F671:H671)</f>
        <v>-3.33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f>ROUND((G665+G670)/(G666+G671),2)</f>
        <v>21243.91</v>
      </c>
      <c r="H673" s="13">
        <f>ROUND((H665+H670)/(H666+H671),2)</f>
        <v>25849.61</v>
      </c>
      <c r="I673" s="13">
        <f>ROUND((I665+I670)/(I666+I671),2)</f>
        <v>24092.79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24" sqref="H24"/>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9633.83</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9633.83</v>
      </c>
      <c r="F9" s="276" t="s">
        <v>1644</v>
      </c>
    </row>
    <row r="10" spans="2:8" x14ac:dyDescent="0.25">
      <c r="B10" s="275"/>
      <c r="C10" s="275"/>
      <c r="D10" s="275"/>
      <c r="E10" s="275"/>
      <c r="F10" s="275"/>
    </row>
    <row r="11" spans="2:8" x14ac:dyDescent="0.25">
      <c r="B11" s="275"/>
      <c r="C11" s="279" t="s">
        <v>1648</v>
      </c>
      <c r="D11" s="276" t="s">
        <v>1651</v>
      </c>
      <c r="E11" s="263">
        <v>0</v>
      </c>
      <c r="F11" s="276" t="s">
        <v>1645</v>
      </c>
    </row>
    <row r="12" spans="2:8" x14ac:dyDescent="0.25">
      <c r="B12" s="275"/>
      <c r="C12" s="275"/>
      <c r="D12" s="276"/>
      <c r="E12" s="275"/>
      <c r="F12" s="275"/>
    </row>
    <row r="13" spans="2:8" x14ac:dyDescent="0.25">
      <c r="B13" s="275"/>
      <c r="C13" s="276" t="s">
        <v>1638</v>
      </c>
      <c r="D13" s="276" t="s">
        <v>1652</v>
      </c>
      <c r="E13" s="263">
        <v>0</v>
      </c>
      <c r="F13" s="276" t="s">
        <v>1646</v>
      </c>
    </row>
    <row r="14" spans="2:8" x14ac:dyDescent="0.25">
      <c r="B14" s="275"/>
      <c r="C14" s="275"/>
      <c r="D14" s="276"/>
      <c r="E14" s="275"/>
      <c r="F14" s="275"/>
    </row>
    <row r="15" spans="2:8" x14ac:dyDescent="0.25">
      <c r="B15" s="275"/>
      <c r="C15" s="276" t="s">
        <v>1640</v>
      </c>
      <c r="D15" s="276" t="s">
        <v>1653</v>
      </c>
      <c r="E15" s="263">
        <v>0</v>
      </c>
      <c r="F15" s="276" t="s">
        <v>1647</v>
      </c>
    </row>
    <row r="16" spans="2:8" x14ac:dyDescent="0.25">
      <c r="B16" s="275"/>
      <c r="C16" s="275"/>
      <c r="D16" s="275"/>
      <c r="E16" s="275"/>
      <c r="F16" s="275"/>
    </row>
    <row r="17" spans="2:8" x14ac:dyDescent="0.25">
      <c r="B17" s="275"/>
      <c r="C17" s="276" t="s">
        <v>1639</v>
      </c>
      <c r="D17" s="276" t="s">
        <v>1654</v>
      </c>
      <c r="E17" s="263">
        <v>0</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0</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402</v>
      </c>
      <c r="C3" s="243"/>
      <c r="D3" s="243"/>
      <c r="E3" s="243"/>
      <c r="F3" s="243"/>
      <c r="G3" s="243"/>
      <c r="H3" s="243"/>
      <c r="I3" t="s">
        <v>1613</v>
      </c>
    </row>
    <row r="4" spans="1:9" x14ac:dyDescent="0.2">
      <c r="I4" t="s">
        <v>1614</v>
      </c>
    </row>
    <row r="5" spans="1:9" ht="15.75" x14ac:dyDescent="0.25">
      <c r="A5" s="239" t="s">
        <v>908</v>
      </c>
      <c r="B5" s="301" t="str">
        <f>'DOE25'!A2</f>
        <v>Profile</v>
      </c>
      <c r="C5" s="302"/>
      <c r="D5" s="302"/>
      <c r="E5" s="302"/>
      <c r="F5" s="302"/>
    </row>
    <row r="8" spans="1:9" ht="18" x14ac:dyDescent="0.25">
      <c r="A8" s="240" t="s">
        <v>1568</v>
      </c>
      <c r="F8" s="247" t="s">
        <v>1586</v>
      </c>
    </row>
    <row r="9" spans="1:9" ht="15" x14ac:dyDescent="0.2">
      <c r="A9" s="238" t="s">
        <v>1569</v>
      </c>
      <c r="B9" s="241">
        <f>'DOE25'!G97</f>
        <v>18252.170000000002</v>
      </c>
      <c r="F9" s="238" t="s">
        <v>1582</v>
      </c>
    </row>
    <row r="10" spans="1:9" ht="15" x14ac:dyDescent="0.2">
      <c r="A10" s="238" t="s">
        <v>1570</v>
      </c>
      <c r="B10" s="241">
        <f>'DOE25'!G112-'DOE25'!G97</f>
        <v>0</v>
      </c>
      <c r="F10" s="238" t="s">
        <v>1583</v>
      </c>
    </row>
    <row r="11" spans="1:9" ht="15" x14ac:dyDescent="0.2">
      <c r="A11" s="238" t="s">
        <v>1571</v>
      </c>
      <c r="B11" s="241">
        <f>'DOE25'!G140</f>
        <v>1564.5</v>
      </c>
      <c r="F11" s="238" t="s">
        <v>1584</v>
      </c>
    </row>
    <row r="12" spans="1:9" ht="15" x14ac:dyDescent="0.2">
      <c r="A12" s="238" t="s">
        <v>1572</v>
      </c>
      <c r="B12" s="241">
        <f>'DOE25'!G170</f>
        <v>103694.85</v>
      </c>
      <c r="F12" s="238" t="s">
        <v>1585</v>
      </c>
    </row>
    <row r="13" spans="1:9" ht="15" x14ac:dyDescent="0.2">
      <c r="A13" s="238" t="s">
        <v>1573</v>
      </c>
      <c r="B13" s="241">
        <f>'DOE25'!G193-'DOE25'!G180</f>
        <v>0</v>
      </c>
      <c r="F13" s="238" t="s">
        <v>1595</v>
      </c>
    </row>
    <row r="14" spans="1:9" ht="18" x14ac:dyDescent="0.25">
      <c r="A14" s="240" t="s">
        <v>732</v>
      </c>
      <c r="B14" s="242">
        <f>SUM(B9:B13)</f>
        <v>123511.52</v>
      </c>
    </row>
    <row r="16" spans="1:9" ht="18" x14ac:dyDescent="0.25">
      <c r="A16" s="240" t="s">
        <v>786</v>
      </c>
      <c r="F16" s="247" t="s">
        <v>1587</v>
      </c>
    </row>
    <row r="17" spans="1:6" ht="15" x14ac:dyDescent="0.2">
      <c r="A17" s="238" t="s">
        <v>1574</v>
      </c>
      <c r="B17" s="241">
        <f>'DOE25'!L363-'DOE25'!L362</f>
        <v>136411.28</v>
      </c>
      <c r="F17" s="238" t="s">
        <v>1588</v>
      </c>
    </row>
    <row r="18" spans="1:6" ht="15" x14ac:dyDescent="0.2">
      <c r="A18" s="238" t="s">
        <v>1575</v>
      </c>
      <c r="B18" s="251"/>
      <c r="F18" s="247" t="s">
        <v>1612</v>
      </c>
    </row>
    <row r="19" spans="1:6" ht="18" x14ac:dyDescent="0.25">
      <c r="A19" s="240" t="s">
        <v>725</v>
      </c>
      <c r="B19" s="242">
        <f>SUM(B17:B18)</f>
        <v>136411.28</v>
      </c>
    </row>
    <row r="21" spans="1:6" ht="18.75" thickBot="1" x14ac:dyDescent="0.3">
      <c r="A21" s="240" t="s">
        <v>1576</v>
      </c>
    </row>
    <row r="22" spans="1:6" ht="18.75" thickTop="1" x14ac:dyDescent="0.25">
      <c r="A22" s="240" t="s">
        <v>1577</v>
      </c>
      <c r="B22" s="246">
        <f>B14-B19</f>
        <v>-12899.759999999995</v>
      </c>
      <c r="F22" s="238" t="s">
        <v>1589</v>
      </c>
    </row>
    <row r="26" spans="1:6" ht="18" x14ac:dyDescent="0.25">
      <c r="A26" s="240" t="s">
        <v>186</v>
      </c>
    </row>
    <row r="27" spans="1:6" ht="15" x14ac:dyDescent="0.2">
      <c r="A27" s="238" t="s">
        <v>1578</v>
      </c>
      <c r="B27" s="241">
        <f>'DOE25'!G180</f>
        <v>12899.76</v>
      </c>
      <c r="F27" s="238" t="s">
        <v>1590</v>
      </c>
    </row>
    <row r="28" spans="1:6" ht="15" x14ac:dyDescent="0.2">
      <c r="A28" s="238" t="s">
        <v>1580</v>
      </c>
      <c r="B28" s="241">
        <f>'DOE25'!L362</f>
        <v>0</v>
      </c>
      <c r="F28" s="238" t="s">
        <v>1591</v>
      </c>
    </row>
    <row r="31" spans="1:6" ht="15" x14ac:dyDescent="0.2">
      <c r="A31" s="238" t="s">
        <v>1634</v>
      </c>
      <c r="B31" s="241">
        <f>'DOE25'!G466</f>
        <v>0</v>
      </c>
      <c r="F31" s="238" t="s">
        <v>1592</v>
      </c>
    </row>
    <row r="33" spans="1:6" ht="15" x14ac:dyDescent="0.2">
      <c r="A33" s="238" t="s">
        <v>1635</v>
      </c>
      <c r="B33" s="241">
        <f>'DOE25'!G477</f>
        <v>0</v>
      </c>
      <c r="F33" s="238" t="s">
        <v>1593</v>
      </c>
    </row>
    <row r="36" spans="1:6" ht="15" x14ac:dyDescent="0.2">
      <c r="A36" s="238" t="s">
        <v>1579</v>
      </c>
      <c r="B36" s="252">
        <v>11454.09</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Profile</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1616644.51</v>
      </c>
      <c r="C9" s="167">
        <f>'DOE25'!G198+'DOE25'!G216+'DOE25'!G234+'DOE25'!G277+'DOE25'!G296+'DOE25'!G315</f>
        <v>806327.1</v>
      </c>
    </row>
    <row r="10" spans="1:3" x14ac:dyDescent="0.2">
      <c r="A10" t="s">
        <v>775</v>
      </c>
      <c r="B10" s="177">
        <v>1526820.74</v>
      </c>
      <c r="C10" s="177">
        <v>793160.41</v>
      </c>
    </row>
    <row r="11" spans="1:3" x14ac:dyDescent="0.2">
      <c r="A11" t="s">
        <v>776</v>
      </c>
      <c r="B11" s="177">
        <v>37011.449999999997</v>
      </c>
      <c r="C11" s="177">
        <v>9126.5499999999993</v>
      </c>
    </row>
    <row r="12" spans="1:3" x14ac:dyDescent="0.2">
      <c r="A12" t="s">
        <v>777</v>
      </c>
      <c r="B12" s="177">
        <v>52812.32</v>
      </c>
      <c r="C12" s="177">
        <v>4040.14</v>
      </c>
    </row>
    <row r="13" spans="1:3" x14ac:dyDescent="0.2">
      <c r="A13" t="str">
        <f>IF(B9=B13,IF(C9=C13,"Check Total OK","Check Total Error"),"Check Total Error")</f>
        <v>Check Total OK</v>
      </c>
      <c r="B13" s="169">
        <f>SUM(B10:B12)</f>
        <v>1616644.51</v>
      </c>
      <c r="C13" s="169">
        <f>SUM(C10:C12)</f>
        <v>806327.10000000009</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374481.32</v>
      </c>
      <c r="C18" s="167">
        <f>'DOE25'!G199+'DOE25'!G217+'DOE25'!G235+'DOE25'!G278+'DOE25'!G297+'DOE25'!G316</f>
        <v>183769.79</v>
      </c>
    </row>
    <row r="19" spans="1:3" x14ac:dyDescent="0.2">
      <c r="A19" t="s">
        <v>775</v>
      </c>
      <c r="B19" s="177">
        <v>127502.52</v>
      </c>
      <c r="C19" s="177">
        <v>60183.82</v>
      </c>
    </row>
    <row r="20" spans="1:3" x14ac:dyDescent="0.2">
      <c r="A20" t="s">
        <v>776</v>
      </c>
      <c r="B20" s="177">
        <v>246978.8</v>
      </c>
      <c r="C20" s="177">
        <v>123585.97</v>
      </c>
    </row>
    <row r="21" spans="1:3" x14ac:dyDescent="0.2">
      <c r="A21" t="s">
        <v>777</v>
      </c>
      <c r="B21" s="177"/>
      <c r="C21" s="177"/>
    </row>
    <row r="22" spans="1:3" x14ac:dyDescent="0.2">
      <c r="A22" t="str">
        <f>IF(B18=B22,IF(C18=C22,"Check Total OK","Check Total Error"),"Check Total Error")</f>
        <v>Check Total OK</v>
      </c>
      <c r="B22" s="169">
        <f>SUM(B19:B21)</f>
        <v>374481.32</v>
      </c>
      <c r="C22" s="169">
        <f>SUM(C19:C21)</f>
        <v>183769.79</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120026</v>
      </c>
      <c r="C27" s="172">
        <f>'DOE25'!G200+'DOE25'!G218+'DOE25'!G236+'DOE25'!G279+'DOE25'!G298+'DOE25'!G317</f>
        <v>51338.18</v>
      </c>
    </row>
    <row r="28" spans="1:3" x14ac:dyDescent="0.2">
      <c r="A28" t="s">
        <v>775</v>
      </c>
      <c r="B28" s="177">
        <v>120026</v>
      </c>
      <c r="C28" s="177">
        <v>51338.18</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120026</v>
      </c>
      <c r="C31" s="169">
        <f>SUM(C28:C30)</f>
        <v>51338.18</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82143.56</v>
      </c>
      <c r="C36" s="173">
        <f>'DOE25'!G201+'DOE25'!G219+'DOE25'!G237+'DOE25'!G280+'DOE25'!G299+'DOE25'!G318</f>
        <v>14161.03</v>
      </c>
    </row>
    <row r="37" spans="1:3" x14ac:dyDescent="0.2">
      <c r="A37" t="s">
        <v>775</v>
      </c>
      <c r="B37" s="177">
        <v>82143.56</v>
      </c>
      <c r="C37" s="177">
        <v>14161.03</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82143.56</v>
      </c>
      <c r="C40" s="169">
        <f>SUM(C37:C39)</f>
        <v>14161.03</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H38" sqref="H37:H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Profile</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3422917.66</v>
      </c>
      <c r="D5" s="19">
        <f>SUM('DOE25'!L198:L201)+SUM('DOE25'!L216:L219)+SUM('DOE25'!L234:L237)-F5-G5-H5</f>
        <v>3389259.5900000003</v>
      </c>
      <c r="E5" s="180"/>
      <c r="F5" s="181"/>
      <c r="G5" s="19">
        <f>SUM('DOE25'!J198:J201)+SUM('DOE25'!J216:J219)+SUM('DOE25'!J234:J237)</f>
        <v>22046.48</v>
      </c>
      <c r="H5" s="19">
        <f>SUM('DOE25'!K198:K201)+SUM('DOE25'!K216:K219)+SUM('DOE25'!K234:K237)</f>
        <v>11611.59</v>
      </c>
      <c r="I5" s="192"/>
    </row>
    <row r="6" spans="1:9" x14ac:dyDescent="0.2">
      <c r="A6" s="31">
        <v>2100</v>
      </c>
      <c r="B6" t="s">
        <v>796</v>
      </c>
      <c r="C6" s="206">
        <f t="shared" si="0"/>
        <v>356609.51</v>
      </c>
      <c r="D6" s="19">
        <f>'DOE25'!L203+'DOE25'!L221+'DOE25'!L239-F6-G6-H6</f>
        <v>356389.11</v>
      </c>
      <c r="E6" s="180"/>
      <c r="F6" s="181"/>
      <c r="G6" s="19">
        <f>'DOE25'!J203+'DOE25'!J221+'DOE25'!J239</f>
        <v>220.39999999999998</v>
      </c>
      <c r="H6" s="19">
        <f>'DOE25'!K203+'DOE25'!K221+'DOE25'!K239</f>
        <v>0</v>
      </c>
      <c r="I6" s="192"/>
    </row>
    <row r="7" spans="1:9" x14ac:dyDescent="0.2">
      <c r="A7" s="31">
        <v>2200</v>
      </c>
      <c r="B7" t="s">
        <v>821</v>
      </c>
      <c r="C7" s="206">
        <f t="shared" si="0"/>
        <v>229850.2</v>
      </c>
      <c r="D7" s="19">
        <f>'DOE25'!L204+'DOE25'!L222+'DOE25'!L240-F7-G7-H7</f>
        <v>213770.1</v>
      </c>
      <c r="E7" s="180"/>
      <c r="F7" s="181"/>
      <c r="G7" s="19">
        <f>'DOE25'!J204+'DOE25'!J222+'DOE25'!J240</f>
        <v>0</v>
      </c>
      <c r="H7" s="19">
        <f>'DOE25'!K204+'DOE25'!K222+'DOE25'!K240</f>
        <v>16080.1</v>
      </c>
      <c r="I7" s="192"/>
    </row>
    <row r="8" spans="1:9" x14ac:dyDescent="0.2">
      <c r="A8" s="31">
        <v>2300</v>
      </c>
      <c r="B8" t="s">
        <v>797</v>
      </c>
      <c r="C8" s="206">
        <f t="shared" si="0"/>
        <v>215061.30000000002</v>
      </c>
      <c r="D8" s="180"/>
      <c r="E8" s="19">
        <f>'DOE25'!L205+'DOE25'!L223+'DOE25'!L241-F8-G8-H8-D9-D11</f>
        <v>208601.51</v>
      </c>
      <c r="F8" s="181"/>
      <c r="G8" s="19">
        <f>'DOE25'!J205+'DOE25'!J223+'DOE25'!J241</f>
        <v>0</v>
      </c>
      <c r="H8" s="19">
        <f>'DOE25'!K205+'DOE25'!K223+'DOE25'!K241</f>
        <v>6459.79</v>
      </c>
      <c r="I8" s="192"/>
    </row>
    <row r="9" spans="1:9" ht="14.25" x14ac:dyDescent="0.2">
      <c r="A9" s="31">
        <v>2310</v>
      </c>
      <c r="B9" s="71" t="s">
        <v>888</v>
      </c>
      <c r="C9" s="206">
        <f t="shared" si="0"/>
        <v>111249.26</v>
      </c>
      <c r="D9" s="181">
        <v>111249.26</v>
      </c>
      <c r="E9" s="180"/>
      <c r="F9" s="180"/>
      <c r="G9" s="180"/>
      <c r="H9" s="180"/>
      <c r="I9" s="192"/>
    </row>
    <row r="10" spans="1:9" ht="14.25" x14ac:dyDescent="0.2">
      <c r="A10" s="31">
        <v>2317</v>
      </c>
      <c r="B10" s="71" t="s">
        <v>889</v>
      </c>
      <c r="C10" s="206">
        <f t="shared" si="0"/>
        <v>1400</v>
      </c>
      <c r="D10" s="180"/>
      <c r="E10" s="181">
        <v>1400</v>
      </c>
      <c r="F10" s="180"/>
      <c r="G10" s="180"/>
      <c r="H10" s="180"/>
      <c r="I10" s="192"/>
    </row>
    <row r="11" spans="1:9" ht="14.25" x14ac:dyDescent="0.2">
      <c r="A11" s="31">
        <v>2321</v>
      </c>
      <c r="B11" s="71" t="s">
        <v>890</v>
      </c>
      <c r="C11" s="206">
        <f t="shared" si="0"/>
        <v>53523.7</v>
      </c>
      <c r="D11" s="181">
        <v>53523.7</v>
      </c>
      <c r="E11" s="180"/>
      <c r="F11" s="180"/>
      <c r="G11" s="180"/>
      <c r="H11" s="180"/>
      <c r="I11" s="192"/>
    </row>
    <row r="12" spans="1:9" x14ac:dyDescent="0.2">
      <c r="A12" s="31">
        <v>2400</v>
      </c>
      <c r="B12" t="s">
        <v>711</v>
      </c>
      <c r="C12" s="206">
        <f t="shared" si="0"/>
        <v>439085.14999999991</v>
      </c>
      <c r="D12" s="19">
        <f>'DOE25'!L206+'DOE25'!L224+'DOE25'!L242-F12-G12-H12</f>
        <v>432989.15999999992</v>
      </c>
      <c r="E12" s="180"/>
      <c r="F12" s="181"/>
      <c r="G12" s="19">
        <f>'DOE25'!J206+'DOE25'!J224+'DOE25'!J242</f>
        <v>0</v>
      </c>
      <c r="H12" s="19">
        <f>'DOE25'!K206+'DOE25'!K224+'DOE25'!K242</f>
        <v>6095.99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445223.43000000005</v>
      </c>
      <c r="D14" s="19">
        <f>'DOE25'!L208+'DOE25'!L226+'DOE25'!L244-F14-G14-H14</f>
        <v>438504.14000000007</v>
      </c>
      <c r="E14" s="180"/>
      <c r="F14" s="181"/>
      <c r="G14" s="19">
        <f>'DOE25'!J208+'DOE25'!J226+'DOE25'!J244</f>
        <v>6719.29</v>
      </c>
      <c r="H14" s="19">
        <f>'DOE25'!K208+'DOE25'!K226+'DOE25'!K244</f>
        <v>0</v>
      </c>
      <c r="I14" s="192"/>
    </row>
    <row r="15" spans="1:9" x14ac:dyDescent="0.2">
      <c r="A15" s="31">
        <v>2700</v>
      </c>
      <c r="B15" t="s">
        <v>799</v>
      </c>
      <c r="C15" s="206">
        <f t="shared" si="0"/>
        <v>137861.22</v>
      </c>
      <c r="D15" s="19">
        <f>'DOE25'!L209+'DOE25'!L227+'DOE25'!L245-F15-G15-H15</f>
        <v>127409.42</v>
      </c>
      <c r="E15" s="180"/>
      <c r="F15" s="181">
        <v>10451.799999999999</v>
      </c>
      <c r="G15" s="19">
        <f>'DOE25'!J209+'DOE25'!J227+'DOE25'!J245</f>
        <v>0</v>
      </c>
      <c r="H15" s="19">
        <f>'DOE25'!K209+'DOE25'!K227+'DOE25'!K245</f>
        <v>0</v>
      </c>
      <c r="I15" s="192"/>
    </row>
    <row r="16" spans="1:9" x14ac:dyDescent="0.2">
      <c r="A16" s="31">
        <v>2800</v>
      </c>
      <c r="B16" t="s">
        <v>800</v>
      </c>
      <c r="C16" s="206">
        <f t="shared" si="0"/>
        <v>29731.65</v>
      </c>
      <c r="D16" s="180"/>
      <c r="E16" s="19">
        <f>'DOE25'!L210+'DOE25'!L228+'DOE25'!L246-F16-G16-H16</f>
        <v>9437.7400000000016</v>
      </c>
      <c r="F16" s="181"/>
      <c r="G16" s="19">
        <f>'DOE25'!J210+'DOE25'!J228+'DOE25'!J246</f>
        <v>20293.91</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683415.66299999994</v>
      </c>
      <c r="D25" s="180"/>
      <c r="E25" s="180"/>
      <c r="F25" s="191"/>
      <c r="G25" s="180"/>
      <c r="H25" s="180"/>
      <c r="I25" s="190">
        <f>'DOE25'!L261+'DOE25'!L262+'DOE25'!L342+'DOE25'!L343</f>
        <v>683415.66299999994</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124957.19</v>
      </c>
      <c r="D29" s="212">
        <f>'DOE25'!L359+'DOE25'!L360+'DOE25'!L361-'DOE25'!I368-F29-G29-H29</f>
        <v>42430.28</v>
      </c>
      <c r="E29" s="180"/>
      <c r="F29" s="181">
        <v>82526.91</v>
      </c>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156871.29999999999</v>
      </c>
      <c r="D31" s="19">
        <f>'DOE25'!L291+'DOE25'!L310+'DOE25'!L329+'DOE25'!L334+'DOE25'!L335+'DOE25'!L336-F31-G31-H31</f>
        <v>132196.24</v>
      </c>
      <c r="E31" s="180"/>
      <c r="F31" s="181"/>
      <c r="G31" s="19">
        <f>'DOE25'!J291+'DOE25'!J310+'DOE25'!J329+'DOE25'!J334+'DOE25'!J335+'DOE25'!J336</f>
        <v>13902</v>
      </c>
      <c r="H31" s="19">
        <f>'DOE25'!K291+'DOE25'!K310+'DOE25'!K329+'DOE25'!K334+'DOE25'!K335+'DOE25'!K336</f>
        <v>10773.060000000001</v>
      </c>
      <c r="I31" s="192"/>
    </row>
    <row r="32" spans="1:9" ht="12" thickBot="1" x14ac:dyDescent="0.25">
      <c r="C32" s="207"/>
      <c r="G32" s="188"/>
      <c r="H32" s="188"/>
      <c r="I32" s="194"/>
    </row>
    <row r="33" spans="1:9" ht="12" thickTop="1" x14ac:dyDescent="0.2">
      <c r="B33" t="s">
        <v>809</v>
      </c>
      <c r="D33" s="182">
        <f t="shared" ref="D33:I33" si="1">SUM(D5:D31)</f>
        <v>5297721</v>
      </c>
      <c r="E33" s="182">
        <f t="shared" si="1"/>
        <v>219439.25</v>
      </c>
      <c r="F33" s="182">
        <f t="shared" si="1"/>
        <v>92978.71</v>
      </c>
      <c r="G33" s="182">
        <f t="shared" si="1"/>
        <v>63182.080000000002</v>
      </c>
      <c r="H33" s="182">
        <f t="shared" si="1"/>
        <v>51020.53</v>
      </c>
      <c r="I33" s="182">
        <f t="shared" si="1"/>
        <v>683415.66299999994</v>
      </c>
    </row>
    <row r="35" spans="1:9" ht="12" thickBot="1" x14ac:dyDescent="0.25">
      <c r="B35" s="188" t="s">
        <v>831</v>
      </c>
      <c r="D35" s="189">
        <f>E33</f>
        <v>219439.25</v>
      </c>
      <c r="E35" s="185"/>
      <c r="F35" s="255" t="s">
        <v>1617</v>
      </c>
      <c r="G35" s="256"/>
      <c r="H35" s="256"/>
      <c r="I35" s="256"/>
    </row>
    <row r="36" spans="1:9" ht="12" thickTop="1" x14ac:dyDescent="0.2">
      <c r="B36" t="s">
        <v>810</v>
      </c>
      <c r="D36" s="19">
        <f>D33</f>
        <v>5297721</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58" sqref="I5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Profile</v>
      </c>
      <c r="B2">
        <f>'DOE25'!B2</f>
        <v>450</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0</v>
      </c>
      <c r="G4" s="229">
        <f>'DOE25'!L212+'DOE25'!L291</f>
        <v>0</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1"/>
      <c r="N5"/>
    </row>
    <row r="6" spans="1:18"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0">D6+E6</f>
        <v>0</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0</v>
      </c>
      <c r="E21" s="265">
        <f>SUM(E5:E20)</f>
        <v>0</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1853364.9</v>
      </c>
      <c r="G24" s="229">
        <f>'DOE25'!L230+'DOE25'!L310</f>
        <v>1853364.9000000004</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Profile Junior High School</v>
      </c>
      <c r="B26" s="230">
        <f>IFERROR(VLOOKUP(A26,'School Tables'!$N$4:$O$75,2,FALSE),"")</f>
        <v>26990</v>
      </c>
      <c r="C26" s="223" t="str">
        <f>IFERROR(INDEX('School Tables'!$M$4:$M$75,MATCH('School Level Expenditures'!A26,'School Tables'!$N$4:$N$75,0)),"")</f>
        <v>Profile</v>
      </c>
      <c r="D26" s="220">
        <v>1853364.9</v>
      </c>
      <c r="E26" s="220"/>
      <c r="F26" s="232">
        <f t="shared" ref="F26:F32" si="1">D26+E26</f>
        <v>1853364.9</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1853364.9</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3744619.48</v>
      </c>
      <c r="G36" s="229">
        <f>'DOE25'!L248+'DOE25'!L329</f>
        <v>3744619.4799999991</v>
      </c>
      <c r="H36" s="267">
        <f>F36-G36</f>
        <v>0</v>
      </c>
      <c r="I36" s="310" t="str">
        <f>IF(H36=0,"","ISSUES!! Please review page 9 and 13 totals in comparison with total on this page")</f>
        <v/>
      </c>
      <c r="N36"/>
    </row>
    <row r="37" spans="1:14" x14ac:dyDescent="0.2">
      <c r="A37" t="s">
        <v>1548</v>
      </c>
      <c r="B37" s="230">
        <v>99999</v>
      </c>
      <c r="C37" s="223" t="s">
        <v>1548</v>
      </c>
      <c r="D37" s="220"/>
      <c r="E37" s="220"/>
      <c r="F37" s="232">
        <f t="shared" ref="F37:F42" si="2">D37+E37</f>
        <v>0</v>
      </c>
      <c r="G37" s="223"/>
      <c r="H37" s="223"/>
      <c r="I37" s="311"/>
      <c r="N37"/>
    </row>
    <row r="38" spans="1:14" x14ac:dyDescent="0.2">
      <c r="A38" t="str" cm="1">
        <f t="array" ref="A38">IFERROR(INDEX('School Tables'!$W$4:$AC$100,'School Tables'!$AF4,3),"")</f>
        <v>Profile Senior High School</v>
      </c>
      <c r="B38" s="230">
        <f>IFERROR(VLOOKUP(A38,'School Tables'!$Y$4:$Z$100,2,FALSE),"")</f>
        <v>21395</v>
      </c>
      <c r="C38" s="223" t="str">
        <f>IFERROR(INDEX('School Tables'!$X$4:$X$100,MATCH('School Level Expenditures'!A38,'School Tables'!$Y$4:$Y$100,0)),"")</f>
        <v>Profile</v>
      </c>
      <c r="D38" s="220">
        <v>3587748.18</v>
      </c>
      <c r="E38" s="220">
        <v>156871.29999999999</v>
      </c>
      <c r="F38" s="232">
        <f t="shared" si="2"/>
        <v>3744619.48</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3587748.18</v>
      </c>
      <c r="E43" s="266">
        <f>SUM(E37:E42)</f>
        <v>156871.29999999999</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32" sqref="M3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Profile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816290.1</v>
      </c>
      <c r="D8" s="73">
        <f>'DOE25'!G9</f>
        <v>0</v>
      </c>
      <c r="E8" s="73">
        <f>'DOE25'!H9</f>
        <v>113176.77</v>
      </c>
      <c r="F8" s="73">
        <f>'DOE25'!I9</f>
        <v>0</v>
      </c>
      <c r="G8" s="73">
        <f>'DOE25'!J9</f>
        <v>0</v>
      </c>
      <c r="H8" s="90">
        <f>SUM(C8:G8)</f>
        <v>929466.87</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64950.45</v>
      </c>
      <c r="D11" s="73">
        <f>'DOE25'!G12</f>
        <v>0</v>
      </c>
      <c r="E11" s="73">
        <f>'DOE25'!H12</f>
        <v>42928.68</v>
      </c>
      <c r="F11" s="73">
        <f>'DOE25'!I12</f>
        <v>0</v>
      </c>
      <c r="G11" s="73">
        <f>'DOE25'!J12</f>
        <v>0</v>
      </c>
      <c r="H11" s="90">
        <f t="shared" si="0"/>
        <v>107879.13</v>
      </c>
      <c r="I11" s="90"/>
    </row>
    <row r="12" spans="1:9" x14ac:dyDescent="0.2">
      <c r="A12" s="1" t="s">
        <v>143</v>
      </c>
      <c r="B12" s="6">
        <v>140</v>
      </c>
      <c r="C12" s="73">
        <f>'DOE25'!F13</f>
        <v>0</v>
      </c>
      <c r="D12" s="73">
        <f>'DOE25'!G13</f>
        <v>57003.73</v>
      </c>
      <c r="E12" s="73">
        <f>'DOE25'!H13</f>
        <v>14449.42</v>
      </c>
      <c r="F12" s="73">
        <f>'DOE25'!I13</f>
        <v>0</v>
      </c>
      <c r="G12" s="73">
        <f>'DOE25'!J13</f>
        <v>441163.6</v>
      </c>
      <c r="H12" s="90">
        <f t="shared" si="0"/>
        <v>512616.75</v>
      </c>
      <c r="I12" s="90"/>
    </row>
    <row r="13" spans="1:9" x14ac:dyDescent="0.2">
      <c r="A13" s="1" t="s">
        <v>144</v>
      </c>
      <c r="B13" s="6">
        <v>150</v>
      </c>
      <c r="C13" s="73">
        <f>'DOE25'!F14</f>
        <v>0</v>
      </c>
      <c r="D13" s="73">
        <f>'DOE25'!G14</f>
        <v>874.8</v>
      </c>
      <c r="E13" s="73">
        <f>'DOE25'!H14</f>
        <v>0</v>
      </c>
      <c r="F13" s="73">
        <f>'DOE25'!I14</f>
        <v>0</v>
      </c>
      <c r="G13" s="73">
        <f>'DOE25'!J14</f>
        <v>0</v>
      </c>
      <c r="H13" s="90">
        <f t="shared" si="0"/>
        <v>874.8</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881240.54999999993</v>
      </c>
      <c r="D18" s="38">
        <f>SUM(D8:D17)</f>
        <v>57878.530000000006</v>
      </c>
      <c r="E18" s="38">
        <f>SUM(E8:E17)</f>
        <v>170554.87000000002</v>
      </c>
      <c r="F18" s="38">
        <f>SUM(F8:F17)</f>
        <v>0</v>
      </c>
      <c r="G18" s="38">
        <f>SUM(G8:G17)</f>
        <v>441163.6</v>
      </c>
      <c r="H18" s="38">
        <f t="shared" si="0"/>
        <v>1550837.5499999998</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42528.43</v>
      </c>
      <c r="E21" s="73">
        <f>'DOE25'!H22</f>
        <v>14449.42</v>
      </c>
      <c r="F21" s="73">
        <f>'DOE25'!I22</f>
        <v>0</v>
      </c>
      <c r="G21" s="73">
        <f>'DOE25'!J22</f>
        <v>0</v>
      </c>
      <c r="H21" s="90">
        <f t="shared" ref="H21:H31" si="1">SUM(C21:G21)</f>
        <v>56977.85</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34725.550000000003</v>
      </c>
      <c r="D23" s="73">
        <f>'DOE25'!G24</f>
        <v>7241.05</v>
      </c>
      <c r="E23" s="73">
        <f>'DOE25'!H24</f>
        <v>0</v>
      </c>
      <c r="F23" s="73">
        <f>'DOE25'!I24</f>
        <v>0</v>
      </c>
      <c r="G23" s="73">
        <f>'DOE25'!J24</f>
        <v>0</v>
      </c>
      <c r="H23" s="90">
        <f t="shared" si="1"/>
        <v>41966.600000000006</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209147</v>
      </c>
      <c r="D29" s="73">
        <f>'DOE25'!G30</f>
        <v>8109.05</v>
      </c>
      <c r="E29" s="73">
        <f>'DOE25'!H30</f>
        <v>29928.68</v>
      </c>
      <c r="F29" s="73">
        <f>'DOE25'!I30</f>
        <v>0</v>
      </c>
      <c r="G29" s="23" t="s">
        <v>288</v>
      </c>
      <c r="H29" s="90">
        <f t="shared" si="1"/>
        <v>247184.72999999998</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243872.55</v>
      </c>
      <c r="D31" s="38">
        <f>SUM(D21:D30)</f>
        <v>57878.530000000006</v>
      </c>
      <c r="E31" s="38">
        <f>SUM(E21:E30)</f>
        <v>44378.1</v>
      </c>
      <c r="F31" s="38">
        <f>SUM(F21:F30)</f>
        <v>0</v>
      </c>
      <c r="G31" s="38">
        <f>SUM(G21:G30)</f>
        <v>0</v>
      </c>
      <c r="H31" s="38">
        <f t="shared" si="1"/>
        <v>346129.18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441163.6</v>
      </c>
      <c r="H42" s="90">
        <f t="shared" si="2"/>
        <v>441163.6</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126176.77</v>
      </c>
      <c r="F47" s="73">
        <f>'DOE25'!I48</f>
        <v>0</v>
      </c>
      <c r="G47" s="73">
        <f>'DOE25'!J48</f>
        <v>0</v>
      </c>
      <c r="H47" s="90">
        <f t="shared" si="2"/>
        <v>126176.77</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637368</v>
      </c>
      <c r="D49" s="23" t="s">
        <v>288</v>
      </c>
      <c r="E49" s="23" t="s">
        <v>288</v>
      </c>
      <c r="F49" s="23" t="s">
        <v>288</v>
      </c>
      <c r="G49" s="23" t="s">
        <v>288</v>
      </c>
      <c r="H49" s="90">
        <f t="shared" si="2"/>
        <v>637368</v>
      </c>
      <c r="I49" s="90"/>
    </row>
    <row r="50" spans="1:9" ht="12.75" thickTop="1" thickBot="1" x14ac:dyDescent="0.25">
      <c r="A50" s="35" t="s">
        <v>884</v>
      </c>
      <c r="B50" s="44"/>
      <c r="C50" s="38">
        <f>SUM(C34:C49)</f>
        <v>637368</v>
      </c>
      <c r="D50" s="38">
        <f>SUM(D34:D49)</f>
        <v>0</v>
      </c>
      <c r="E50" s="38">
        <f>SUM(E34:E49)</f>
        <v>126176.77</v>
      </c>
      <c r="F50" s="38">
        <f>SUM(F34:F49)</f>
        <v>0</v>
      </c>
      <c r="G50" s="38">
        <f>SUM(G34:G49)</f>
        <v>441163.6</v>
      </c>
      <c r="H50" s="38">
        <f t="shared" si="2"/>
        <v>1204708.3700000001</v>
      </c>
      <c r="I50" s="90"/>
    </row>
    <row r="51" spans="1:9" ht="12" thickTop="1" x14ac:dyDescent="0.2">
      <c r="A51" s="35" t="s">
        <v>885</v>
      </c>
      <c r="B51" s="2"/>
      <c r="C51" s="38">
        <f>C50+C31</f>
        <v>881240.55</v>
      </c>
      <c r="D51" s="38">
        <f>D50+D31</f>
        <v>57878.530000000006</v>
      </c>
      <c r="E51" s="38">
        <f>E50+E31</f>
        <v>170554.87</v>
      </c>
      <c r="F51" s="38">
        <f>F50+F31</f>
        <v>0</v>
      </c>
      <c r="G51" s="38">
        <f>G50+G31</f>
        <v>441163.6</v>
      </c>
      <c r="H51" s="38">
        <f t="shared" si="2"/>
        <v>1550837.5500000003</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4456246</v>
      </c>
      <c r="D56" s="73">
        <f>'DOE25'!G60</f>
        <v>0</v>
      </c>
      <c r="E56" s="73">
        <f>'DOE25'!H60</f>
        <v>0</v>
      </c>
      <c r="F56" s="73">
        <f>'DOE25'!I60</f>
        <v>0</v>
      </c>
      <c r="G56" s="73">
        <f>'DOE25'!J60</f>
        <v>0</v>
      </c>
      <c r="H56" s="90">
        <f t="shared" ref="H56:H63" si="3">SUM(C56:G56)</f>
        <v>4456246</v>
      </c>
      <c r="I56"/>
    </row>
    <row r="57" spans="1:9" x14ac:dyDescent="0.2">
      <c r="A57" s="1" t="s">
        <v>164</v>
      </c>
      <c r="B57" s="6" t="s">
        <v>165</v>
      </c>
      <c r="C57" s="73">
        <f>'DOE25'!F79</f>
        <v>65940</v>
      </c>
      <c r="D57" s="23" t="s">
        <v>288</v>
      </c>
      <c r="E57" s="73">
        <f>'DOE25'!H79</f>
        <v>0</v>
      </c>
      <c r="F57" s="23" t="s">
        <v>288</v>
      </c>
      <c r="G57" s="23" t="s">
        <v>288</v>
      </c>
      <c r="H57" s="90">
        <f t="shared" si="3"/>
        <v>65940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488.35</v>
      </c>
      <c r="D59" s="73">
        <f>'DOE25'!G96</f>
        <v>0</v>
      </c>
      <c r="E59" s="73">
        <f>'DOE25'!H96</f>
        <v>0</v>
      </c>
      <c r="F59" s="73">
        <f>'DOE25'!I96</f>
        <v>0</v>
      </c>
      <c r="G59" s="73">
        <f>'DOE25'!J96</f>
        <v>6192.4</v>
      </c>
      <c r="H59" s="90">
        <f t="shared" si="3"/>
        <v>6680.75</v>
      </c>
      <c r="I59"/>
    </row>
    <row r="60" spans="1:9" x14ac:dyDescent="0.2">
      <c r="A60" s="1" t="s">
        <v>170</v>
      </c>
      <c r="B60" s="22" t="s">
        <v>171</v>
      </c>
      <c r="C60" s="23" t="s">
        <v>288</v>
      </c>
      <c r="D60" s="73">
        <f>'DOE25'!G97</f>
        <v>18252.170000000002</v>
      </c>
      <c r="E60" s="23" t="s">
        <v>288</v>
      </c>
      <c r="F60" s="23" t="s">
        <v>288</v>
      </c>
      <c r="G60" s="23" t="s">
        <v>288</v>
      </c>
      <c r="H60" s="90">
        <f t="shared" si="3"/>
        <v>18252.170000000002</v>
      </c>
      <c r="I60"/>
    </row>
    <row r="61" spans="1:9" ht="12" thickBot="1" x14ac:dyDescent="0.25">
      <c r="A61" s="1" t="s">
        <v>172</v>
      </c>
      <c r="B61" s="22" t="s">
        <v>173</v>
      </c>
      <c r="C61" s="73">
        <f>SUM('DOE25'!F98:F110)</f>
        <v>62579.520000000004</v>
      </c>
      <c r="D61" s="73">
        <f>SUM('DOE25'!G98:G110)</f>
        <v>0</v>
      </c>
      <c r="E61" s="73">
        <f>SUM('DOE25'!H98:H110)</f>
        <v>600</v>
      </c>
      <c r="F61" s="73">
        <f>SUM('DOE25'!I98:I110)</f>
        <v>0</v>
      </c>
      <c r="G61" s="73">
        <f>SUM('DOE25'!J98:J110)</f>
        <v>0</v>
      </c>
      <c r="H61" s="90">
        <f t="shared" si="3"/>
        <v>63179.520000000004</v>
      </c>
      <c r="I61"/>
    </row>
    <row r="62" spans="1:9" ht="12.75" thickTop="1" thickBot="1" x14ac:dyDescent="0.25">
      <c r="A62" s="28" t="s">
        <v>174</v>
      </c>
      <c r="B62" s="6"/>
      <c r="C62" s="93">
        <f>SUM(C57:C61)</f>
        <v>129007.87000000001</v>
      </c>
      <c r="D62" s="93">
        <f>SUM(D57:D61)</f>
        <v>18252.170000000002</v>
      </c>
      <c r="E62" s="93">
        <f>SUM(E57:E61)</f>
        <v>600</v>
      </c>
      <c r="F62" s="93">
        <f>SUM(F57:F61)</f>
        <v>0</v>
      </c>
      <c r="G62" s="93">
        <f>SUM(G57:G61)</f>
        <v>6192.4</v>
      </c>
      <c r="H62" s="90">
        <f t="shared" si="3"/>
        <v>154052.44</v>
      </c>
      <c r="I62"/>
    </row>
    <row r="63" spans="1:9" ht="12" thickTop="1" x14ac:dyDescent="0.2">
      <c r="A63" s="28" t="s">
        <v>175</v>
      </c>
      <c r="B63" s="6"/>
      <c r="C63" s="21">
        <f>C56+C62</f>
        <v>4585253.87</v>
      </c>
      <c r="D63" s="21">
        <f>D56+D62</f>
        <v>18252.170000000002</v>
      </c>
      <c r="E63" s="21">
        <f>E56+E62</f>
        <v>600</v>
      </c>
      <c r="F63" s="21">
        <f>F56+F62</f>
        <v>0</v>
      </c>
      <c r="G63" s="21">
        <f>G56+G62</f>
        <v>6192.4</v>
      </c>
      <c r="H63" s="90">
        <f t="shared" si="3"/>
        <v>4610298.4400000004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611042.56000000006</v>
      </c>
      <c r="D66" s="23" t="s">
        <v>288</v>
      </c>
      <c r="E66" s="23" t="s">
        <v>288</v>
      </c>
      <c r="F66" s="23" t="s">
        <v>288</v>
      </c>
      <c r="G66" s="23" t="s">
        <v>288</v>
      </c>
      <c r="H66" s="90">
        <f t="shared" ref="H66:H81" si="4">SUM(C66:G66)</f>
        <v>611042.56000000006</v>
      </c>
      <c r="I66"/>
    </row>
    <row r="67" spans="1:9" x14ac:dyDescent="0.2">
      <c r="A67" s="1" t="s">
        <v>770</v>
      </c>
      <c r="B67" s="6">
        <v>3112</v>
      </c>
      <c r="C67" s="73">
        <f>'DOE25'!F118</f>
        <v>780685</v>
      </c>
      <c r="D67" s="23"/>
      <c r="E67" s="23"/>
      <c r="F67" s="23"/>
      <c r="G67" s="23"/>
      <c r="H67" s="90">
        <f t="shared" si="4"/>
        <v>780685</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1391727.56</v>
      </c>
      <c r="D70" s="97">
        <f>D69</f>
        <v>0</v>
      </c>
      <c r="E70" s="97">
        <f>E69</f>
        <v>0</v>
      </c>
      <c r="F70" s="97">
        <f>F69</f>
        <v>0</v>
      </c>
      <c r="G70" s="97">
        <f>G69</f>
        <v>0</v>
      </c>
      <c r="H70" s="90">
        <f t="shared" si="4"/>
        <v>1391727.56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366886.36</v>
      </c>
      <c r="D72" s="23" t="s">
        <v>288</v>
      </c>
      <c r="E72" s="23" t="s">
        <v>288</v>
      </c>
      <c r="F72" s="73">
        <f>'DOE25'!I123</f>
        <v>0</v>
      </c>
      <c r="G72" s="23" t="s">
        <v>288</v>
      </c>
      <c r="H72" s="90">
        <f t="shared" si="4"/>
        <v>366886.36</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0</v>
      </c>
      <c r="D75" s="23" t="s">
        <v>288</v>
      </c>
      <c r="E75" s="23" t="s">
        <v>288</v>
      </c>
      <c r="F75" s="23" t="s">
        <v>288</v>
      </c>
      <c r="G75" s="23" t="s">
        <v>288</v>
      </c>
      <c r="H75" s="90">
        <f t="shared" si="4"/>
        <v>0</v>
      </c>
      <c r="I75"/>
    </row>
    <row r="76" spans="1:9" x14ac:dyDescent="0.2">
      <c r="A76" s="1" t="s">
        <v>257</v>
      </c>
      <c r="B76" s="6" t="s">
        <v>179</v>
      </c>
      <c r="C76" s="73">
        <f>SUM('DOE25'!F127:F130)</f>
        <v>6159.6</v>
      </c>
      <c r="D76" s="23" t="s">
        <v>288</v>
      </c>
      <c r="E76" s="73">
        <f>SUM('DOE25'!H127:H130)</f>
        <v>0</v>
      </c>
      <c r="F76" s="73">
        <f>SUM('DOE25'!I127:I130)</f>
        <v>0</v>
      </c>
      <c r="G76" s="23" t="s">
        <v>288</v>
      </c>
      <c r="H76" s="90">
        <f t="shared" si="4"/>
        <v>6159.6</v>
      </c>
      <c r="I76"/>
    </row>
    <row r="77" spans="1:9" ht="12" thickBot="1" x14ac:dyDescent="0.25">
      <c r="A77" s="1" t="s">
        <v>258</v>
      </c>
      <c r="B77" s="6" t="s">
        <v>180</v>
      </c>
      <c r="C77" s="73">
        <f>SUM('DOE25'!F131:F135)</f>
        <v>0</v>
      </c>
      <c r="D77" s="73">
        <f>SUM('DOE25'!G131:G135)</f>
        <v>1564.5</v>
      </c>
      <c r="E77" s="73">
        <f>SUM('DOE25'!H131:H135)</f>
        <v>0</v>
      </c>
      <c r="F77" s="73">
        <f>SUM('DOE25'!I131:I135)</f>
        <v>0</v>
      </c>
      <c r="G77" s="73">
        <f>SUM('DOE25'!J131:J135)</f>
        <v>0</v>
      </c>
      <c r="H77" s="90">
        <f t="shared" si="4"/>
        <v>1564.5</v>
      </c>
      <c r="I77"/>
    </row>
    <row r="78" spans="1:9" ht="12.75" thickTop="1" thickBot="1" x14ac:dyDescent="0.25">
      <c r="A78" s="28" t="s">
        <v>259</v>
      </c>
      <c r="B78" s="6"/>
      <c r="C78" s="93">
        <f>SUM(C72:C77)</f>
        <v>373045.95999999996</v>
      </c>
      <c r="D78" s="93">
        <f>SUM(D72:D77)</f>
        <v>1564.5</v>
      </c>
      <c r="E78" s="93">
        <f>SUM(E72:E77)</f>
        <v>0</v>
      </c>
      <c r="F78" s="93">
        <f>SUM(F72:F77)</f>
        <v>0</v>
      </c>
      <c r="G78" s="93">
        <f>SUM(G72:G77)</f>
        <v>0</v>
      </c>
      <c r="H78" s="90">
        <f t="shared" si="4"/>
        <v>374610.45999999996</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1764773.52</v>
      </c>
      <c r="D81" s="93">
        <f>SUM(D79:D80)+D78+D70</f>
        <v>1564.5</v>
      </c>
      <c r="E81" s="93">
        <f>SUM(E79:E80)+E78+E70</f>
        <v>0</v>
      </c>
      <c r="F81" s="93">
        <f>SUM(F79:F80)+F78+F70</f>
        <v>0</v>
      </c>
      <c r="G81" s="93">
        <f>SUM(G79:G80)+G78+G70</f>
        <v>0</v>
      </c>
      <c r="H81" s="93">
        <f t="shared" si="4"/>
        <v>1766338.02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3515.01</v>
      </c>
      <c r="F87" s="73">
        <f>SUM('DOE25'!I149:I152)</f>
        <v>0</v>
      </c>
      <c r="G87" s="23" t="s">
        <v>288</v>
      </c>
      <c r="H87" s="90">
        <f t="shared" si="5"/>
        <v>3515.01</v>
      </c>
    </row>
    <row r="88" spans="1:9" x14ac:dyDescent="0.2">
      <c r="A88" s="217" t="s">
        <v>747</v>
      </c>
      <c r="B88" s="231" t="s">
        <v>184</v>
      </c>
      <c r="C88" s="253">
        <f>SUM('DOE25'!F153:F162)</f>
        <v>35751.230000000003</v>
      </c>
      <c r="D88" s="253">
        <f>SUM('DOE25'!G153:G162)</f>
        <v>103694.85</v>
      </c>
      <c r="E88" s="253">
        <f>SUM('DOE25'!H153:H162)</f>
        <v>150756.29</v>
      </c>
      <c r="F88" s="253">
        <f>SUM('DOE25'!I153:I162)</f>
        <v>0</v>
      </c>
      <c r="G88" s="23" t="s">
        <v>288</v>
      </c>
      <c r="H88" s="90">
        <f t="shared" si="5"/>
        <v>290202.37</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503.12</v>
      </c>
      <c r="D90" s="23" t="s">
        <v>288</v>
      </c>
      <c r="E90" s="23" t="s">
        <v>288</v>
      </c>
      <c r="F90" s="23" t="s">
        <v>288</v>
      </c>
      <c r="G90" s="23" t="s">
        <v>288</v>
      </c>
      <c r="H90" s="90">
        <f t="shared" si="5"/>
        <v>503.12</v>
      </c>
    </row>
    <row r="91" spans="1:9" ht="12.75" thickTop="1" thickBot="1" x14ac:dyDescent="0.25">
      <c r="A91" s="32" t="s">
        <v>750</v>
      </c>
      <c r="C91" s="94">
        <f>SUM(C85:C90)</f>
        <v>36254.350000000006</v>
      </c>
      <c r="D91" s="94">
        <f>SUM(D85:D90)</f>
        <v>103694.85</v>
      </c>
      <c r="E91" s="94">
        <f>SUM(E85:E90)</f>
        <v>154271.30000000002</v>
      </c>
      <c r="F91" s="94">
        <f>SUM(F85:F90)</f>
        <v>0</v>
      </c>
      <c r="G91" s="23" t="s">
        <v>288</v>
      </c>
      <c r="H91" s="90">
        <f t="shared" si="5"/>
        <v>294220.5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12899.76</v>
      </c>
      <c r="E96" s="73">
        <f>'DOE25'!H180</f>
        <v>0</v>
      </c>
      <c r="F96" s="73">
        <f>'DOE25'!I180</f>
        <v>0</v>
      </c>
      <c r="G96" s="73">
        <f>'DOE25'!J180</f>
        <v>0</v>
      </c>
      <c r="H96" s="90">
        <f t="shared" si="5"/>
        <v>12899.76</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12899.76</v>
      </c>
      <c r="E103" s="68">
        <f>SUM(E93:E102)</f>
        <v>0</v>
      </c>
      <c r="F103" s="68">
        <f>SUM(F93:F102)</f>
        <v>0</v>
      </c>
      <c r="G103" s="68">
        <f>SUM(G93:G102)</f>
        <v>0</v>
      </c>
      <c r="H103" s="68">
        <f t="shared" si="5"/>
        <v>12899.76</v>
      </c>
    </row>
    <row r="104" spans="1:8" ht="12.75" thickTop="1" thickBot="1" x14ac:dyDescent="0.25">
      <c r="A104" s="32" t="s">
        <v>761</v>
      </c>
      <c r="C104" s="68">
        <f>C63+C81+C91+C103</f>
        <v>6386281.7400000002</v>
      </c>
      <c r="D104" s="68">
        <f>D63+D81+D91+D103</f>
        <v>136411.28</v>
      </c>
      <c r="E104" s="68">
        <f>E63+E81+E91+E103</f>
        <v>154871.30000000002</v>
      </c>
      <c r="F104" s="68">
        <f>F63+F81+F91+F103</f>
        <v>0</v>
      </c>
      <c r="G104" s="68">
        <f>G63+G81+G103</f>
        <v>6192.4</v>
      </c>
      <c r="H104" s="68">
        <f t="shared" si="5"/>
        <v>6683756.7200000007</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2410930.96</v>
      </c>
      <c r="D109" s="23" t="s">
        <v>288</v>
      </c>
      <c r="E109" s="73">
        <f>('DOE25'!L277)+('DOE25'!L296)+('DOE25'!L315)</f>
        <v>59851.49</v>
      </c>
      <c r="F109" s="23" t="s">
        <v>288</v>
      </c>
      <c r="G109" s="23" t="s">
        <v>288</v>
      </c>
      <c r="H109" s="90">
        <f t="shared" ref="H109:H115" si="6">SUM(C109:G109)</f>
        <v>2470782.4500000002</v>
      </c>
    </row>
    <row r="110" spans="1:8" x14ac:dyDescent="0.2">
      <c r="A110" t="s">
        <v>198</v>
      </c>
      <c r="B110" s="31" t="s">
        <v>199</v>
      </c>
      <c r="C110" s="73">
        <f>('DOE25'!L199)+('DOE25'!L217)+('DOE25'!L235)</f>
        <v>672772.28</v>
      </c>
      <c r="D110" s="23" t="s">
        <v>288</v>
      </c>
      <c r="E110" s="73">
        <f>('DOE25'!L278)+('DOE25'!L297)+('DOE25'!L316)</f>
        <v>68014.76999999999</v>
      </c>
      <c r="F110" s="23" t="s">
        <v>288</v>
      </c>
      <c r="G110" s="23" t="s">
        <v>288</v>
      </c>
      <c r="H110" s="90">
        <f t="shared" si="6"/>
        <v>740787.05</v>
      </c>
    </row>
    <row r="111" spans="1:8" x14ac:dyDescent="0.2">
      <c r="A111" t="s">
        <v>200</v>
      </c>
      <c r="B111" s="31" t="s">
        <v>165</v>
      </c>
      <c r="C111" s="73">
        <f>('DOE25'!L200)+('DOE25'!L218)+('DOE25'!L236)</f>
        <v>196857.09</v>
      </c>
      <c r="D111" s="23" t="s">
        <v>288</v>
      </c>
      <c r="E111" s="73">
        <f>('DOE25'!L279)+('DOE25'!L298)+('DOE25'!L317)</f>
        <v>0</v>
      </c>
      <c r="F111" s="23" t="s">
        <v>288</v>
      </c>
      <c r="G111" s="23" t="s">
        <v>288</v>
      </c>
      <c r="H111" s="90">
        <f t="shared" si="6"/>
        <v>196857.09</v>
      </c>
    </row>
    <row r="112" spans="1:8" x14ac:dyDescent="0.2">
      <c r="A112" t="s">
        <v>201</v>
      </c>
      <c r="B112" s="31" t="s">
        <v>167</v>
      </c>
      <c r="C112" s="73">
        <f>('DOE25'!L201)+('DOE25'!L219)+('DOE25'!L237)</f>
        <v>142357.33000000002</v>
      </c>
      <c r="D112" s="23" t="s">
        <v>288</v>
      </c>
      <c r="E112" s="73">
        <f>+('DOE25'!L280)+('DOE25'!L299)+('DOE25'!L318)</f>
        <v>0</v>
      </c>
      <c r="F112" s="23" t="s">
        <v>288</v>
      </c>
      <c r="G112" s="23" t="s">
        <v>288</v>
      </c>
      <c r="H112" s="90">
        <f t="shared" si="6"/>
        <v>142357.33000000002</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3422917.66</v>
      </c>
      <c r="D115" s="68">
        <f>SUM(D109:D114)</f>
        <v>0</v>
      </c>
      <c r="E115" s="68">
        <f>SUM(E109:E114)</f>
        <v>127866.25999999998</v>
      </c>
      <c r="F115" s="68">
        <f>SUM(F109:F114)</f>
        <v>0</v>
      </c>
      <c r="G115" s="68">
        <f>SUM(G109:G114)</f>
        <v>0</v>
      </c>
      <c r="H115" s="68">
        <f t="shared" si="6"/>
        <v>3550783.92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356609.51</v>
      </c>
      <c r="D118" s="23" t="s">
        <v>288</v>
      </c>
      <c r="E118" s="73">
        <f>+('DOE25'!L282)+('DOE25'!L301)+('DOE25'!L320)</f>
        <v>2431</v>
      </c>
      <c r="F118" s="23" t="s">
        <v>288</v>
      </c>
      <c r="G118" s="23" t="s">
        <v>288</v>
      </c>
      <c r="H118" s="90">
        <f t="shared" ref="H118:H145" si="7">SUM(C118:G118)</f>
        <v>359040.51</v>
      </c>
    </row>
    <row r="119" spans="1:8" x14ac:dyDescent="0.2">
      <c r="A119" t="s">
        <v>208</v>
      </c>
      <c r="B119" s="31" t="s">
        <v>209</v>
      </c>
      <c r="C119" s="73">
        <f>('DOE25'!L204)+('DOE25'!L222)+('DOE25'!L240)</f>
        <v>229850.2</v>
      </c>
      <c r="D119" s="23" t="s">
        <v>288</v>
      </c>
      <c r="E119" s="73">
        <f>+('DOE25'!L283)+('DOE25'!L302)+('DOE25'!L321)</f>
        <v>0</v>
      </c>
      <c r="F119" s="23" t="s">
        <v>288</v>
      </c>
      <c r="G119" s="23" t="s">
        <v>288</v>
      </c>
      <c r="H119" s="90">
        <f t="shared" si="7"/>
        <v>229850.2</v>
      </c>
    </row>
    <row r="120" spans="1:8" x14ac:dyDescent="0.2">
      <c r="A120" t="s">
        <v>210</v>
      </c>
      <c r="B120" s="31" t="s">
        <v>211</v>
      </c>
      <c r="C120" s="73">
        <f>('DOE25'!L205)+('DOE25'!L223)+('DOE25'!L241)</f>
        <v>379834.26</v>
      </c>
      <c r="D120" s="23" t="s">
        <v>288</v>
      </c>
      <c r="E120" s="73">
        <f>+('DOE25'!L284)+('DOE25'!L303)+('DOE25'!L322)</f>
        <v>10773.060000000001</v>
      </c>
      <c r="F120" s="23" t="s">
        <v>288</v>
      </c>
      <c r="G120" s="23" t="s">
        <v>288</v>
      </c>
      <c r="H120" s="90">
        <f t="shared" si="7"/>
        <v>390607.32</v>
      </c>
    </row>
    <row r="121" spans="1:8" x14ac:dyDescent="0.2">
      <c r="A121" t="s">
        <v>212</v>
      </c>
      <c r="B121" s="31" t="s">
        <v>213</v>
      </c>
      <c r="C121" s="73">
        <f>('DOE25'!L206)+('DOE25'!L224)+('DOE25'!L242)</f>
        <v>439085.14999999991</v>
      </c>
      <c r="D121" s="23" t="s">
        <v>288</v>
      </c>
      <c r="E121" s="73">
        <f>+('DOE25'!L285)+('DOE25'!L304)+('DOE25'!L323)</f>
        <v>0</v>
      </c>
      <c r="F121" s="23" t="s">
        <v>288</v>
      </c>
      <c r="G121" s="23" t="s">
        <v>288</v>
      </c>
      <c r="H121" s="90">
        <f t="shared" si="7"/>
        <v>439085.14999999991</v>
      </c>
    </row>
    <row r="122" spans="1:8" x14ac:dyDescent="0.2">
      <c r="A122" t="s">
        <v>214</v>
      </c>
      <c r="B122" s="31" t="s">
        <v>215</v>
      </c>
      <c r="C122" s="73">
        <f>('DOE25'!L207)+('DOE25'!L225)+('DOE25'!L243)</f>
        <v>0</v>
      </c>
      <c r="D122" s="23" t="s">
        <v>288</v>
      </c>
      <c r="E122" s="73">
        <f>+('DOE25'!L286)+('DOE25'!L305)+('DOE25'!L324)</f>
        <v>0</v>
      </c>
      <c r="F122" s="23" t="s">
        <v>288</v>
      </c>
      <c r="G122" s="23" t="s">
        <v>288</v>
      </c>
      <c r="H122" s="90">
        <f t="shared" si="7"/>
        <v>0</v>
      </c>
    </row>
    <row r="123" spans="1:8" x14ac:dyDescent="0.2">
      <c r="A123" t="s">
        <v>216</v>
      </c>
      <c r="B123" s="31" t="s">
        <v>217</v>
      </c>
      <c r="C123" s="73">
        <f>('DOE25'!L208)+('DOE25'!L226)+('DOE25'!L244)</f>
        <v>445223.43000000005</v>
      </c>
      <c r="D123" s="23" t="s">
        <v>288</v>
      </c>
      <c r="E123" s="73">
        <f>+('DOE25'!L287)+('DOE25'!L306)+('DOE25'!L325)</f>
        <v>600</v>
      </c>
      <c r="F123" s="23" t="s">
        <v>288</v>
      </c>
      <c r="G123" s="23" t="s">
        <v>288</v>
      </c>
      <c r="H123" s="90">
        <f t="shared" si="7"/>
        <v>445823.43000000005</v>
      </c>
    </row>
    <row r="124" spans="1:8" x14ac:dyDescent="0.2">
      <c r="A124" t="s">
        <v>218</v>
      </c>
      <c r="B124" s="31" t="s">
        <v>219</v>
      </c>
      <c r="C124" s="73">
        <f>('DOE25'!L209)+('DOE25'!L227)+('DOE25'!L245+'DOE25'!L255)</f>
        <v>137861.22</v>
      </c>
      <c r="D124" s="23" t="s">
        <v>288</v>
      </c>
      <c r="E124" s="73">
        <f>+('DOE25'!L288)+('DOE25'!L307)+('DOE25'!L326)</f>
        <v>1298.98</v>
      </c>
      <c r="F124" s="23" t="s">
        <v>288</v>
      </c>
      <c r="G124" s="23" t="s">
        <v>288</v>
      </c>
      <c r="H124" s="90">
        <f t="shared" si="7"/>
        <v>139160.20000000001</v>
      </c>
    </row>
    <row r="125" spans="1:8" x14ac:dyDescent="0.2">
      <c r="A125" t="s">
        <v>220</v>
      </c>
      <c r="B125" s="31" t="s">
        <v>221</v>
      </c>
      <c r="C125" s="73">
        <f>('DOE25'!L210)+('DOE25'!L228)+('DOE25'!L246)</f>
        <v>29731.65</v>
      </c>
      <c r="D125" s="23" t="s">
        <v>288</v>
      </c>
      <c r="E125" s="73">
        <f>+('DOE25'!L289)+('DOE25'!L308)+('DOE25'!L327)</f>
        <v>13902</v>
      </c>
      <c r="F125" s="23" t="s">
        <v>288</v>
      </c>
      <c r="G125" s="23" t="s">
        <v>288</v>
      </c>
      <c r="H125" s="90">
        <f t="shared" si="7"/>
        <v>43633.65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136411.28</v>
      </c>
      <c r="E127" s="23" t="s">
        <v>288</v>
      </c>
      <c r="F127" s="23" t="s">
        <v>288</v>
      </c>
      <c r="G127" s="23" t="s">
        <v>288</v>
      </c>
      <c r="H127" s="90">
        <f t="shared" si="7"/>
        <v>136411.28</v>
      </c>
    </row>
    <row r="128" spans="1:8" ht="12.75" thickTop="1" thickBot="1" x14ac:dyDescent="0.25">
      <c r="A128" s="32" t="s">
        <v>226</v>
      </c>
      <c r="C128" s="68">
        <f>SUM(C118:C127)</f>
        <v>2018195.4199999997</v>
      </c>
      <c r="D128" s="68">
        <f>SUM(D118:D127)</f>
        <v>136411.28</v>
      </c>
      <c r="E128" s="68">
        <f>SUM(E118:E127)</f>
        <v>29005.040000000001</v>
      </c>
      <c r="F128" s="68">
        <f>SUM(F118:F127)</f>
        <v>0</v>
      </c>
      <c r="G128" s="68">
        <f>SUM(G118:G127)</f>
        <v>0</v>
      </c>
      <c r="H128" s="68">
        <f t="shared" si="7"/>
        <v>2183611.7399999998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645000</v>
      </c>
      <c r="D131" s="23" t="s">
        <v>288</v>
      </c>
      <c r="E131" s="92">
        <f>'DOE25'!L342</f>
        <v>0</v>
      </c>
      <c r="F131" s="23" t="s">
        <v>288</v>
      </c>
      <c r="G131" s="23" t="s">
        <v>288</v>
      </c>
      <c r="H131" s="90">
        <f t="shared" si="7"/>
        <v>645000</v>
      </c>
    </row>
    <row r="132" spans="1:8" x14ac:dyDescent="0.2">
      <c r="A132" t="s">
        <v>230</v>
      </c>
      <c r="B132" s="31">
        <v>5120</v>
      </c>
      <c r="C132" s="73">
        <f>'DOE25'!L262</f>
        <v>38415.663</v>
      </c>
      <c r="D132" s="23" t="s">
        <v>288</v>
      </c>
      <c r="E132" s="92">
        <f>'DOE25'!L343</f>
        <v>0</v>
      </c>
      <c r="F132" s="23" t="s">
        <v>288</v>
      </c>
      <c r="G132" s="23" t="s">
        <v>288</v>
      </c>
      <c r="H132" s="90">
        <f t="shared" si="7"/>
        <v>38415.663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12899.76</v>
      </c>
      <c r="D135" s="23" t="s">
        <v>288</v>
      </c>
      <c r="E135" s="92">
        <f>'DOE25'!L346</f>
        <v>0</v>
      </c>
      <c r="F135" s="23" t="s">
        <v>288</v>
      </c>
      <c r="G135" s="23" t="s">
        <v>288</v>
      </c>
      <c r="H135" s="90">
        <f t="shared" si="7"/>
        <v>12899.76</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6192.4</v>
      </c>
      <c r="D139" s="23" t="s">
        <v>288</v>
      </c>
      <c r="E139" s="23" t="s">
        <v>288</v>
      </c>
      <c r="F139" s="23" t="s">
        <v>288</v>
      </c>
      <c r="G139" s="23" t="s">
        <v>288</v>
      </c>
      <c r="H139" s="90">
        <f t="shared" si="7"/>
        <v>6192.4</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-6192.4</v>
      </c>
      <c r="D141" s="23" t="s">
        <v>288</v>
      </c>
      <c r="E141" s="23" t="s">
        <v>288</v>
      </c>
      <c r="F141" s="23" t="s">
        <v>288</v>
      </c>
      <c r="G141" s="23" t="s">
        <v>288</v>
      </c>
      <c r="H141" s="90">
        <f t="shared" si="7"/>
        <v>-6192.4</v>
      </c>
    </row>
    <row r="142" spans="1:8" x14ac:dyDescent="0.2">
      <c r="A142" t="s">
        <v>241</v>
      </c>
      <c r="B142" s="31">
        <v>5310</v>
      </c>
      <c r="C142" s="92">
        <f>'DOE25'!L269</f>
        <v>12500</v>
      </c>
      <c r="D142" s="23" t="s">
        <v>288</v>
      </c>
      <c r="E142" s="92">
        <f>'DOE25'!L350</f>
        <v>0</v>
      </c>
      <c r="F142" s="23" t="s">
        <v>288</v>
      </c>
      <c r="G142" s="23" t="s">
        <v>288</v>
      </c>
      <c r="H142" s="90">
        <f t="shared" si="7"/>
        <v>12500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708815.42299999995</v>
      </c>
      <c r="D144" s="98">
        <f>SUM(D130:D143)</f>
        <v>0</v>
      </c>
      <c r="E144" s="98">
        <f>SUM(E130:E143)</f>
        <v>0</v>
      </c>
      <c r="F144" s="98">
        <f>SUM(F130:F143)</f>
        <v>0</v>
      </c>
      <c r="G144" s="98">
        <f>SUM(G130:G143)</f>
        <v>0</v>
      </c>
      <c r="H144" s="98">
        <f t="shared" si="7"/>
        <v>708815.42299999995</v>
      </c>
    </row>
    <row r="145" spans="1:9" ht="12.75" thickTop="1" thickBot="1" x14ac:dyDescent="0.25">
      <c r="A145" s="32" t="s">
        <v>244</v>
      </c>
      <c r="C145" s="68">
        <f>(C115+C128+C144)</f>
        <v>6149928.5030000005</v>
      </c>
      <c r="D145" s="68">
        <f>(D115+D128+D144)</f>
        <v>136411.28</v>
      </c>
      <c r="E145" s="68">
        <f>(E115+E128+E144)</f>
        <v>156871.29999999999</v>
      </c>
      <c r="F145" s="68">
        <f>(F115+F128+F144)</f>
        <v>0</v>
      </c>
      <c r="G145" s="68">
        <f>(G115+G128+G144)</f>
        <v>0</v>
      </c>
      <c r="H145" s="68">
        <f t="shared" si="7"/>
        <v>6443211.0830000006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Profile</v>
      </c>
    </row>
    <row r="3" spans="1:4" x14ac:dyDescent="0.2">
      <c r="B3" s="137" t="s">
        <v>1799</v>
      </c>
    </row>
    <row r="4" spans="1:4" x14ac:dyDescent="0.2">
      <c r="B4" t="s">
        <v>61</v>
      </c>
      <c r="C4" s="129">
        <f>IF('DOE25'!F666+'DOE25'!F671=0,0,ROUND('DOE25'!F673,0))</f>
        <v>0</v>
      </c>
    </row>
    <row r="5" spans="1:4" x14ac:dyDescent="0.2">
      <c r="B5" t="s">
        <v>700</v>
      </c>
      <c r="C5" s="129">
        <f>IF('DOE25'!G666+'DOE25'!G671=0,0,ROUND('DOE25'!G673,0))</f>
        <v>21244</v>
      </c>
    </row>
    <row r="6" spans="1:4" x14ac:dyDescent="0.2">
      <c r="B6" t="s">
        <v>62</v>
      </c>
      <c r="C6" s="129">
        <f>IF('DOE25'!H666+'DOE25'!H671=0,0,ROUND('DOE25'!H673,0))</f>
        <v>25850</v>
      </c>
    </row>
    <row r="7" spans="1:4" x14ac:dyDescent="0.2">
      <c r="B7" t="s">
        <v>701</v>
      </c>
      <c r="C7" s="129">
        <f>IF('DOE25'!I666+'DOE25'!I671=0,0,ROUND('DOE25'!I673,0))</f>
        <v>24093</v>
      </c>
    </row>
    <row r="9" spans="1:4" x14ac:dyDescent="0.2">
      <c r="A9" s="136" t="s">
        <v>94</v>
      </c>
      <c r="B9" s="137" t="s">
        <v>1800</v>
      </c>
      <c r="C9" s="131" t="s">
        <v>720</v>
      </c>
      <c r="D9" s="131" t="s">
        <v>721</v>
      </c>
    </row>
    <row r="10" spans="1:4" x14ac:dyDescent="0.2">
      <c r="A10">
        <v>1100</v>
      </c>
      <c r="B10" t="s">
        <v>702</v>
      </c>
      <c r="C10" s="129">
        <f>ROUND('DOE25'!L198+'DOE25'!L216+'DOE25'!L234+'DOE25'!L277+'DOE25'!L296+'DOE25'!L315,0)</f>
        <v>2470782</v>
      </c>
      <c r="D10" s="132">
        <f>ROUND((C10/$C$28)*100,1)</f>
        <v>42.8</v>
      </c>
    </row>
    <row r="11" spans="1:4" x14ac:dyDescent="0.2">
      <c r="A11">
        <v>1200</v>
      </c>
      <c r="B11" t="s">
        <v>703</v>
      </c>
      <c r="C11" s="129">
        <f>ROUND('DOE25'!L199+'DOE25'!L217+'DOE25'!L235+'DOE25'!L278+'DOE25'!L297+'DOE25'!L316,0)</f>
        <v>740787</v>
      </c>
      <c r="D11" s="132">
        <f>ROUND((C11/$C$28)*100,1)</f>
        <v>12.8</v>
      </c>
    </row>
    <row r="12" spans="1:4" x14ac:dyDescent="0.2">
      <c r="A12">
        <v>1300</v>
      </c>
      <c r="B12" t="s">
        <v>704</v>
      </c>
      <c r="C12" s="129">
        <f>ROUND('DOE25'!L200+'DOE25'!L218+'DOE25'!L236+'DOE25'!L279+'DOE25'!L298+'DOE25'!L317,0)</f>
        <v>196857</v>
      </c>
      <c r="D12" s="132">
        <f>ROUND((C12/$C$28)*100,1)</f>
        <v>3.4</v>
      </c>
    </row>
    <row r="13" spans="1:4" x14ac:dyDescent="0.2">
      <c r="A13">
        <v>1400</v>
      </c>
      <c r="B13" t="s">
        <v>705</v>
      </c>
      <c r="C13" s="129">
        <f>ROUND('DOE25'!L201+'DOE25'!L219+'DOE25'!L237+'DOE25'!L280+'DOE25'!L299+'DOE25'!L318,0)</f>
        <v>142357</v>
      </c>
      <c r="D13" s="132">
        <f>ROUND((C13/$C$28)*100,1)</f>
        <v>2.5</v>
      </c>
    </row>
    <row r="14" spans="1:4" x14ac:dyDescent="0.2">
      <c r="D14" s="132"/>
    </row>
    <row r="15" spans="1:4" x14ac:dyDescent="0.2">
      <c r="A15">
        <v>2100</v>
      </c>
      <c r="B15" t="s">
        <v>706</v>
      </c>
      <c r="C15" s="129">
        <f>ROUND('DOE25'!L203+'DOE25'!L221+'DOE25'!L239+'DOE25'!L282+'DOE25'!L301+'DOE25'!L320,0)</f>
        <v>359041</v>
      </c>
      <c r="D15" s="132">
        <f t="shared" ref="D15:D27" si="0">ROUND((C15/$C$28)*100,1)</f>
        <v>6.2</v>
      </c>
    </row>
    <row r="16" spans="1:4" x14ac:dyDescent="0.2">
      <c r="A16">
        <v>2200</v>
      </c>
      <c r="B16" t="s">
        <v>707</v>
      </c>
      <c r="C16" s="129">
        <f>ROUND('DOE25'!L204+'DOE25'!L222+'DOE25'!L240+'DOE25'!L283+'DOE25'!L302+'DOE25'!L321,0)</f>
        <v>229850</v>
      </c>
      <c r="D16" s="132">
        <f t="shared" si="0"/>
        <v>4</v>
      </c>
    </row>
    <row r="17" spans="1:4" x14ac:dyDescent="0.2">
      <c r="A17" s="133" t="s">
        <v>723</v>
      </c>
      <c r="B17" t="s">
        <v>738</v>
      </c>
      <c r="C17" s="129">
        <f>ROUND('DOE25'!L205+'DOE25'!L210+'DOE25'!L223+'DOE25'!L228+'DOE25'!L241+'DOE25'!L246+'DOE25'!L284+'DOE25'!L289+'DOE25'!L303+'DOE25'!L308+'DOE25'!L322+'DOE25'!L327,0)</f>
        <v>434241</v>
      </c>
      <c r="D17" s="132">
        <f t="shared" si="0"/>
        <v>7.5</v>
      </c>
    </row>
    <row r="18" spans="1:4" x14ac:dyDescent="0.2">
      <c r="A18">
        <v>2400</v>
      </c>
      <c r="B18" t="s">
        <v>711</v>
      </c>
      <c r="C18" s="129">
        <f>ROUND('DOE25'!L206+'DOE25'!L224+'DOE25'!L242+'DOE25'!L285+'DOE25'!L304+'DOE25'!L323,0)</f>
        <v>439085</v>
      </c>
      <c r="D18" s="132">
        <f t="shared" si="0"/>
        <v>7.6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445823</v>
      </c>
      <c r="D20" s="132">
        <f t="shared" si="0"/>
        <v>7.7</v>
      </c>
    </row>
    <row r="21" spans="1:4" x14ac:dyDescent="0.2">
      <c r="A21">
        <v>2700</v>
      </c>
      <c r="B21" t="s">
        <v>710</v>
      </c>
      <c r="C21" s="129">
        <f>ROUND('DOE25'!L209+'DOE25'!L227+'DOE25'!L245+'DOE25'!L288+'DOE25'!L307+'DOE25'!L326,0)</f>
        <v>139160</v>
      </c>
      <c r="D21" s="132">
        <f t="shared" si="0"/>
        <v>2.4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38416</v>
      </c>
      <c r="D25" s="132">
        <f t="shared" si="0"/>
        <v>0.7</v>
      </c>
    </row>
    <row r="26" spans="1:4" x14ac:dyDescent="0.2">
      <c r="A26" s="133" t="s">
        <v>717</v>
      </c>
      <c r="B26" t="s">
        <v>718</v>
      </c>
      <c r="C26" s="129">
        <f>'DOE25'!L269+'DOE25'!L270+'DOE25'!L350+'DOE25'!L351</f>
        <v>12500</v>
      </c>
      <c r="D26" s="132">
        <f t="shared" si="0"/>
        <v>0.2</v>
      </c>
    </row>
    <row r="27" spans="1:4" x14ac:dyDescent="0.2">
      <c r="A27">
        <v>3100</v>
      </c>
      <c r="B27" t="s">
        <v>11</v>
      </c>
      <c r="C27" s="129">
        <f>ROUND('DOE25'!L363-'DOE25'!L362,0)-SUM('DOE25'!G97:G110)</f>
        <v>118158.83</v>
      </c>
      <c r="D27" s="132">
        <f t="shared" si="0"/>
        <v>2</v>
      </c>
    </row>
    <row r="28" spans="1:4" x14ac:dyDescent="0.2">
      <c r="B28" s="136" t="s">
        <v>719</v>
      </c>
      <c r="C28" s="130">
        <f>SUM(C10:C27)</f>
        <v>5767057.8300000001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5767057.8300000001</v>
      </c>
    </row>
    <row r="31" spans="1:4" x14ac:dyDescent="0.2">
      <c r="B31" s="32"/>
      <c r="C31" s="130"/>
    </row>
    <row r="32" spans="1:4" x14ac:dyDescent="0.2">
      <c r="A32">
        <v>5100</v>
      </c>
      <c r="B32" s="32" t="s">
        <v>726</v>
      </c>
      <c r="C32" s="130">
        <f>ROUND('DOE25'!L261+'DOE25'!L342,0)</f>
        <v>645000</v>
      </c>
    </row>
    <row r="34" spans="1:4" x14ac:dyDescent="0.2">
      <c r="A34" s="136" t="s">
        <v>94</v>
      </c>
      <c r="B34" s="137" t="s">
        <v>1801</v>
      </c>
      <c r="C34" s="131" t="s">
        <v>720</v>
      </c>
      <c r="D34" s="131" t="s">
        <v>721</v>
      </c>
    </row>
    <row r="35" spans="1:4" x14ac:dyDescent="0.2">
      <c r="A35">
        <v>1100</v>
      </c>
      <c r="B35" s="71" t="s">
        <v>727</v>
      </c>
      <c r="C35" s="129">
        <f>ROUND('DOE25'!F60+'DOE25'!G60+'DOE25'!H60+'DOE25'!I60+'DOE25'!J60,0)</f>
        <v>4456246</v>
      </c>
      <c r="D35" s="132">
        <f t="shared" ref="D35:D40" si="1">ROUND((C35/$C$41)*100,1)</f>
        <v>67</v>
      </c>
    </row>
    <row r="36" spans="1:4" x14ac:dyDescent="0.2">
      <c r="B36" s="71" t="s">
        <v>739</v>
      </c>
      <c r="C36" s="129">
        <f>SUM('DOE25'!F112:J112)-SUM('DOE25'!G97:G110)+('DOE25'!F175+'DOE25'!F176+'DOE25'!I175+'DOE25'!I176)-C35</f>
        <v>135800.27000000048</v>
      </c>
      <c r="D36" s="132">
        <f t="shared" si="1"/>
        <v>2</v>
      </c>
    </row>
    <row r="37" spans="1:4" x14ac:dyDescent="0.2">
      <c r="A37" s="133" t="s">
        <v>835</v>
      </c>
      <c r="B37" s="71" t="s">
        <v>728</v>
      </c>
      <c r="C37" s="129">
        <f>ROUND('DOE25'!F117+'DOE25'!F118,0)</f>
        <v>1391728</v>
      </c>
      <c r="D37" s="132">
        <f t="shared" si="1"/>
        <v>20.9</v>
      </c>
    </row>
    <row r="38" spans="1:4" x14ac:dyDescent="0.2">
      <c r="A38" s="133" t="s">
        <v>734</v>
      </c>
      <c r="B38" s="71" t="s">
        <v>729</v>
      </c>
      <c r="C38" s="129">
        <f>ROUND(SUM('DOE25'!F140:J140)-SUM('DOE25'!F117:F119),0)</f>
        <v>374610</v>
      </c>
      <c r="D38" s="132">
        <f t="shared" si="1"/>
        <v>5.6</v>
      </c>
    </row>
    <row r="39" spans="1:4" x14ac:dyDescent="0.2">
      <c r="A39">
        <v>4000</v>
      </c>
      <c r="B39" s="71" t="s">
        <v>730</v>
      </c>
      <c r="C39" s="129">
        <f>ROUND('DOE25'!F170+'DOE25'!G170+'DOE25'!H170+'DOE25'!I170,0)</f>
        <v>294221</v>
      </c>
      <c r="D39" s="132">
        <f t="shared" si="1"/>
        <v>4.4000000000000004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6652605.2700000005</v>
      </c>
      <c r="D41" s="134">
        <f>SUM(D35:D40)</f>
        <v>99.9</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Profile</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c r="B4" s="150"/>
      <c r="C4" s="313"/>
      <c r="D4" s="313"/>
      <c r="E4" s="313"/>
      <c r="F4" s="313"/>
      <c r="G4" s="313"/>
      <c r="H4" s="313"/>
      <c r="I4" s="313"/>
      <c r="J4" s="313"/>
      <c r="K4" s="313"/>
      <c r="L4" s="313"/>
      <c r="M4" s="315"/>
    </row>
    <row r="5" spans="1:13" x14ac:dyDescent="0.2">
      <c r="A5" s="159"/>
      <c r="B5" s="150"/>
      <c r="C5" s="313"/>
      <c r="D5" s="313"/>
      <c r="E5" s="313"/>
      <c r="F5" s="313"/>
      <c r="G5" s="313"/>
      <c r="H5" s="313"/>
      <c r="I5" s="313"/>
      <c r="J5" s="313"/>
      <c r="K5" s="313"/>
      <c r="L5" s="313"/>
      <c r="M5" s="315"/>
    </row>
    <row r="6" spans="1:13" x14ac:dyDescent="0.2">
      <c r="A6" s="159"/>
      <c r="B6" s="150"/>
      <c r="C6" s="313"/>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t="str">
        <f>IFERROR(SMALL($I$4:$I$325,ROWS($I$4:I4)),"")</f>
        <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f>IFERROR(SMALL($T$4:$T$75,ROWS($T$4:T4)),"")</f>
        <v>57</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f>IFERROR(SMALL(AE4:$AE$100,ROWS($AE$4:AE4)),"")</f>
        <v>77</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f>IF('School Level Expenditures'!$B$2='School Tables'!L60,'School Tables'!S60,"")</f>
        <v>57</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f>IF('School Level Expenditures'!$B$2='School Tables'!W80,'School Tables'!AD80,"")</f>
        <v>77</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2022-10-08T17:53:15Z</cp:lastPrinted>
  <dcterms:created xsi:type="dcterms:W3CDTF">1997-12-04T19:04:30Z</dcterms:created>
  <dcterms:modified xsi:type="dcterms:W3CDTF">2022-12-20T16:10:15Z</dcterms:modified>
</cp:coreProperties>
</file>