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C437F780-4CA8-4DE9-B29F-0CB0D35EAAE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6">'MS-25'!$A$1:$H$164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9" i="1" l="1"/>
  <c r="F110" i="1"/>
  <c r="F50" i="1"/>
  <c r="F473" i="1"/>
  <c r="F460" i="1"/>
  <c r="K267" i="1"/>
  <c r="F441" i="1"/>
  <c r="J180" i="1"/>
  <c r="J469" i="1"/>
  <c r="G397" i="1"/>
  <c r="F583" i="1" l="1"/>
  <c r="F580" i="1"/>
  <c r="F46" i="1" l="1"/>
  <c r="H583" i="1" l="1"/>
  <c r="F31" i="13"/>
  <c r="F15" i="13" l="1"/>
  <c r="F12" i="13" l="1"/>
  <c r="F6" i="13" l="1"/>
  <c r="D37" i="14" l="1"/>
  <c r="D25" i="14"/>
  <c r="D5" i="14"/>
  <c r="H235" i="1" l="1"/>
  <c r="H199" i="1"/>
  <c r="K269" i="1"/>
  <c r="E9" i="17" l="1"/>
  <c r="G614" i="1" l="1"/>
  <c r="G613" i="1"/>
  <c r="F474" i="1" l="1"/>
  <c r="I244" i="1" l="1"/>
  <c r="H227" i="1"/>
  <c r="H209" i="1"/>
  <c r="J605" i="1" l="1"/>
  <c r="I605" i="1"/>
  <c r="H605" i="1"/>
  <c r="J592" i="1"/>
  <c r="J360" i="1" l="1"/>
  <c r="F28" i="1" l="1"/>
  <c r="F13" i="1"/>
  <c r="F9" i="1"/>
  <c r="H423" i="1" l="1"/>
  <c r="J473" i="1"/>
  <c r="H427" i="1"/>
  <c r="I524" i="1"/>
  <c r="H524" i="1"/>
  <c r="G524" i="1"/>
  <c r="F524" i="1"/>
  <c r="J523" i="1"/>
  <c r="I523" i="1"/>
  <c r="H523" i="1"/>
  <c r="G523" i="1"/>
  <c r="F523" i="1"/>
  <c r="I522" i="1"/>
  <c r="H522" i="1"/>
  <c r="G522" i="1"/>
  <c r="F522" i="1"/>
  <c r="C20" i="12" l="1"/>
  <c r="H234" i="1" l="1"/>
  <c r="I234" i="1"/>
  <c r="I216" i="1"/>
  <c r="I198" i="1"/>
  <c r="F245" i="1" l="1"/>
  <c r="H243" i="1"/>
  <c r="I242" i="1"/>
  <c r="I241" i="1"/>
  <c r="I239" i="1"/>
  <c r="I235" i="1" l="1"/>
  <c r="F98" i="1" l="1"/>
  <c r="J325" i="1" l="1"/>
  <c r="G306" i="1"/>
  <c r="I320" i="1" l="1"/>
  <c r="I301" i="1"/>
  <c r="H162" i="1" l="1"/>
  <c r="H161" i="1" l="1"/>
  <c r="H159" i="1"/>
  <c r="H155" i="1"/>
  <c r="H154" i="1"/>
  <c r="G9" i="1" l="1"/>
  <c r="F361" i="1" l="1"/>
  <c r="G97" i="1" l="1"/>
  <c r="G503" i="1" l="1"/>
  <c r="G502" i="1"/>
  <c r="G500" i="1"/>
  <c r="G499" i="1"/>
  <c r="G496" i="1"/>
  <c r="F503" i="1"/>
  <c r="F502" i="1"/>
  <c r="F500" i="1"/>
  <c r="F499" i="1"/>
  <c r="F498"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L308" i="1"/>
  <c r="L315" i="1"/>
  <c r="L316" i="1"/>
  <c r="L317" i="1"/>
  <c r="L318" i="1"/>
  <c r="L320" i="1"/>
  <c r="L321" i="1"/>
  <c r="L322" i="1"/>
  <c r="L323" i="1"/>
  <c r="L324" i="1"/>
  <c r="L325" i="1"/>
  <c r="L326" i="1"/>
  <c r="E124" i="2" s="1"/>
  <c r="L327" i="1"/>
  <c r="E125" i="2" s="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H132" i="2"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H80" i="2" s="1"/>
  <c r="E80" i="2"/>
  <c r="C85"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D115" i="2"/>
  <c r="F115" i="2"/>
  <c r="G115" i="2"/>
  <c r="C125"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H653" i="1"/>
  <c r="G654" i="1"/>
  <c r="H654" i="1"/>
  <c r="H655" i="1"/>
  <c r="H656" i="1"/>
  <c r="I170" i="1"/>
  <c r="H101" i="2" l="1"/>
  <c r="H99" i="2"/>
  <c r="H79" i="2"/>
  <c r="H76" i="2"/>
  <c r="H58" i="2"/>
  <c r="H36" i="2"/>
  <c r="H44" i="2"/>
  <c r="H97" i="2"/>
  <c r="H87" i="2"/>
  <c r="H61" i="2"/>
  <c r="H26" i="2"/>
  <c r="H22" i="2"/>
  <c r="E112" i="2"/>
  <c r="H112" i="2" s="1"/>
  <c r="H35" i="2"/>
  <c r="H13" i="2"/>
  <c r="H69" i="2"/>
  <c r="H30" i="2"/>
  <c r="H28" i="2"/>
  <c r="H17" i="2"/>
  <c r="H11" i="2"/>
  <c r="H102" i="2"/>
  <c r="H100" i="2"/>
  <c r="H98" i="2"/>
  <c r="H73" i="2"/>
  <c r="H23" i="2"/>
  <c r="H15" i="2"/>
  <c r="H38" i="2"/>
  <c r="H43" i="2"/>
  <c r="H89" i="2"/>
  <c r="H59" i="2"/>
  <c r="H34" i="2"/>
  <c r="H29" i="2"/>
  <c r="H9" i="2"/>
  <c r="J652" i="1"/>
  <c r="G646" i="1"/>
  <c r="H48" i="2"/>
  <c r="H12" i="2"/>
  <c r="H96" i="2"/>
  <c r="F409" i="1"/>
  <c r="H644" i="1" s="1"/>
  <c r="J644" i="1" s="1"/>
  <c r="G409" i="1"/>
  <c r="H646" i="1" s="1"/>
  <c r="H125" i="2"/>
  <c r="D15" i="13"/>
  <c r="C15" i="13" s="1"/>
  <c r="E13" i="13"/>
  <c r="C13" i="13" s="1"/>
  <c r="C121" i="2"/>
  <c r="C120" i="2"/>
  <c r="C119" i="2"/>
  <c r="D6" i="13"/>
  <c r="C6" i="13" s="1"/>
  <c r="C13" i="10"/>
  <c r="H135" i="2"/>
  <c r="H27" i="2"/>
  <c r="E121" i="2"/>
  <c r="H121" i="2" s="1"/>
  <c r="E120" i="2"/>
  <c r="C12" i="10"/>
  <c r="A40" i="12"/>
  <c r="H8" i="2"/>
  <c r="G662" i="1"/>
  <c r="G477" i="1"/>
  <c r="B33" i="16" s="1"/>
  <c r="D78" i="2"/>
  <c r="D81" i="2" s="1"/>
  <c r="H77" i="2"/>
  <c r="H477" i="1"/>
  <c r="H625" i="1" s="1"/>
  <c r="J625" i="1" s="1"/>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42" i="2" l="1"/>
  <c r="H57" i="2"/>
  <c r="H21" i="2"/>
  <c r="H16" i="2"/>
  <c r="J646" i="1"/>
  <c r="H85" i="2"/>
  <c r="H624" i="1"/>
  <c r="J624" i="1" s="1"/>
  <c r="H50" i="2"/>
  <c r="H134" i="2"/>
  <c r="H103" i="2"/>
  <c r="L572" i="1"/>
  <c r="H123" i="2"/>
  <c r="H122" i="2"/>
  <c r="H120" i="2"/>
  <c r="H91" i="2"/>
  <c r="H78" i="2"/>
  <c r="C81" i="2"/>
  <c r="H81" i="2" s="1"/>
  <c r="F194" i="1"/>
  <c r="G628" i="1" s="1"/>
  <c r="J628" i="1" s="1"/>
  <c r="E128" i="2"/>
  <c r="H118" i="2"/>
  <c r="F661" i="1"/>
  <c r="F665" i="1" s="1"/>
  <c r="F668" i="1" s="1"/>
  <c r="G24" i="14"/>
  <c r="H24" i="14" s="1"/>
  <c r="I24" i="14" s="1"/>
  <c r="E115" i="2"/>
  <c r="H109" i="2"/>
  <c r="D51" i="2"/>
  <c r="H31" i="2"/>
  <c r="H18" i="2"/>
  <c r="D128" i="2"/>
  <c r="H127" i="2"/>
  <c r="D63" i="2"/>
  <c r="D104" i="2" s="1"/>
  <c r="H62"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C144" i="2"/>
  <c r="H144" i="2" s="1"/>
  <c r="H141" i="2"/>
  <c r="H115" i="2"/>
  <c r="H104" i="2"/>
  <c r="H63" i="2"/>
  <c r="E145" i="2"/>
  <c r="D145" i="2"/>
  <c r="H128" i="2"/>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<sst xmlns="http://schemas.openxmlformats.org/spreadsheetml/2006/main" count="6539" uniqueCount="1811">
  <si>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</si>
  <si>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</si>
  <si>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</si>
  <si>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</si>
  <si>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</si>
  <si>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</si>
  <si>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</si>
  <si>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</si>
  <si>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</si>
  <si>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</si>
  <si>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</si>
  <si>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</si>
  <si>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</si>
  <si>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</si>
  <si>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</si>
  <si>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</si>
  <si>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</si>
  <si>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</si>
  <si>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</si>
  <si>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</si>
  <si>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</si>
  <si>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</si>
  <si>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</si>
  <si>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</si>
  <si>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</si>
  <si>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</si>
  <si>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</si>
  <si>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</si>
  <si>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</si>
  <si>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</si>
  <si>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</si>
  <si>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</si>
  <si>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</si>
  <si>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</si>
  <si>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</si>
  <si>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</si>
  <si>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</si>
  <si>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</si>
  <si>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</si>
  <si>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</si>
  <si>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</si>
  <si>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</si>
  <si>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</si>
  <si>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</si>
  <si>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</si>
  <si>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</si>
  <si>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</si>
  <si>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</si>
  <si>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</si>
  <si>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</si>
  <si>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</si>
  <si>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</si>
  <si>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</si>
  <si>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</si>
  <si>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</si>
  <si>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</si>
  <si>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</si>
  <si>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</si>
  <si>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</si>
  <si>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</si>
  <si>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</si>
  <si>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</si>
  <si>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</si>
  <si>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</si>
  <si>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</si>
  <si>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</si>
  <si>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</si>
  <si>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</si>
  <si>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</si>
  <si>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</si>
  <si>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</si>
  <si>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</si>
  <si>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</si>
  <si>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</si>
  <si>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</si>
  <si>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</si>
  <si>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</si>
  <si>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</si>
  <si>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</si>
  <si>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</si>
  <si>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</si>
  <si>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</si>
  <si>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</si>
  <si>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</si>
  <si>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</si>
  <si>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</si>
  <si>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</si>
  <si>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</si>
  <si>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</si>
  <si>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</si>
  <si>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</si>
  <si>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</si>
  <si>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</si>
  <si>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</si>
  <si>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</si>
  <si>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</si>
  <si>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</si>
  <si>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</si>
  <si>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</si>
  <si>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</si>
  <si>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</si>
  <si>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</si>
  <si>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</si>
  <si>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</si>
  <si>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</si>
  <si>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</si>
  <si>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</si>
  <si>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</si>
  <si>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</si>
  <si>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</si>
  <si>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</si>
  <si>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</si>
  <si>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</si>
  <si>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</si>
  <si>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</si>
  <si>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</si>
  <si>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</si>
  <si>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</si>
  <si>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</si>
  <si>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</si>
  <si>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</si>
  <si>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</si>
  <si>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</si>
  <si>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</si>
  <si>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</si>
  <si>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</si>
  <si>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</si>
  <si>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</si>
  <si>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</si>
  <si>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</si>
  <si>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</si>
  <si>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</si>
  <si>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</si>
  <si>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</si>
  <si>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</si>
  <si>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</si>
  <si>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</si>
  <si>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</si>
  <si>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</si>
  <si>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</si>
  <si>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</si>
  <si>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</si>
  <si>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</si>
  <si>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</si>
  <si>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</si>
  <si>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</si>
  <si>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</si>
  <si>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</si>
  <si>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</si>
  <si>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</si>
  <si>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</si>
  <si>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</si>
  <si>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</si>
  <si>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</si>
  <si>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</si>
  <si>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</si>
  <si>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</si>
  <si>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</si>
  <si>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</si>
  <si>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</si>
  <si>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</si>
  <si>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</si>
  <si>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</si>
  <si>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</si>
  <si>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</si>
  <si>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</si>
  <si>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</si>
  <si>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</si>
  <si>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</si>
  <si>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</si>
  <si>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</si>
  <si>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</si>
  <si>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</si>
  <si>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</si>
  <si>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</si>
  <si>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</si>
  <si>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</si>
  <si>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</si>
  <si>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</si>
  <si>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</si>
  <si>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</si>
  <si>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</si>
  <si>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</si>
  <si>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</si>
  <si>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</si>
  <si>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</si>
  <si>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</si>
  <si>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</si>
  <si>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</si>
  <si>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</si>
  <si>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</si>
  <si>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</si>
  <si>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</si>
  <si>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</si>
  <si>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</si>
  <si>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</si>
  <si>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</si>
  <si>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</si>
  <si>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</si>
  <si>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</si>
  <si>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</si>
  <si>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</si>
  <si>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</si>
  <si>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</si>
  <si>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</si>
  <si>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</si>
  <si>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</si>
  <si>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</si>
  <si>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</si>
  <si>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</si>
  <si>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</si>
  <si>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</si>
  <si>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</si>
  <si>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</si>
  <si>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</si>
  <si>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</si>
  <si>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</si>
  <si>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</si>
  <si>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</si>
  <si>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</si>
  <si>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</si>
  <si>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</si>
  <si>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</si>
  <si>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</si>
  <si>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</si>
  <si>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</si>
  <si>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</si>
  <si>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</si>
  <si>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</si>
  <si>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</si>
  <si>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</si>
  <si>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</si>
  <si>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</si>
  <si>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</si>
  <si>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</si>
  <si>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</si>
  <si>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</si>
  <si>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</si>
  <si>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</si>
  <si>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</si>
  <si>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</si>
  <si>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</si>
  <si>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</si>
  <si>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</si>
  <si>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</si>
  <si>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</si>
  <si>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</si>
  <si>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</si>
  <si>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</si>
  <si>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</si>
  <si>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</si>
  <si>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</si>
  <si>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</si>
  <si>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</si>
  <si>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</si>
  <si>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</si>
  <si>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</si>
  <si>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</si>
  <si>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</si>
  <si>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</si>
  <si>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</si>
  <si>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</si>
  <si>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</si>
  <si>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</si>
  <si>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</si>
  <si>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</si>
  <si>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</si>
  <si>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</si>
  <si>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</si>
  <si>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</si>
  <si>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</si>
  <si>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</si>
  <si>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</si>
  <si>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</si>
  <si>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</si>
  <si>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</si>
  <si>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</si>
  <si>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</si>
  <si>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</si>
  <si>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</si>
  <si>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</si>
  <si>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</si>
  <si>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</si>
  <si>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</si>
  <si>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</si>
  <si>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</si>
  <si>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</si>
  <si>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</si>
  <si>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</si>
  <si>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</si>
  <si>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</si>
  <si>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</si>
  <si>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</si>
  <si>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</si>
  <si>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</si>
  <si>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</si>
  <si>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</si>
  <si>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</si>
  <si>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</si>
  <si>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</si>
  <si>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</si>
  <si>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</si>
  <si>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</si>
  <si>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</si>
  <si>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</si>
  <si>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</si>
  <si>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</si>
  <si>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</si>
  <si>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</si>
  <si>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</si>
  <si>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</si>
  <si>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</si>
  <si>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</si>
  <si>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</si>
  <si>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</si>
  <si>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</si>
  <si>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</si>
  <si>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</si>
  <si>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</si>
  <si>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</si>
  <si>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</si>
  <si>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</si>
  <si>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</si>
  <si>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</si>
  <si>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</si>
  <si>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</si>
  <si>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</si>
  <si>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</si>
  <si>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</si>
  <si>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</si>
  <si>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</si>
  <si>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</si>
  <si>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</si>
  <si>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</si>
  <si>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</si>
  <si>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</si>
  <si>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</si>
  <si>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</si>
  <si>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</si>
  <si>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</si>
  <si>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</si>
  <si>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</si>
  <si>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</si>
  <si>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</si>
  <si>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</si>
  <si>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</si>
  <si>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</si>
  <si>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</si>
  <si>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</si>
  <si>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</si>
  <si>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</si>
  <si>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</si>
  <si>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</si>
  <si>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</si>
  <si>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</si>
  <si>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</si>
  <si>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</si>
  <si>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</si>
  <si>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</si>
  <si>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</si>
  <si>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</si>
  <si>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</si>
  <si>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</si>
  <si>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</si>
  <si>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</si>
  <si>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</si>
  <si>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</si>
  <si>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</si>
  <si>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</si>
  <si>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</si>
  <si>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</si>
  <si>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</si>
  <si>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</si>
  <si>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</si>
  <si>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</si>
  <si>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</si>
  <si>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</si>
  <si>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</si>
  <si>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</si>
  <si>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</si>
  <si>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</si>
  <si>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</si>
  <si>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</si>
  <si>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</si>
  <si>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</si>
  <si>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</si>
  <si>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</si>
  <si>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</si>
  <si>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</si>
  <si>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</si>
  <si>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</si>
  <si>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</si>
  <si>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</si>
  <si>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</si>
  <si>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</si>
  <si>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</si>
  <si>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</si>
  <si>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</si>
  <si>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</si>
  <si>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</si>
  <si>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</si>
  <si>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</si>
  <si>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</si>
  <si>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</si>
  <si>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</si>
  <si>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</si>
  <si>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</si>
  <si>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</si>
  <si>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</si>
  <si>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</si>
  <si>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</si>
  <si>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</si>
  <si>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</si>
  <si>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</si>
  <si>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</si>
  <si>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</si>
  <si>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</si>
  <si>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</si>
  <si>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</si>
  <si>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</si>
  <si>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</si>
  <si>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</si>
  <si>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</si>
  <si>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</si>
  <si>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</si>
  <si>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</si>
  <si>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</si>
  <si>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</si>
  <si>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</si>
  <si>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</si>
  <si>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</si>
  <si>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</si>
  <si>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</si>
  <si>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</si>
  <si>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</si>
  <si>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</si>
  <si>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</si>
  <si>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</si>
  <si>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</si>
  <si>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</si>
  <si>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</si>
  <si>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</si>
  <si>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</si>
  <si>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</si>
  <si>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</si>
  <si>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</si>
  <si>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</si>
  <si>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</si>
  <si>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</si>
  <si>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</si>
  <si>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</si>
  <si>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</si>
  <si>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</si>
  <si>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</si>
  <si>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</si>
  <si>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</si>
  <si>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</si>
  <si>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</si>
  <si>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</si>
  <si>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</si>
  <si>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</si>
  <si>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</si>
  <si>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</si>
  <si>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</si>
  <si>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</si>
  <si>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</si>
  <si>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</si>
  <si>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</si>
  <si>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</si>
  <si>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</si>
  <si>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</si>
  <si>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</si>
  <si>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</si>
  <si>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</si>
  <si>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</si>
  <si>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</si>
  <si>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</si>
  <si>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</si>
  <si>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</si>
  <si>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</si>
  <si>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</si>
  <si>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</si>
  <si>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</si>
  <si>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</si>
  <si>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</si>
  <si>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</si>
  <si>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</si>
  <si>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</si>
  <si>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</si>
  <si>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</si>
  <si>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</si>
  <si>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</si>
  <si>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</si>
  <si>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</si>
  <si>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</si>
  <si>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</si>
  <si>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</si>
  <si>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</si>
  <si>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</si>
  <si>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</si>
  <si>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</si>
  <si>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</si>
  <si>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</si>
  <si>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</si>
  <si>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</si>
  <si>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</si>
  <si>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</si>
  <si>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</si>
  <si>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</si>
  <si>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</si>
  <si>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</si>
  <si>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</si>
  <si>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</si>
  <si>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</si>
  <si>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</si>
  <si>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</si>
  <si>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</si>
  <si>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</si>
  <si>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</si>
  <si>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</si>
  <si>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</si>
  <si>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</si>
  <si>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</si>
  <si>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</si>
  <si>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</si>
  <si>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</si>
  <si>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</si>
  <si>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</si>
  <si>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</si>
  <si>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</si>
  <si>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</si>
  <si>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</si>
  <si>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</si>
  <si>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</si>
  <si>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</si>
  <si>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</si>
  <si>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</si>
  <si>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</si>
  <si>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</si>
  <si>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</si>
  <si>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</si>
  <si>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</si>
  <si>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</si>
  <si>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</si>
  <si>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</si>
  <si>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</si>
  <si>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</si>
  <si>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</si>
  <si>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</si>
  <si>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</si>
  <si>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</si>
  <si>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</si>
  <si>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</si>
  <si>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</si>
  <si>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</si>
  <si>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</si>
  <si>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</si>
  <si>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</si>
  <si>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</si>
  <si>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</si>
  <si>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</si>
  <si>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</si>
  <si>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</si>
  <si>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</si>
  <si>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</si>
  <si>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</si>
  <si>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</si>
  <si>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</si>
  <si>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</si>
  <si>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</si>
  <si>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</si>
  <si>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</si>
  <si>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</si>
  <si>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</si>
  <si>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</si>
  <si>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</si>
  <si>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</si>
  <si>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</si>
  <si>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</si>
  <si>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</si>
  <si>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</si>
  <si>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</si>
  <si>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</si>
  <si>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</si>
  <si>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</si>
  <si>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</si>
  <si>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</si>
  <si>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</si>
  <si>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</si>
  <si>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</si>
  <si>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</si>
  <si>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</si>
  <si>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</si>
  <si>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</si>
  <si>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</si>
  <si>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</si>
  <si>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</si>
  <si>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</si>
  <si>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</si>
  <si>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</si>
  <si>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</si>
  <si>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</si>
  <si>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</si>
  <si>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</si>
  <si>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</si>
  <si>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</si>
  <si>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</si>
  <si>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</si>
  <si>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</si>
  <si>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</si>
  <si>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</si>
  <si>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</si>
  <si>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</si>
  <si>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</si>
  <si>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</si>
  <si>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</si>
  <si>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</si>
  <si>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</si>
  <si>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</si>
  <si>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</si>
  <si>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</si>
  <si>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</si>
  <si>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</si>
  <si>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</si>
  <si>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</si>
  <si>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</si>
  <si>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</si>
  <si>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</si>
  <si>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</si>
  <si>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</si>
  <si>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</si>
  <si>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</si>
  <si>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</si>
  <si>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</si>
  <si>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</si>
  <si>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</si>
  <si>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</si>
  <si>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</si>
  <si>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</si>
  <si>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</si>
  <si>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</si>
  <si>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</si>
  <si>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</si>
  <si>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</si>
  <si>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</si>
  <si>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</si>
  <si>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</si>
  <si>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</si>
  <si>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</si>
  <si>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</si>
  <si>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</si>
  <si>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</si>
  <si>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</si>
  <si>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</si>
  <si>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</si>
  <si>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</si>
  <si>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</si>
  <si>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</si>
  <si>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</si>
  <si>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</si>
  <si>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</si>
  <si>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</si>
  <si>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</si>
  <si>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</si>
  <si>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</si>
  <si>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</si>
  <si>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</si>
  <si>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</si>
  <si>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</si>
  <si>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</si>
  <si>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</si>
  <si>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</si>
  <si>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</si>
  <si>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</si>
  <si>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</si>
  <si>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</si>
  <si>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</si>
  <si>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</si>
  <si>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</si>
  <si>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</si>
  <si>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</si>
  <si>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</si>
  <si>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</si>
  <si>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</si>
  <si>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</si>
  <si>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</si>
  <si>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</si>
  <si>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</si>
  <si>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</si>
  <si>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</si>
  <si>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</si>
  <si>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</si>
  <si>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</si>
  <si>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</si>
  <si>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</si>
  <si>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</si>
  <si>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</si>
  <si>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</si>
  <si>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</si>
  <si>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</si>
  <si>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</si>
  <si>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</si>
  <si>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</si>
  <si>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</si>
  <si>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</si>
  <si>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</si>
  <si>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</si>
  <si>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</si>
  <si>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</si>
  <si>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</si>
  <si>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</si>
  <si>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</si>
  <si>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</si>
  <si>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</si>
  <si>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</si>
  <si>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</si>
  <si>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</si>
  <si>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</si>
  <si>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</si>
  <si>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</si>
  <si>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</si>
  <si>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</si>
  <si>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</si>
  <si>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</si>
  <si>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</si>
  <si>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</si>
  <si>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</si>
  <si>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</si>
  <si>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</si>
  <si>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</si>
  <si>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</si>
  <si>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</si>
  <si>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</si>
  <si>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</si>
  <si>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</si>
  <si>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</si>
  <si>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</si>
  <si>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</si>
  <si>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</si>
  <si>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</si>
  <si>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</si>
  <si>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</si>
  <si>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</si>
  <si>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</si>
  <si>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</si>
  <si>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</si>
  <si>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</si>
  <si>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</si>
  <si>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</si>
  <si>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</si>
  <si>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</si>
  <si>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</si>
  <si>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</si>
  <si>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</si>
  <si>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</si>
  <si>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</si>
  <si>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</si>
  <si>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</si>
  <si>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</si>
  <si>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</si>
  <si>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</si>
  <si>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</si>
  <si>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</si>
  <si>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</si>
  <si>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</si>
  <si>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</si>
  <si>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</si>
  <si>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</si>
  <si>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</si>
  <si>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</si>
  <si>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</si>
  <si>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</si>
  <si>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</si>
  <si>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</si>
  <si>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</si>
  <si>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</si>
  <si>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</si>
  <si>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</si>
  <si>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</si>
  <si>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</si>
  <si>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</si>
  <si>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</si>
  <si>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</si>
  <si>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</si>
  <si>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</si>
  <si>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</si>
  <si>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</si>
  <si>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</si>
  <si>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</si>
  <si>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</si>
  <si>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</si>
  <si>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</si>
  <si>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</si>
  <si>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</si>
  <si>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</si>
  <si>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</si>
  <si>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</si>
  <si>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</si>
  <si>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</si>
  <si>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</si>
  <si>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</si>
  <si>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</si>
  <si>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</si>
  <si>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</si>
  <si>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</si>
  <si>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</si>
  <si>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</si>
  <si>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</si>
  <si>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</si>
  <si>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</si>
  <si>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</si>
  <si>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</si>
  <si>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</si>
  <si>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</si>
  <si>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</si>
  <si>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</si>
  <si>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</si>
  <si>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</si>
  <si>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</si>
  <si>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</si>
  <si>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</si>
  <si>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</si>
  <si>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</si>
  <si>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</si>
  <si>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</si>
  <si>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</si>
  <si>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</si>
  <si>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</si>
  <si>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</si>
  <si>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</si>
  <si>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</si>
  <si>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</si>
  <si>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</si>
  <si>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</si>
  <si>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</si>
  <si>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</si>
  <si>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</si>
  <si>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</si>
  <si>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</si>
  <si>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</si>
  <si>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</si>
  <si>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</si>
  <si>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</si>
  <si>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</si>
  <si>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</si>
  <si>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</si>
  <si>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</si>
  <si>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</si>
  <si>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</si>
  <si>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</si>
  <si>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</si>
  <si>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</si>
  <si>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</si>
  <si>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</si>
  <si>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</si>
  <si>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</si>
  <si>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</si>
  <si>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</si>
  <si>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</si>
  <si>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</si>
  <si>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</si>
  <si>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</si>
  <si>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</si>
  <si>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</si>
  <si>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</si>
  <si>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</si>
  <si>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</si>
  <si>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</si>
  <si>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</si>
  <si>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</si>
  <si>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</si>
  <si>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</si>
  <si>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</si>
  <si>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</si>
  <si>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</si>
  <si>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</si>
  <si>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</si>
  <si>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</si>
  <si>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</si>
  <si>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</si>
  <si>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</si>
  <si>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</si>
  <si>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</si>
  <si>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</si>
  <si>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</si>
  <si>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</si>
  <si>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</si>
  <si>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</si>
  <si>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</si>
  <si>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</si>
  <si>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</si>
  <si>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</si>
  <si>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</si>
  <si>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</si>
  <si>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</si>
  <si>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</si>
  <si>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</si>
  <si>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</si>
  <si>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</si>
  <si>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</si>
  <si>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</si>
  <si>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</si>
  <si>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</si>
  <si>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</si>
  <si>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</si>
  <si>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</si>
  <si>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</si>
  <si>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</si>
  <si>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</si>
  <si>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</si>
  <si>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</si>
  <si>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</si>
  <si>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</si>
  <si>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</si>
  <si>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</si>
  <si>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</si>
  <si>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</si>
  <si>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</si>
  <si>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</si>
  <si>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</si>
  <si>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</si>
  <si>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</si>
  <si>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</si>
  <si>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</si>
  <si>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</si>
  <si>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</si>
  <si>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</si>
  <si>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</si>
  <si>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</si>
  <si>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</si>
  <si>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</si>
  <si>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</si>
  <si>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</si>
  <si>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</si>
  <si>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</si>
  <si>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</si>
  <si>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</si>
  <si>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</si>
  <si>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</si>
  <si>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</si>
  <si>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</si>
  <si>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</si>
  <si>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</si>
  <si>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</si>
  <si>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</si>
  <si>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</si>
  <si>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</si>
  <si>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</si>
  <si>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</si>
  <si>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</si>
  <si>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</si>
  <si>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</si>
  <si>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</si>
  <si>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</si>
  <si>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</si>
  <si>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</si>
  <si>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</si>
  <si>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</si>
  <si>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</si>
  <si>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</si>
  <si>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</si>
  <si>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</si>
  <si>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</si>
  <si>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</si>
  <si>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</si>
  <si>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</si>
  <si>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</si>
  <si>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</si>
  <si>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</si>
  <si>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</si>
  <si>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</si>
  <si>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</si>
  <si>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</si>
  <si>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</si>
  <si>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</si>
  <si>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</si>
  <si>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</si>
  <si>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</si>
  <si>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</si>
  <si>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</si>
  <si>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</si>
  <si>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</si>
  <si>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</si>
  <si>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</si>
  <si>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</si>
  <si>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</si>
  <si>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</si>
  <si>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</si>
  <si>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</si>
  <si>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</si>
  <si>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</si>
  <si>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</si>
  <si>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</si>
  <si>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</si>
  <si>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</si>
  <si>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</si>
  <si>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</si>
  <si>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</si>
  <si>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</si>
  <si>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</si>
  <si>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</si>
  <si>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</si>
  <si>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</si>
  <si>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</si>
  <si>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</si>
  <si>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</si>
  <si>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</si>
  <si>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</si>
  <si>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</si>
  <si>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</si>
  <si>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</si>
  <si>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</si>
  <si>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</si>
  <si>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</si>
  <si>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</si>
  <si>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</si>
  <si>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</si>
  <si>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</si>
  <si>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</si>
  <si>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</si>
  <si>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</si>
  <si>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</si>
  <si>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</si>
  <si>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</si>
  <si>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</si>
  <si>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</si>
  <si>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</si>
  <si>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</si>
  <si>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</si>
  <si>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</si>
  <si>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</si>
  <si>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</si>
  <si>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</si>
  <si>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</si>
  <si>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</si>
  <si>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</si>
  <si>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</si>
  <si>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</si>
  <si>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</si>
  <si>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</si>
  <si>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</si>
  <si>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</si>
  <si>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</si>
  <si>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</si>
  <si>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</si>
  <si>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</si>
  <si>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</si>
  <si>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</si>
  <si>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</si>
  <si>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</si>
  <si>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</si>
  <si>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</si>
  <si>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</si>
  <si>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</si>
  <si>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</si>
  <si>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</si>
  <si>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</si>
  <si>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</si>
  <si>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</si>
  <si>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</si>
  <si>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</si>
  <si>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</si>
  <si>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</si>
  <si>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</si>
  <si>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</si>
  <si>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</si>
  <si>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</si>
  <si>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</si>
  <si>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</si>
  <si>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</si>
  <si>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</si>
  <si>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</si>
  <si>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</si>
  <si>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</si>
  <si>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</si>
  <si>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</si>
  <si>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</si>
  <si>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</si>
  <si>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</si>
  <si>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</si>
  <si>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</si>
  <si>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</si>
  <si>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</si>
  <si>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</si>
  <si>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</si>
  <si>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</si>
  <si>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</si>
  <si>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</si>
  <si>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</si>
  <si>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</si>
  <si>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</si>
  <si>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</si>
  <si>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</si>
  <si>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</si>
  <si>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</si>
  <si>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</si>
  <si>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</si>
  <si>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</si>
  <si>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</si>
  <si>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</si>
  <si>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</si>
  <si>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</si>
  <si>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</si>
  <si>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</si>
  <si>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</si>
  <si>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</si>
  <si>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</si>
  <si>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</si>
  <si>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</si>
  <si>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</si>
  <si>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</si>
  <si>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</si>
  <si>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</si>
  <si>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</si>
  <si>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</si>
  <si>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</si>
  <si>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</si>
  <si>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</si>
  <si>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</si>
  <si>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</si>
  <si>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</si>
  <si>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</si>
  <si>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</si>
  <si>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</si>
  <si>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</si>
  <si>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</si>
  <si>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</si>
  <si>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</si>
  <si>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</si>
  <si>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</si>
  <si>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</si>
  <si>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</si>
  <si>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</si>
  <si>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</si>
  <si>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</si>
  <si>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</si>
  <si>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</si>
  <si>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</si>
  <si>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</si>
  <si>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</si>
  <si>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</si>
  <si>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</si>
  <si>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</si>
  <si>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</si>
  <si>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</si>
  <si>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</si>
  <si>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</si>
  <si>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</si>
  <si>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</si>
  <si>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</si>
  <si>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</si>
  <si>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</si>
  <si>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</si>
  <si>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</si>
  <si>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</si>
  <si>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</si>
  <si>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</si>
  <si>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</si>
  <si>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</si>
  <si>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</si>
  <si>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</si>
  <si>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</si>
  <si>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</si>
  <si>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</si>
  <si>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</si>
  <si>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</si>
  <si>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</si>
  <si>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</si>
  <si>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</si>
  <si>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</si>
  <si>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</si>
  <si>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</si>
  <si>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</si>
  <si>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</si>
  <si>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</si>
  <si>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</si>
  <si>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</si>
  <si>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</si>
  <si>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</si>
  <si>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</si>
  <si>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</si>
  <si>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</si>
  <si>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</si>
  <si>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</si>
  <si>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</si>
  <si>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</si>
  <si>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</si>
  <si>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</si>
  <si>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</si>
  <si>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</si>
  <si>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</si>
  <si>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</si>
  <si>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</si>
  <si>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</si>
  <si>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</si>
  <si>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</si>
  <si>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</si>
  <si>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</si>
  <si>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</si>
  <si>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</si>
  <si>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</si>
  <si>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</si>
  <si>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</si>
  <si>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</si>
  <si>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</si>
  <si>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</si>
  <si>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</si>
  <si>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</si>
  <si>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</si>
  <si>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</si>
  <si>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</si>
  <si>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</si>
  <si>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</si>
  <si>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</si>
  <si>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</si>
  <si>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</si>
  <si>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</si>
  <si>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</si>
  <si>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</si>
  <si>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</si>
  <si>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</si>
  <si>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</si>
  <si>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</si>
  <si>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</si>
  <si>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</si>
  <si>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</si>
  <si>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</si>
  <si>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</si>
  <si>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</si>
  <si>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</si>
  <si>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</si>
  <si>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</si>
  <si>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</si>
  <si>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</si>
  <si>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</si>
  <si>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</si>
  <si>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</si>
  <si>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</si>
  <si>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</si>
  <si>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</si>
  <si>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</si>
  <si>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</si>
  <si>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</si>
  <si>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</si>
  <si>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</si>
  <si>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</si>
  <si>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</si>
  <si>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</si>
  <si>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</si>
  <si>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</si>
  <si>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</si>
  <si>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</si>
  <si>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</si>
  <si>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</si>
  <si>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</si>
  <si>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</si>
  <si>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</si>
  <si>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</si>
  <si>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</si>
  <si>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</si>
  <si>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</si>
  <si>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</si>
  <si>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</si>
  <si>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</si>
  <si>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</si>
  <si>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</si>
  <si>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</si>
  <si>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</si>
  <si>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</si>
  <si>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</si>
  <si>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</si>
  <si>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</si>
  <si>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</si>
  <si>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</si>
  <si>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</si>
  <si>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</si>
  <si>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</si>
  <si>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</si>
  <si>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</si>
  <si>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</si>
  <si>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</si>
  <si>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</si>
  <si>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</si>
  <si>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</si>
  <si>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</si>
  <si>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</si>
  <si>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</si>
  <si>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</si>
  <si>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</si>
  <si>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</si>
  <si>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</si>
  <si>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</si>
  <si>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</si>
  <si>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</si>
  <si>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</si>
  <si>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</si>
  <si>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</si>
  <si>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</si>
  <si>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</si>
  <si>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</si>
  <si>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</si>
  <si>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</si>
  <si>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</si>
  <si>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</si>
  <si>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</si>
  <si>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</si>
  <si>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</si>
  <si>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</si>
  <si>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</si>
  <si>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</si>
  <si>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</si>
  <si>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</si>
  <si>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</si>
  <si>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</si>
  <si>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</si>
  <si>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</si>
  <si>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</si>
  <si>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</si>
  <si>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</si>
  <si>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</si>
  <si>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</si>
  <si>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</si>
  <si>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</si>
  <si>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</si>
  <si>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</si>
  <si>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</si>
  <si>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</si>
  <si>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</si>
  <si>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</si>
  <si>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</si>
  <si>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</si>
  <si>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</si>
  <si>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</si>
  <si>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</si>
  <si>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</si>
  <si>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</si>
  <si>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</si>
  <si>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</si>
  <si>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</si>
  <si>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</si>
  <si>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</si>
  <si>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</si>
  <si>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</si>
  <si>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</si>
  <si>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</si>
  <si>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</si>
  <si>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</si>
  <si>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</si>
  <si>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</si>
  <si>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</si>
  <si>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</si>
  <si>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</si>
  <si>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</si>
  <si>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</si>
  <si>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</si>
  <si>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</si>
  <si>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</si>
  <si>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</si>
  <si>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</si>
  <si>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</si>
  <si>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</si>
  <si>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</si>
  <si>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</si>
  <si>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</si>
  <si>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</si>
  <si>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</si>
  <si>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</si>
  <si>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</si>
  <si>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</si>
  <si>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</si>
  <si>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</si>
  <si>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</si>
  <si>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</si>
  <si>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</si>
  <si>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</si>
  <si>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</si>
  <si>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</si>
  <si>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</si>
  <si>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</si>
  <si>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</si>
  <si>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</si>
  <si>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</si>
  <si>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</si>
  <si>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</si>
  <si>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</si>
  <si>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</si>
  <si>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</si>
  <si>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</si>
  <si>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</si>
  <si>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</si>
  <si>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</si>
  <si>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</si>
  <si>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</si>
  <si>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</si>
  <si>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</si>
  <si>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</si>
  <si>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</si>
  <si>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</si>
  <si>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</si>
  <si>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</si>
  <si>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</si>
  <si>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</si>
  <si>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</si>
  <si>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</si>
  <si>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</si>
  <si>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</si>
  <si>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</si>
  <si>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</si>
  <si>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</si>
  <si>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</si>
  <si>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</si>
  <si>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</si>
  <si>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</si>
  <si>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</si>
  <si>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</si>
  <si>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</si>
  <si>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</si>
  <si>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</si>
  <si>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</si>
  <si>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</si>
  <si>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</si>
  <si>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</si>
  <si>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</si>
  <si>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</si>
  <si>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</si>
  <si>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</si>
  <si>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</si>
  <si>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</si>
  <si>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</si>
  <si>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</si>
  <si>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</si>
  <si>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</si>
  <si>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</si>
  <si>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</si>
  <si>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</si>
  <si>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</si>
  <si>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</si>
  <si>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</si>
  <si>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</si>
  <si>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</si>
  <si>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</si>
  <si>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</si>
  <si>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</si>
  <si>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</si>
  <si>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</si>
  <si>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</si>
  <si>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</si>
  <si>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</si>
  <si>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</si>
  <si>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</si>
  <si>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</si>
  <si>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</si>
  <si>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</si>
  <si>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</si>
  <si>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</si>
  <si>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</si>
  <si>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</si>
  <si>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</si>
  <si>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</si>
  <si>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</si>
  <si>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</si>
  <si>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</si>
  <si>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</si>
  <si>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</si>
  <si>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</si>
  <si>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</si>
  <si>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</si>
  <si>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</si>
  <si>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</si>
  <si>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</si>
  <si>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</si>
  <si>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</si>
  <si>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</si>
  <si>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</si>
  <si>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</si>
  <si>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</si>
  <si>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</si>
  <si>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</si>
  <si>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</si>
  <si>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</si>
  <si>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</si>
  <si>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</si>
  <si>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</si>
  <si>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</si>
  <si>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</si>
  <si>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</si>
  <si>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</si>
  <si>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</si>
  <si>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</si>
  <si>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</si>
  <si>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</si>
  <si>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</si>
  <si>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</si>
  <si>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</si>
  <si>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</si>
  <si>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</si>
  <si>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</si>
  <si>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</si>
  <si>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</si>
  <si>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</si>
  <si>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</si>
  <si>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</si>
  <si>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</si>
  <si>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</si>
  <si>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</si>
  <si>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</si>
  <si>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</si>
  <si>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</si>
  <si>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</si>
  <si>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</si>
  <si>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</si>
  <si>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</si>
  <si>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</si>
  <si>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</si>
  <si>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</si>
  <si>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</si>
  <si>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</si>
  <si>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</si>
  <si>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</si>
  <si>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</si>
  <si>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</si>
  <si>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</si>
  <si>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</si>
  <si>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</si>
  <si>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</si>
  <si>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</si>
  <si>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</si>
  <si>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</si>
  <si>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</si>
  <si>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</si>
  <si>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</si>
  <si>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</si>
  <si>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</si>
  <si>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</si>
  <si>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</si>
  <si>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</si>
  <si>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</si>
  <si>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</si>
  <si>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</si>
  <si>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</si>
  <si>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</si>
  <si>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</si>
  <si>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</si>
  <si>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</si>
  <si>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</si>
  <si>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</si>
  <si>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</si>
  <si>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</si>
  <si>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</si>
  <si>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</si>
  <si>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</si>
  <si>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</si>
  <si>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</si>
  <si>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</si>
  <si>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</si>
  <si>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</si>
  <si>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</si>
  <si>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</si>
  <si>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</si>
  <si>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</si>
  <si>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</si>
  <si>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</si>
  <si>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</si>
  <si>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</si>
  <si>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</si>
  <si>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</si>
  <si>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</si>
  <si>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</si>
  <si>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</si>
  <si>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</si>
  <si>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</si>
  <si>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</si>
  <si>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</si>
  <si>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</si>
  <si>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</si>
  <si>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</si>
  <si>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</si>
  <si>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</si>
  <si>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</si>
  <si>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</si>
  <si>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</si>
  <si>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</si>
  <si>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</si>
  <si>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</si>
  <si>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</si>
  <si>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</si>
  <si>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</si>
  <si>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</si>
  <si>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</si>
  <si>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</si>
  <si>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</si>
  <si>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</si>
  <si>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</si>
  <si>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</si>
  <si>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</si>
  <si>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</si>
  <si>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</si>
  <si>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</si>
  <si>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</si>
  <si>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</si>
  <si>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</si>
  <si>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</si>
  <si>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</si>
  <si>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</si>
  <si>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</si>
  <si>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</si>
  <si>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</si>
  <si>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</si>
  <si>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</si>
  <si>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</si>
  <si>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</si>
  <si>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</si>
  <si>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</si>
  <si>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</si>
  <si>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</si>
  <si>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</si>
  <si>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</si>
  <si>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</si>
  <si>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</si>
  <si>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</si>
  <si>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</si>
  <si>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</si>
  <si>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</si>
  <si>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</si>
  <si>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</si>
  <si>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</si>
  <si>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</si>
  <si>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</si>
  <si>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</si>
  <si>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</si>
  <si>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</si>
  <si>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</si>
  <si>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</si>
  <si>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</si>
  <si>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</si>
  <si>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</si>
  <si>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</si>
  <si>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</si>
  <si>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</si>
  <si>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</si>
  <si>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</si>
  <si>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</si>
  <si>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</si>
  <si>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</si>
  <si>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</si>
  <si>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</si>
  <si>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</si>
  <si>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</si>
  <si>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</si>
  <si>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</si>
  <si>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</si>
  <si>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</si>
  <si>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</si>
  <si>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</si>
  <si>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</si>
  <si>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</si>
  <si>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</si>
  <si>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</si>
  <si>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</si>
  <si>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</si>
  <si>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</si>
  <si>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</si>
  <si>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</si>
  <si>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</si>
  <si>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</si>
  <si>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</si>
  <si>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</si>
  <si>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</si>
  <si>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</si>
  <si>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</si>
  <si>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</si>
  <si>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</si>
  <si>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</si>
  <si>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</si>
  <si>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</si>
  <si>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</si>
  <si>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</si>
  <si>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</si>
  <si>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</si>
  <si>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</si>
  <si>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</si>
  <si>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</si>
  <si>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</si>
  <si>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</si>
  <si>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</si>
  <si>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</si>
  <si>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</si>
  <si>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</si>
  <si>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</si>
  <si>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</si>
  <si>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</si>
  <si>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</si>
  <si>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</si>
  <si>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</si>
  <si>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</si>
  <si>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</si>
  <si>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</si>
  <si>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</si>
  <si>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</si>
  <si>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</si>
  <si>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</si>
  <si>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</si>
  <si>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</si>
  <si>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</si>
  <si>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</si>
  <si>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</si>
  <si>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</si>
  <si>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</si>
  <si>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</si>
  <si>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</si>
  <si>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</si>
  <si>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</si>
  <si>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</si>
  <si>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</si>
  <si>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</si>
  <si>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</si>
  <si>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</si>
  <si>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</si>
  <si>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</si>
  <si>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</si>
  <si>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</si>
  <si>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</si>
  <si>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</si>
  <si>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</si>
  <si>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</si>
  <si>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</si>
  <si>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</si>
  <si>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</si>
  <si>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</si>
  <si>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</si>
  <si>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</si>
  <si>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</si>
  <si>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</si>
  <si>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</si>
  <si>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</si>
  <si>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</si>
  <si>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</si>
  <si>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</si>
  <si>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</si>
  <si>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</si>
  <si>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</si>
  <si>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</si>
  <si>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</si>
  <si>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</si>
  <si>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</si>
  <si>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</si>
  <si>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</si>
  <si>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</si>
  <si>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</si>
  <si>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</si>
  <si>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</si>
  <si>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</si>
  <si>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</si>
  <si>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</si>
  <si>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</si>
  <si>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</si>
  <si>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</si>
  <si>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</si>
  <si>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</si>
  <si>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</si>
  <si>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</si>
  <si>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</si>
  <si>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</si>
  <si>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</si>
  <si>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</si>
  <si>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</si>
  <si>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</si>
  <si>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</si>
  <si>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</si>
  <si>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</si>
  <si>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</si>
  <si>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</si>
  <si>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</si>
  <si>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</si>
  <si>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</si>
  <si>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</si>
  <si>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</si>
  <si>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</si>
  <si>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</si>
  <si>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</si>
  <si>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</si>
  <si>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</si>
  <si>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</si>
  <si>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</si>
  <si>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</si>
  <si>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</si>
  <si>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</si>
  <si>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</si>
  <si>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</si>
  <si>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</si>
  <si>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</si>
  <si>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</si>
  <si>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</si>
  <si>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</si>
  <si>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</si>
  <si>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</si>
  <si>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</si>
  <si>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</si>
  <si>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</si>
  <si>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</si>
  <si>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</si>
  <si>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</si>
  <si>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8/05</t>
  </si>
  <si>
    <t>8/14</t>
  </si>
  <si>
    <t>8/25</t>
  </si>
  <si>
    <t>8/24</t>
  </si>
  <si>
    <t>Other additional revenues - $480,877.75 - the majority of this money is from NH School Care Health Incentives for $251,721.33</t>
  </si>
  <si>
    <t>and Impact fees from the Town of Raymond for $128,788.27</t>
  </si>
  <si>
    <t>Transfers from All Other Special Revenue Funds - $18,321.31- this is Indirect Costs Revenue Charges to Grants</t>
  </si>
  <si>
    <t>Fund Transfers to General Fund - $18,321.31 - this is Indirect Costs Revenue Charges to Grants.</t>
  </si>
  <si>
    <t xml:space="preserve">Other Deletions - $32,067.22 - this was an adjustement from the prior year audit to balance the fund equity to correct amount.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</si>
</sst>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4" zoomScaleNormal="100"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1372</v>
      </c>
      <c r="B2" s="126">
        <f>INDEX('School Tables'!$AH$3:$AH$208,MATCH('DOE25'!A2,'School Tables'!$AJ$3:$AJ$208,0))</f>
        <v>453</v>
      </c>
      <c r="C2" s="126">
        <f>INDEX('School Tables'!$AI$3:$AI$208,MATCH('DOE25'!A2,'School Tables'!$AJ$3:$AJ$208,0))</f>
        <v>453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2560295.42+100</f>
        <v>2560395.42</v>
      </c>
      <c r="G9" s="18">
        <f>23469.45+100</f>
        <v>23569.45</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1556843.2</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270557.69</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f>126949+194847.64</f>
        <v>321796.64</v>
      </c>
      <c r="G13" s="18"/>
      <c r="H13" s="18">
        <v>271007.40000000002</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32268.11</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50500</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3235517.86</v>
      </c>
      <c r="G19" s="41">
        <f>SUM(G9:G18)</f>
        <v>23569.45</v>
      </c>
      <c r="H19" s="41">
        <f>SUM(H9:H18)</f>
        <v>271007.40000000002</v>
      </c>
      <c r="I19" s="41">
        <f>SUM(I9:I18)</f>
        <v>0</v>
      </c>
      <c r="J19" s="41">
        <f>SUM(J9:J18)</f>
        <v>1556843.2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270557.69</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450284.33</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f>39647.6+592+3409.82</f>
        <v>43649.42</v>
      </c>
      <c r="G28" s="18">
        <v>3270.3</v>
      </c>
      <c r="H28" s="18">
        <v>449.71</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f>69194.35+410195.62+57269.22+4.59-130997</f>
        <v>405666.77999999991</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11196.15</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899600.52999999991</v>
      </c>
      <c r="G32" s="41">
        <f>SUM(G22:G31)</f>
        <v>14466.45</v>
      </c>
      <c r="H32" s="41">
        <f>SUM(H22:H31)</f>
        <v>271007.40000000002</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400000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f>448143+9992</f>
        <v>458135</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1556843.2</v>
      </c>
      <c r="K48" s="24" t="s">
        <v>288</v>
      </c>
      <c r="L48" s="24" t="s">
        <v>288</v>
      </c>
      <c r="M48" s="8"/>
      <c r="N48" s="265"/>
    </row>
    <row r="49" spans="1:14" s="3" customFormat="1" ht="12.2" customHeight="1" x14ac:dyDescent="0.15">
      <c r="A49" s="1" t="s">
        <v>859</v>
      </c>
      <c r="B49" s="2" t="s">
        <v>289</v>
      </c>
      <c r="C49" s="6">
        <v>34</v>
      </c>
      <c r="D49" s="2"/>
      <c r="E49" s="6">
        <v>753</v>
      </c>
      <c r="F49" s="18">
        <v>116916.85</v>
      </c>
      <c r="G49" s="18">
        <v>9103</v>
      </c>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3235517.86-1030597.53-965059.85-9992+130997</f>
        <v>1360865.48</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2335917.33</v>
      </c>
      <c r="G51" s="41">
        <f>SUM(G35:G50)</f>
        <v>9103</v>
      </c>
      <c r="H51" s="41">
        <f>SUM(H35:H50)</f>
        <v>0</v>
      </c>
      <c r="I51" s="41">
        <f>SUM(I35:I50)</f>
        <v>0</v>
      </c>
      <c r="J51" s="41">
        <f>SUM(J35:J50)</f>
        <v>1556843.2</v>
      </c>
      <c r="K51" s="45" t="s">
        <v>288</v>
      </c>
      <c r="L51" s="45" t="s">
        <v>288</v>
      </c>
      <c r="N51" s="263"/>
    </row>
    <row r="52" spans="1:14" s="3" customFormat="1" ht="12.2" customHeight="1" thickTop="1" x14ac:dyDescent="0.15">
      <c r="A52" s="38" t="s">
        <v>455</v>
      </c>
      <c r="B52" s="39" t="s">
        <v>289</v>
      </c>
      <c r="C52" s="6">
        <v>37</v>
      </c>
      <c r="D52" s="39" t="s">
        <v>653</v>
      </c>
      <c r="E52" s="39"/>
      <c r="F52" s="41">
        <f>F51+F32</f>
        <v>3235517.86</v>
      </c>
      <c r="G52" s="41">
        <f>G51+G32</f>
        <v>23569.45</v>
      </c>
      <c r="H52" s="41">
        <f>H51+H32</f>
        <v>271007.40000000002</v>
      </c>
      <c r="I52" s="41">
        <f>I51+I32</f>
        <v>0</v>
      </c>
      <c r="J52" s="41">
        <f>J51+J32</f>
        <v>1556843.2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16195175</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16195175</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30575</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39299.160000000003</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69874.16</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216.51</v>
      </c>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f>727968.48-5988.07-651305.06-8572.93</f>
        <v>62102.419999999976</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f>38557.5+60823.32</f>
        <v>99380.82</v>
      </c>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190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128788.27+257379.56+94709.92</f>
        <v>480877.75</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580665.07999999996</v>
      </c>
      <c r="G111" s="41">
        <f>SUM(G96:G110)</f>
        <v>62102.419999999976</v>
      </c>
      <c r="H111" s="41">
        <f>SUM(H96:H110)</f>
        <v>0</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16845714.239999998</v>
      </c>
      <c r="G112" s="41">
        <f>G60+G111</f>
        <v>62102.419999999976</v>
      </c>
      <c r="H112" s="41">
        <f>H60+H79+H94+H111</f>
        <v>0</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5359639.0999999996</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2130251</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7980.84</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7497870.9399999995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284432.46999999997</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537475.03</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16965.099999999999</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5988.07</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838872.6</v>
      </c>
      <c r="G136" s="41">
        <f>SUM(G123:G135)</f>
        <v>5988.07</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8336743.5399999991</v>
      </c>
      <c r="G140" s="41">
        <f>G121+SUM(G136:G137)</f>
        <v>5988.07</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23622.87+88068.2</f>
        <v>111691.06999999999</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8996.2+12207.04+20654.89+189872.93+4230</f>
        <v>235961.06</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651305.06000000006</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21882.31+17690.03+332172.88+5670.2+35.15+12211.73+27920.33</f>
        <v>417582.63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146430.88</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f>122475.97+276350.74+5047.65+72235.03</f>
        <v>476109.39</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517944.88+192660+2427.09+973.74</f>
        <v>714005.71</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146430.88</v>
      </c>
      <c r="G163" s="41">
        <f>SUM(G150:G162)</f>
        <v>651305.06000000006</v>
      </c>
      <c r="H163" s="41">
        <f>SUM(H150:H162)</f>
        <v>1955349.8599999999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146430.88</v>
      </c>
      <c r="G170" s="41">
        <f>G147+G163+SUM(G164:G169)</f>
        <v>651305.06000000006</v>
      </c>
      <c r="H170" s="41">
        <f>H147+H163+SUM(H164:H169)</f>
        <v>1955349.8599999999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8572.93</v>
      </c>
      <c r="H180" s="18"/>
      <c r="I180" s="18"/>
      <c r="J180" s="18">
        <f>591000-130997</f>
        <v>460003</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v>18321.310000000001</v>
      </c>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18321.310000000001</v>
      </c>
      <c r="G184" s="41">
        <f>SUM(G180:G183)</f>
        <v>8572.93</v>
      </c>
      <c r="H184" s="41">
        <f>SUM(H180:H183)</f>
        <v>0</v>
      </c>
      <c r="I184" s="41">
        <f>SUM(I180:I183)</f>
        <v>0</v>
      </c>
      <c r="J184" s="41">
        <f>SUM(J180:J183)</f>
        <v>460003</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18321.310000000001</v>
      </c>
      <c r="G193" s="41">
        <f>G184+SUM(G189:G192)</f>
        <v>8572.93</v>
      </c>
      <c r="H193" s="41">
        <f>+H184+SUM(H189:H192)</f>
        <v>0</v>
      </c>
      <c r="I193" s="41">
        <f>I178+I184+SUM(I189:I192)</f>
        <v>0</v>
      </c>
      <c r="J193" s="41">
        <f>J184</f>
        <v>460003</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25347209.969999995</v>
      </c>
      <c r="G194" s="47">
        <f>G112+G140+G170+G193</f>
        <v>727968.4800000001</v>
      </c>
      <c r="H194" s="47">
        <f>H112+H140+H170+H193</f>
        <v>1955349.8599999999</v>
      </c>
      <c r="I194" s="47">
        <f>I112+I140+I170+I193</f>
        <v>0</v>
      </c>
      <c r="J194" s="47">
        <f>J112+J140+J193</f>
        <v>460003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1850593.54</v>
      </c>
      <c r="G198" s="18">
        <v>988779.35</v>
      </c>
      <c r="H198" s="18">
        <v>12266.2</v>
      </c>
      <c r="I198" s="18">
        <f>45373.1-2576.43</f>
        <v>42796.67</v>
      </c>
      <c r="J198" s="18">
        <v>4399.3</v>
      </c>
      <c r="K198" s="18">
        <v>0</v>
      </c>
      <c r="L198" s="19">
        <f>SUM(F198:K198)</f>
        <v>2898835.06</v>
      </c>
      <c r="M198" s="8"/>
      <c r="N198" s="265"/>
    </row>
    <row r="199" spans="1:14" s="3" customFormat="1" ht="12.2" customHeight="1" x14ac:dyDescent="0.15">
      <c r="A199" s="1" t="s">
        <v>439</v>
      </c>
      <c r="B199" s="2" t="s">
        <v>341</v>
      </c>
      <c r="C199" s="2" t="s">
        <v>291</v>
      </c>
      <c r="D199" s="2" t="s">
        <v>431</v>
      </c>
      <c r="E199" s="6">
        <v>1200</v>
      </c>
      <c r="F199" s="18">
        <v>518236.05</v>
      </c>
      <c r="G199" s="18">
        <v>423287.12</v>
      </c>
      <c r="H199" s="18">
        <f>957751.42-22925.5</f>
        <v>934825.92</v>
      </c>
      <c r="I199" s="18">
        <v>3717.99</v>
      </c>
      <c r="J199" s="18">
        <v>685.3</v>
      </c>
      <c r="K199" s="18">
        <v>2081.4299999999998</v>
      </c>
      <c r="L199" s="19">
        <f>SUM(F199:K199)</f>
        <v>1882833.8099999998</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27558.79</v>
      </c>
      <c r="G201" s="18">
        <v>7298.03</v>
      </c>
      <c r="H201" s="18">
        <v>19908.8</v>
      </c>
      <c r="I201" s="18">
        <v>7294.56</v>
      </c>
      <c r="J201" s="18">
        <v>0</v>
      </c>
      <c r="K201" s="18">
        <v>0</v>
      </c>
      <c r="L201" s="19">
        <f>SUM(F201:K201)</f>
        <v>62060.179999999993</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203760.6</v>
      </c>
      <c r="G203" s="18">
        <v>76933.41</v>
      </c>
      <c r="H203" s="18">
        <v>20010.759999999998</v>
      </c>
      <c r="I203" s="18">
        <v>7291.05</v>
      </c>
      <c r="J203" s="18">
        <v>0</v>
      </c>
      <c r="K203" s="18">
        <v>0</v>
      </c>
      <c r="L203" s="19">
        <f t="shared" ref="L203:L209" si="0">SUM(F203:K203)</f>
        <v>307995.82</v>
      </c>
      <c r="M203" s="8"/>
      <c r="N203" s="265"/>
    </row>
    <row r="204" spans="1:14" s="3" customFormat="1" ht="12.2" customHeight="1" x14ac:dyDescent="0.15">
      <c r="A204" s="1" t="s">
        <v>443</v>
      </c>
      <c r="B204" s="2" t="s">
        <v>341</v>
      </c>
      <c r="C204" s="2" t="s">
        <v>295</v>
      </c>
      <c r="D204" s="2" t="s">
        <v>431</v>
      </c>
      <c r="E204" s="6">
        <v>2200</v>
      </c>
      <c r="F204" s="18">
        <v>131632.04</v>
      </c>
      <c r="G204" s="18">
        <v>53436.77</v>
      </c>
      <c r="H204" s="18">
        <v>14196.9</v>
      </c>
      <c r="I204" s="18">
        <v>50146.7</v>
      </c>
      <c r="J204" s="18">
        <v>41956.92</v>
      </c>
      <c r="K204" s="18">
        <v>0</v>
      </c>
      <c r="L204" s="19">
        <f t="shared" si="0"/>
        <v>291369.32999999996</v>
      </c>
      <c r="M204" s="8"/>
      <c r="N204" s="265"/>
    </row>
    <row r="205" spans="1:14" s="3" customFormat="1" ht="12.2" customHeight="1" x14ac:dyDescent="0.15">
      <c r="A205" s="1" t="s">
        <v>444</v>
      </c>
      <c r="B205" s="2" t="s">
        <v>341</v>
      </c>
      <c r="C205" s="2" t="s">
        <v>296</v>
      </c>
      <c r="D205" s="2" t="s">
        <v>431</v>
      </c>
      <c r="E205" s="6">
        <v>2300</v>
      </c>
      <c r="F205" s="18">
        <v>218520.17</v>
      </c>
      <c r="G205" s="18">
        <v>92047.28</v>
      </c>
      <c r="H205" s="18">
        <v>58724.94</v>
      </c>
      <c r="I205" s="18">
        <v>24369.34</v>
      </c>
      <c r="J205" s="18">
        <v>145.26</v>
      </c>
      <c r="K205" s="18">
        <v>13446.43</v>
      </c>
      <c r="L205" s="19">
        <f t="shared" si="0"/>
        <v>407253.42000000004</v>
      </c>
      <c r="M205" s="8"/>
      <c r="N205" s="265"/>
    </row>
    <row r="206" spans="1:14" s="3" customFormat="1" ht="12.2" customHeight="1" x14ac:dyDescent="0.15">
      <c r="A206" s="1" t="s">
        <v>445</v>
      </c>
      <c r="B206" s="2" t="s">
        <v>341</v>
      </c>
      <c r="C206" s="2" t="s">
        <v>297</v>
      </c>
      <c r="D206" s="2" t="s">
        <v>431</v>
      </c>
      <c r="E206" s="6">
        <v>2400</v>
      </c>
      <c r="F206" s="18">
        <v>276729.87</v>
      </c>
      <c r="G206" s="18">
        <v>140434.99</v>
      </c>
      <c r="H206" s="18">
        <v>33903.43</v>
      </c>
      <c r="I206" s="18">
        <v>1023.86</v>
      </c>
      <c r="J206" s="18">
        <v>0</v>
      </c>
      <c r="K206" s="18">
        <v>1650</v>
      </c>
      <c r="L206" s="19">
        <f t="shared" si="0"/>
        <v>453742.14999999997</v>
      </c>
      <c r="M206" s="8"/>
      <c r="N206" s="265"/>
    </row>
    <row r="207" spans="1:14" s="3" customFormat="1" ht="12.2" customHeight="1" x14ac:dyDescent="0.15">
      <c r="A207" s="1" t="s">
        <v>446</v>
      </c>
      <c r="B207" s="2" t="s">
        <v>341</v>
      </c>
      <c r="C207" s="2" t="s">
        <v>298</v>
      </c>
      <c r="D207" s="2" t="s">
        <v>431</v>
      </c>
      <c r="E207" s="6">
        <v>2500</v>
      </c>
      <c r="F207" s="18">
        <v>70352.27</v>
      </c>
      <c r="G207" s="18">
        <v>37199.050000000003</v>
      </c>
      <c r="H207" s="18">
        <v>1383.48</v>
      </c>
      <c r="I207" s="18">
        <v>0</v>
      </c>
      <c r="J207" s="18">
        <v>0</v>
      </c>
      <c r="K207" s="18">
        <v>155.63999999999999</v>
      </c>
      <c r="L207" s="19">
        <f t="shared" si="0"/>
        <v>109090.44</v>
      </c>
      <c r="M207" s="8"/>
      <c r="N207" s="265"/>
    </row>
    <row r="208" spans="1:14" s="3" customFormat="1" ht="12.2" customHeight="1" x14ac:dyDescent="0.15">
      <c r="A208" s="1" t="s">
        <v>447</v>
      </c>
      <c r="B208" s="2" t="s">
        <v>341</v>
      </c>
      <c r="C208" s="2" t="s">
        <v>299</v>
      </c>
      <c r="D208" s="2" t="s">
        <v>431</v>
      </c>
      <c r="E208" s="6">
        <v>2600</v>
      </c>
      <c r="F208" s="18">
        <v>221713.86</v>
      </c>
      <c r="G208" s="18">
        <v>132497.1</v>
      </c>
      <c r="H208" s="18">
        <v>127434.08</v>
      </c>
      <c r="I208" s="18">
        <v>119117.99</v>
      </c>
      <c r="J208" s="18">
        <v>7172.27</v>
      </c>
      <c r="K208" s="18">
        <v>0</v>
      </c>
      <c r="L208" s="19">
        <f t="shared" si="0"/>
        <v>607935.30000000005</v>
      </c>
      <c r="M208" s="8"/>
      <c r="N208" s="265"/>
    </row>
    <row r="209" spans="1:14" s="3" customFormat="1" ht="12.2" customHeight="1" x14ac:dyDescent="0.15">
      <c r="A209" s="1" t="s">
        <v>448</v>
      </c>
      <c r="B209" s="2" t="s">
        <v>341</v>
      </c>
      <c r="C209" s="2" t="s">
        <v>300</v>
      </c>
      <c r="D209" s="2" t="s">
        <v>431</v>
      </c>
      <c r="E209" s="6">
        <v>2700</v>
      </c>
      <c r="F209" s="18">
        <v>0</v>
      </c>
      <c r="G209" s="18">
        <v>0</v>
      </c>
      <c r="H209" s="18">
        <f>393597.64-0.01</f>
        <v>393597.63</v>
      </c>
      <c r="I209" s="18">
        <v>0</v>
      </c>
      <c r="J209" s="18">
        <v>0</v>
      </c>
      <c r="K209" s="18">
        <v>0</v>
      </c>
      <c r="L209" s="19">
        <f t="shared" si="0"/>
        <v>393597.63</v>
      </c>
      <c r="M209" s="8"/>
      <c r="N209" s="265"/>
    </row>
    <row r="210" spans="1:14" s="3" customFormat="1" ht="12.2" customHeight="1" x14ac:dyDescent="0.15">
      <c r="A210" s="1" t="s">
        <v>449</v>
      </c>
      <c r="B210" s="2" t="s">
        <v>341</v>
      </c>
      <c r="C210" s="2" t="s">
        <v>343</v>
      </c>
      <c r="D210" s="2" t="s">
        <v>431</v>
      </c>
      <c r="E210" s="6">
        <v>2800</v>
      </c>
      <c r="F210" s="18">
        <v>0</v>
      </c>
      <c r="G210" s="18">
        <v>0</v>
      </c>
      <c r="H210" s="18">
        <v>2314.84</v>
      </c>
      <c r="I210" s="18">
        <v>0</v>
      </c>
      <c r="J210" s="18">
        <v>0</v>
      </c>
      <c r="K210" s="18">
        <v>0</v>
      </c>
      <c r="L210" s="19">
        <f>SUM(F210:K210)</f>
        <v>2314.84</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3519097.19</v>
      </c>
      <c r="G212" s="41">
        <f t="shared" si="1"/>
        <v>1951913.1</v>
      </c>
      <c r="H212" s="41">
        <f t="shared" si="1"/>
        <v>1618566.9800000002</v>
      </c>
      <c r="I212" s="41">
        <f t="shared" si="1"/>
        <v>255758.15999999997</v>
      </c>
      <c r="J212" s="41">
        <f t="shared" si="1"/>
        <v>54359.05</v>
      </c>
      <c r="K212" s="41">
        <f t="shared" si="1"/>
        <v>17333.5</v>
      </c>
      <c r="L212" s="41">
        <f t="shared" si="1"/>
        <v>7417027.9800000004</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1933074.35</v>
      </c>
      <c r="G216" s="18">
        <v>1013529.83</v>
      </c>
      <c r="H216" s="18">
        <v>13426.05</v>
      </c>
      <c r="I216" s="18">
        <f>40552.75-2686.07</f>
        <v>37866.68</v>
      </c>
      <c r="J216" s="18">
        <v>7666.02</v>
      </c>
      <c r="K216" s="18">
        <v>0</v>
      </c>
      <c r="L216" s="19">
        <f>SUM(F216:K216)</f>
        <v>3005562.93</v>
      </c>
      <c r="M216" s="8"/>
      <c r="N216" s="265"/>
    </row>
    <row r="217" spans="1:14" s="3" customFormat="1" ht="12.2" customHeight="1" x14ac:dyDescent="0.15">
      <c r="A217" s="1" t="s">
        <v>439</v>
      </c>
      <c r="B217" s="2" t="s">
        <v>346</v>
      </c>
      <c r="C217" s="2" t="s">
        <v>291</v>
      </c>
      <c r="D217" s="2" t="s">
        <v>431</v>
      </c>
      <c r="E217" s="6">
        <v>1200</v>
      </c>
      <c r="F217" s="18">
        <v>539303.89</v>
      </c>
      <c r="G217" s="18">
        <v>431711.75</v>
      </c>
      <c r="H217" s="18">
        <v>1075045.8</v>
      </c>
      <c r="I217" s="18">
        <v>2601.35</v>
      </c>
      <c r="J217" s="18">
        <v>714.46</v>
      </c>
      <c r="K217" s="18">
        <v>2170</v>
      </c>
      <c r="L217" s="19">
        <f>SUM(F217:K217)</f>
        <v>2051547.25</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51332.3</v>
      </c>
      <c r="G219" s="18">
        <v>10283.67</v>
      </c>
      <c r="H219" s="18">
        <v>30129.06</v>
      </c>
      <c r="I219" s="18">
        <v>7608.98</v>
      </c>
      <c r="J219" s="18">
        <v>3447.14</v>
      </c>
      <c r="K219" s="18">
        <v>610</v>
      </c>
      <c r="L219" s="19">
        <f>SUM(F219:K219)</f>
        <v>103411.15</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233503.16</v>
      </c>
      <c r="G221" s="18">
        <v>138020.85999999999</v>
      </c>
      <c r="H221" s="18">
        <v>20992.28</v>
      </c>
      <c r="I221" s="18">
        <v>6726.01</v>
      </c>
      <c r="J221" s="18">
        <v>0</v>
      </c>
      <c r="K221" s="18">
        <v>0</v>
      </c>
      <c r="L221" s="19">
        <f t="shared" ref="L221:L227" si="2">SUM(F221:K221)</f>
        <v>399242.31000000006</v>
      </c>
      <c r="M221" s="8"/>
      <c r="N221" s="265"/>
    </row>
    <row r="222" spans="1:14" s="3" customFormat="1" ht="12.2" customHeight="1" x14ac:dyDescent="0.15">
      <c r="A222" s="1" t="s">
        <v>443</v>
      </c>
      <c r="B222" s="2" t="s">
        <v>346</v>
      </c>
      <c r="C222" s="2" t="s">
        <v>295</v>
      </c>
      <c r="D222" s="2" t="s">
        <v>431</v>
      </c>
      <c r="E222" s="6">
        <v>2200</v>
      </c>
      <c r="F222" s="18">
        <v>127717.29</v>
      </c>
      <c r="G222" s="18">
        <v>62644.55</v>
      </c>
      <c r="H222" s="18">
        <v>16795.14</v>
      </c>
      <c r="I222" s="18">
        <v>43179.91</v>
      </c>
      <c r="J222" s="18">
        <v>40521.949999999997</v>
      </c>
      <c r="K222" s="18">
        <v>0</v>
      </c>
      <c r="L222" s="19">
        <f t="shared" si="2"/>
        <v>290858.83999999997</v>
      </c>
      <c r="M222" s="8"/>
      <c r="N222" s="265"/>
    </row>
    <row r="223" spans="1:14" s="3" customFormat="1" ht="12.2" customHeight="1" x14ac:dyDescent="0.15">
      <c r="A223" s="1" t="s">
        <v>444</v>
      </c>
      <c r="B223" s="2" t="s">
        <v>346</v>
      </c>
      <c r="C223" s="2" t="s">
        <v>296</v>
      </c>
      <c r="D223" s="2" t="s">
        <v>431</v>
      </c>
      <c r="E223" s="6">
        <v>2300</v>
      </c>
      <c r="F223" s="18">
        <v>227818.91</v>
      </c>
      <c r="G223" s="18">
        <v>95964.19</v>
      </c>
      <c r="H223" s="18">
        <v>61223.88</v>
      </c>
      <c r="I223" s="18">
        <v>25406.33</v>
      </c>
      <c r="J223" s="18">
        <v>151.44</v>
      </c>
      <c r="K223" s="18">
        <v>14018.62</v>
      </c>
      <c r="L223" s="19">
        <f t="shared" si="2"/>
        <v>424583.37</v>
      </c>
      <c r="M223" s="8"/>
      <c r="N223" s="265"/>
    </row>
    <row r="224" spans="1:14" s="3" customFormat="1" ht="12.2" customHeight="1" x14ac:dyDescent="0.15">
      <c r="A224" s="1" t="s">
        <v>445</v>
      </c>
      <c r="B224" s="2" t="s">
        <v>346</v>
      </c>
      <c r="C224" s="2" t="s">
        <v>297</v>
      </c>
      <c r="D224" s="2" t="s">
        <v>431</v>
      </c>
      <c r="E224" s="6">
        <v>2400</v>
      </c>
      <c r="F224" s="18">
        <v>281035.88</v>
      </c>
      <c r="G224" s="18">
        <v>169047.16</v>
      </c>
      <c r="H224" s="18">
        <v>42023.32</v>
      </c>
      <c r="I224" s="18">
        <v>2322.9299999999998</v>
      </c>
      <c r="J224" s="18">
        <v>1635</v>
      </c>
      <c r="K224" s="18">
        <v>1695</v>
      </c>
      <c r="L224" s="19">
        <f t="shared" si="2"/>
        <v>497759.29000000004</v>
      </c>
      <c r="M224" s="8"/>
      <c r="N224" s="265"/>
    </row>
    <row r="225" spans="1:14" s="3" customFormat="1" ht="12.2" customHeight="1" x14ac:dyDescent="0.15">
      <c r="A225" s="1" t="s">
        <v>446</v>
      </c>
      <c r="B225" s="2" t="s">
        <v>346</v>
      </c>
      <c r="C225" s="2" t="s">
        <v>298</v>
      </c>
      <c r="D225" s="2" t="s">
        <v>431</v>
      </c>
      <c r="E225" s="6">
        <v>2500</v>
      </c>
      <c r="F225" s="18">
        <v>73345.98</v>
      </c>
      <c r="G225" s="18">
        <v>38781.99</v>
      </c>
      <c r="H225" s="18">
        <v>1442.35</v>
      </c>
      <c r="I225" s="18">
        <v>0</v>
      </c>
      <c r="J225" s="18">
        <v>0</v>
      </c>
      <c r="K225" s="18">
        <v>162.26</v>
      </c>
      <c r="L225" s="19">
        <f t="shared" si="2"/>
        <v>113732.58</v>
      </c>
      <c r="M225" s="8"/>
      <c r="N225" s="265"/>
    </row>
    <row r="226" spans="1:14" s="3" customFormat="1" ht="12.2" customHeight="1" x14ac:dyDescent="0.15">
      <c r="A226" s="1" t="s">
        <v>447</v>
      </c>
      <c r="B226" s="2" t="s">
        <v>346</v>
      </c>
      <c r="C226" s="2" t="s">
        <v>299</v>
      </c>
      <c r="D226" s="2" t="s">
        <v>431</v>
      </c>
      <c r="E226" s="6">
        <v>2600</v>
      </c>
      <c r="F226" s="18">
        <v>215362.36</v>
      </c>
      <c r="G226" s="18">
        <v>136750.45000000001</v>
      </c>
      <c r="H226" s="18">
        <v>124378.26</v>
      </c>
      <c r="I226" s="18">
        <v>181497.04</v>
      </c>
      <c r="J226" s="18">
        <v>7477.48</v>
      </c>
      <c r="K226" s="18">
        <v>0</v>
      </c>
      <c r="L226" s="19">
        <f t="shared" si="2"/>
        <v>665465.59</v>
      </c>
      <c r="M226" s="8"/>
      <c r="N226" s="265"/>
    </row>
    <row r="227" spans="1:14" s="3" customFormat="1" ht="12.2" customHeight="1" x14ac:dyDescent="0.15">
      <c r="A227" s="1" t="s">
        <v>448</v>
      </c>
      <c r="B227" s="2" t="s">
        <v>346</v>
      </c>
      <c r="C227" s="2" t="s">
        <v>300</v>
      </c>
      <c r="D227" s="2" t="s">
        <v>431</v>
      </c>
      <c r="E227" s="6">
        <v>2700</v>
      </c>
      <c r="F227" s="18">
        <v>0</v>
      </c>
      <c r="G227" s="18">
        <v>0</v>
      </c>
      <c r="H227" s="18">
        <f>416768.37+0.01</f>
        <v>416768.38</v>
      </c>
      <c r="I227" s="18">
        <v>0</v>
      </c>
      <c r="J227" s="18">
        <v>0</v>
      </c>
      <c r="K227" s="18">
        <v>0</v>
      </c>
      <c r="L227" s="19">
        <f t="shared" si="2"/>
        <v>416768.38</v>
      </c>
      <c r="M227" s="8"/>
      <c r="N227" s="265"/>
    </row>
    <row r="228" spans="1:14" s="3" customFormat="1" ht="12.2" customHeight="1" x14ac:dyDescent="0.15">
      <c r="A228" s="1" t="s">
        <v>449</v>
      </c>
      <c r="B228" s="2" t="s">
        <v>346</v>
      </c>
      <c r="C228" s="2" t="s">
        <v>343</v>
      </c>
      <c r="D228" s="2" t="s">
        <v>431</v>
      </c>
      <c r="E228" s="6">
        <v>2800</v>
      </c>
      <c r="F228" s="18">
        <v>0</v>
      </c>
      <c r="G228" s="18">
        <v>0</v>
      </c>
      <c r="H228" s="18">
        <v>2413.35</v>
      </c>
      <c r="I228" s="18">
        <v>0</v>
      </c>
      <c r="J228" s="18">
        <v>0</v>
      </c>
      <c r="K228" s="18">
        <v>0</v>
      </c>
      <c r="L228" s="19">
        <f>SUM(F228:K228)</f>
        <v>2413.35</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3682494.12</v>
      </c>
      <c r="G230" s="41">
        <f>SUM(G216:G229)</f>
        <v>2096734.4499999997</v>
      </c>
      <c r="H230" s="41">
        <f>SUM(H216:H229)</f>
        <v>1804637.87</v>
      </c>
      <c r="I230" s="41">
        <f>SUM(I216:I229)</f>
        <v>307209.23</v>
      </c>
      <c r="J230" s="41">
        <f>SUM(J216:J229)</f>
        <v>61613.489999999991</v>
      </c>
      <c r="K230" s="41">
        <f t="shared" si="3"/>
        <v>18655.88</v>
      </c>
      <c r="L230" s="41">
        <f t="shared" si="3"/>
        <v>7971345.04</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1531614.56</v>
      </c>
      <c r="G234" s="18">
        <v>854612.52</v>
      </c>
      <c r="H234" s="18">
        <f>24075.64-6660</f>
        <v>17415.64</v>
      </c>
      <c r="I234" s="18">
        <f>84423.21-0.01-2186.62+0.01</f>
        <v>82236.590000000011</v>
      </c>
      <c r="J234" s="18">
        <v>35232.720000000001</v>
      </c>
      <c r="K234" s="18">
        <v>330</v>
      </c>
      <c r="L234" s="19">
        <f>SUM(F234:K234)</f>
        <v>2521442.0300000003</v>
      </c>
      <c r="M234" s="8"/>
      <c r="N234" s="265"/>
    </row>
    <row r="235" spans="1:14" s="3" customFormat="1" ht="12.2" customHeight="1" x14ac:dyDescent="0.15">
      <c r="A235" s="1" t="s">
        <v>439</v>
      </c>
      <c r="B235" s="2" t="s">
        <v>350</v>
      </c>
      <c r="C235" s="2" t="s">
        <v>291</v>
      </c>
      <c r="D235" s="2" t="s">
        <v>431</v>
      </c>
      <c r="E235" s="6">
        <v>1200</v>
      </c>
      <c r="F235" s="18">
        <v>243715.66</v>
      </c>
      <c r="G235" s="18">
        <v>173734.86</v>
      </c>
      <c r="H235" s="18">
        <f>1199555.89-15890</f>
        <v>1183665.8899999999</v>
      </c>
      <c r="I235" s="18">
        <f>2744.85-0.01</f>
        <v>2744.8399999999997</v>
      </c>
      <c r="J235" s="18">
        <v>581.61</v>
      </c>
      <c r="K235" s="18">
        <v>1766.51</v>
      </c>
      <c r="L235" s="19">
        <f>SUM(F235:K235)</f>
        <v>1606209.37</v>
      </c>
      <c r="M235" s="8"/>
      <c r="N235" s="265"/>
    </row>
    <row r="236" spans="1:14" s="3" customFormat="1" ht="12.2" customHeight="1" x14ac:dyDescent="0.15">
      <c r="A236" s="1" t="s">
        <v>440</v>
      </c>
      <c r="B236" s="2" t="s">
        <v>350</v>
      </c>
      <c r="C236" s="2" t="s">
        <v>292</v>
      </c>
      <c r="D236" s="2" t="s">
        <v>431</v>
      </c>
      <c r="E236" s="6">
        <v>1300</v>
      </c>
      <c r="F236" s="18">
        <v>0</v>
      </c>
      <c r="G236" s="18">
        <v>0</v>
      </c>
      <c r="H236" s="18">
        <v>130499.37</v>
      </c>
      <c r="I236" s="18">
        <v>0</v>
      </c>
      <c r="J236" s="18">
        <v>0</v>
      </c>
      <c r="K236" s="18">
        <v>0</v>
      </c>
      <c r="L236" s="19">
        <f>SUM(F236:K236)</f>
        <v>130499.37</v>
      </c>
      <c r="M236" s="8"/>
      <c r="N236" s="265"/>
    </row>
    <row r="237" spans="1:14" s="3" customFormat="1" ht="12.2" customHeight="1" x14ac:dyDescent="0.15">
      <c r="A237" s="1" t="s">
        <v>441</v>
      </c>
      <c r="B237" s="2" t="s">
        <v>350</v>
      </c>
      <c r="C237" s="2" t="s">
        <v>293</v>
      </c>
      <c r="D237" s="2" t="s">
        <v>431</v>
      </c>
      <c r="E237" s="6">
        <v>1400</v>
      </c>
      <c r="F237" s="18">
        <v>139564.54999999999</v>
      </c>
      <c r="G237" s="18">
        <v>28935.8</v>
      </c>
      <c r="H237" s="18">
        <v>28250.13</v>
      </c>
      <c r="I237" s="18">
        <v>12377.6</v>
      </c>
      <c r="J237" s="18">
        <v>9485.94</v>
      </c>
      <c r="K237" s="18">
        <v>6848</v>
      </c>
      <c r="L237" s="19">
        <f>SUM(F237:K237)</f>
        <v>225462.02</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309153.45</v>
      </c>
      <c r="G239" s="18">
        <v>180674.43</v>
      </c>
      <c r="H239" s="18">
        <v>75084.52</v>
      </c>
      <c r="I239" s="18">
        <f>12145.2</f>
        <v>12145.2</v>
      </c>
      <c r="J239" s="18">
        <v>0</v>
      </c>
      <c r="K239" s="18">
        <v>50</v>
      </c>
      <c r="L239" s="19">
        <f t="shared" ref="L239:L245" si="4">SUM(F239:K239)</f>
        <v>577107.6</v>
      </c>
      <c r="M239" s="8"/>
      <c r="N239" s="265"/>
    </row>
    <row r="240" spans="1:14" s="3" customFormat="1" ht="12.2" customHeight="1" x14ac:dyDescent="0.15">
      <c r="A240" s="1" t="s">
        <v>443</v>
      </c>
      <c r="B240" s="2" t="s">
        <v>350</v>
      </c>
      <c r="C240" s="2" t="s">
        <v>295</v>
      </c>
      <c r="D240" s="2" t="s">
        <v>431</v>
      </c>
      <c r="E240" s="6">
        <v>2200</v>
      </c>
      <c r="F240" s="18">
        <v>130039.96</v>
      </c>
      <c r="G240" s="18">
        <v>60186.3</v>
      </c>
      <c r="H240" s="18">
        <v>12499.02</v>
      </c>
      <c r="I240" s="18">
        <v>36170.449999999997</v>
      </c>
      <c r="J240" s="18">
        <v>55626.86</v>
      </c>
      <c r="K240" s="18">
        <v>0</v>
      </c>
      <c r="L240" s="19">
        <f t="shared" si="4"/>
        <v>294522.58999999997</v>
      </c>
      <c r="M240" s="8"/>
      <c r="N240" s="265"/>
    </row>
    <row r="241" spans="1:14" s="3" customFormat="1" ht="12.2" customHeight="1" x14ac:dyDescent="0.15">
      <c r="A241" s="1" t="s">
        <v>444</v>
      </c>
      <c r="B241" s="2" t="s">
        <v>350</v>
      </c>
      <c r="C241" s="2" t="s">
        <v>296</v>
      </c>
      <c r="D241" s="2" t="s">
        <v>431</v>
      </c>
      <c r="E241" s="6">
        <v>2300</v>
      </c>
      <c r="F241" s="18">
        <v>185458.02</v>
      </c>
      <c r="G241" s="18">
        <v>78120.509999999995</v>
      </c>
      <c r="H241" s="18">
        <v>49839.85</v>
      </c>
      <c r="I241" s="18">
        <f>20682.25+0.03</f>
        <v>20682.28</v>
      </c>
      <c r="J241" s="18">
        <v>123.28</v>
      </c>
      <c r="K241" s="18">
        <v>11411.98</v>
      </c>
      <c r="L241" s="19">
        <f t="shared" si="4"/>
        <v>345635.91999999993</v>
      </c>
      <c r="M241" s="8"/>
      <c r="N241" s="265"/>
    </row>
    <row r="242" spans="1:14" s="3" customFormat="1" ht="12.2" customHeight="1" x14ac:dyDescent="0.15">
      <c r="A242" s="1" t="s">
        <v>445</v>
      </c>
      <c r="B242" s="2" t="s">
        <v>350</v>
      </c>
      <c r="C242" s="2" t="s">
        <v>297</v>
      </c>
      <c r="D242" s="2" t="s">
        <v>431</v>
      </c>
      <c r="E242" s="6">
        <v>2400</v>
      </c>
      <c r="F242" s="18">
        <v>296189.09000000003</v>
      </c>
      <c r="G242" s="18">
        <v>153910.67000000001</v>
      </c>
      <c r="H242" s="18">
        <v>53197.88</v>
      </c>
      <c r="I242" s="18">
        <f>508.6</f>
        <v>508.6</v>
      </c>
      <c r="J242" s="18">
        <v>0</v>
      </c>
      <c r="K242" s="18">
        <v>4825</v>
      </c>
      <c r="L242" s="19">
        <f t="shared" si="4"/>
        <v>508631.24</v>
      </c>
      <c r="M242" s="8"/>
      <c r="N242" s="265"/>
    </row>
    <row r="243" spans="1:14" s="3" customFormat="1" ht="12.2" customHeight="1" x14ac:dyDescent="0.15">
      <c r="A243" s="1" t="s">
        <v>446</v>
      </c>
      <c r="B243" s="2" t="s">
        <v>350</v>
      </c>
      <c r="C243" s="2" t="s">
        <v>298</v>
      </c>
      <c r="D243" s="2" t="s">
        <v>431</v>
      </c>
      <c r="E243" s="6">
        <v>2500</v>
      </c>
      <c r="F243" s="18">
        <v>59707.96</v>
      </c>
      <c r="G243" s="18">
        <v>31570.83</v>
      </c>
      <c r="H243" s="18">
        <f>1174.16+0.02</f>
        <v>1174.18</v>
      </c>
      <c r="I243" s="18">
        <v>0</v>
      </c>
      <c r="J243" s="18">
        <v>0</v>
      </c>
      <c r="K243" s="18">
        <v>132.09</v>
      </c>
      <c r="L243" s="19">
        <f t="shared" si="4"/>
        <v>92585.06</v>
      </c>
      <c r="M243" s="8"/>
      <c r="N243" s="265"/>
    </row>
    <row r="244" spans="1:14" s="3" customFormat="1" ht="12.2" customHeight="1" x14ac:dyDescent="0.15">
      <c r="A244" s="1" t="s">
        <v>447</v>
      </c>
      <c r="B244" s="2" t="s">
        <v>350</v>
      </c>
      <c r="C244" s="2" t="s">
        <v>299</v>
      </c>
      <c r="D244" s="2" t="s">
        <v>431</v>
      </c>
      <c r="E244" s="6">
        <v>2600</v>
      </c>
      <c r="F244" s="18">
        <v>232836.78</v>
      </c>
      <c r="G244" s="18">
        <v>150774.87</v>
      </c>
      <c r="H244" s="18">
        <v>123187.94</v>
      </c>
      <c r="I244" s="18">
        <f>115318.34-0.01</f>
        <v>115318.33</v>
      </c>
      <c r="J244" s="18">
        <v>6087.11</v>
      </c>
      <c r="K244" s="18">
        <v>0</v>
      </c>
      <c r="L244" s="19">
        <f t="shared" si="4"/>
        <v>628205.03</v>
      </c>
      <c r="M244" s="8"/>
      <c r="N244" s="265"/>
    </row>
    <row r="245" spans="1:14" s="3" customFormat="1" ht="12.2" customHeight="1" x14ac:dyDescent="0.15">
      <c r="A245" s="1" t="s">
        <v>448</v>
      </c>
      <c r="B245" s="2" t="s">
        <v>350</v>
      </c>
      <c r="C245" s="2" t="s">
        <v>300</v>
      </c>
      <c r="D245" s="2" t="s">
        <v>431</v>
      </c>
      <c r="E245" s="6">
        <v>2700</v>
      </c>
      <c r="F245" s="18">
        <f>0</f>
        <v>0</v>
      </c>
      <c r="G245" s="18">
        <v>0</v>
      </c>
      <c r="H245" s="18">
        <v>351156.28</v>
      </c>
      <c r="I245" s="18">
        <v>0</v>
      </c>
      <c r="J245" s="18">
        <v>0</v>
      </c>
      <c r="K245" s="18">
        <v>0</v>
      </c>
      <c r="L245" s="19">
        <f t="shared" si="4"/>
        <v>351156.28</v>
      </c>
      <c r="M245" s="8"/>
      <c r="N245" s="265"/>
    </row>
    <row r="246" spans="1:14" s="3" customFormat="1" ht="12.2" customHeight="1" x14ac:dyDescent="0.15">
      <c r="A246" s="1" t="s">
        <v>449</v>
      </c>
      <c r="B246" s="2" t="s">
        <v>350</v>
      </c>
      <c r="C246" s="2" t="s">
        <v>343</v>
      </c>
      <c r="D246" s="2" t="s">
        <v>431</v>
      </c>
      <c r="E246" s="6">
        <v>2800</v>
      </c>
      <c r="F246" s="18">
        <v>0</v>
      </c>
      <c r="G246" s="18">
        <v>0</v>
      </c>
      <c r="H246" s="18">
        <v>1964.61</v>
      </c>
      <c r="I246" s="18">
        <v>0</v>
      </c>
      <c r="J246" s="18">
        <v>0</v>
      </c>
      <c r="K246" s="18">
        <v>0</v>
      </c>
      <c r="L246" s="19">
        <f>SUM(F246:K246)</f>
        <v>1964.61</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3128280.03</v>
      </c>
      <c r="G248" s="41">
        <f t="shared" si="5"/>
        <v>1712520.79</v>
      </c>
      <c r="H248" s="41">
        <f t="shared" si="5"/>
        <v>2027935.3099999998</v>
      </c>
      <c r="I248" s="41">
        <f t="shared" si="5"/>
        <v>282183.89</v>
      </c>
      <c r="J248" s="41">
        <f t="shared" si="5"/>
        <v>107137.52</v>
      </c>
      <c r="K248" s="41">
        <f t="shared" si="5"/>
        <v>25363.579999999998</v>
      </c>
      <c r="L248" s="41">
        <f t="shared" si="5"/>
        <v>7283421.1200000001</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6660</v>
      </c>
      <c r="I252" s="18">
        <v>0</v>
      </c>
      <c r="J252" s="18">
        <v>0</v>
      </c>
      <c r="K252" s="18">
        <v>0</v>
      </c>
      <c r="L252" s="19">
        <f t="shared" si="6"/>
        <v>6660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26373.27</v>
      </c>
      <c r="J254" s="18">
        <v>0</v>
      </c>
      <c r="K254" s="18">
        <v>0</v>
      </c>
      <c r="L254" s="19">
        <f t="shared" si="6"/>
        <v>26373.27</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6660</v>
      </c>
      <c r="I257" s="41">
        <f t="shared" si="7"/>
        <v>26373.27</v>
      </c>
      <c r="J257" s="41">
        <f t="shared" si="7"/>
        <v>0</v>
      </c>
      <c r="K257" s="41">
        <f t="shared" si="7"/>
        <v>0</v>
      </c>
      <c r="L257" s="41">
        <f>SUM(F257:K257)</f>
        <v>33033.270000000004</v>
      </c>
      <c r="M257" s="8"/>
      <c r="N257" s="265"/>
    </row>
    <row r="258" spans="1:14" s="3" customFormat="1" ht="12.2" customHeight="1" thickTop="1" x14ac:dyDescent="0.15">
      <c r="A258" s="38" t="s">
        <v>462</v>
      </c>
      <c r="B258" s="40">
        <v>10</v>
      </c>
      <c r="C258" s="40">
        <v>8</v>
      </c>
      <c r="D258" s="39" t="s">
        <v>431</v>
      </c>
      <c r="E258" s="40"/>
      <c r="F258" s="41">
        <f t="shared" ref="F258:L258" si="8">F212+F230+F248+F257</f>
        <v>10329871.34</v>
      </c>
      <c r="G258" s="41">
        <f t="shared" si="8"/>
        <v>5761168.3399999999</v>
      </c>
      <c r="H258" s="41">
        <f t="shared" si="8"/>
        <v>5457800.1600000001</v>
      </c>
      <c r="I258" s="41">
        <f t="shared" si="8"/>
        <v>871524.54999999993</v>
      </c>
      <c r="J258" s="41">
        <f t="shared" si="8"/>
        <v>223110.06</v>
      </c>
      <c r="K258" s="41">
        <f t="shared" si="8"/>
        <v>61352.960000000006</v>
      </c>
      <c r="L258" s="41">
        <f t="shared" si="8"/>
        <v>22704827.41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601389.69999999995</v>
      </c>
      <c r="L261" s="19">
        <f>SUM(F261:K261)</f>
        <v>601389.69999999995</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481371.55</v>
      </c>
      <c r="L262" s="19">
        <f>SUM(F262:K262)</f>
        <v>481371.55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8572.93</v>
      </c>
      <c r="L264" s="19">
        <f>SUM(F264:K264)</f>
        <v>8572.93</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591000-130997</f>
        <v>460003</v>
      </c>
      <c r="L267" s="19">
        <f t="shared" si="9"/>
        <v>460003</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f>22925.5+15890</f>
        <v>38815.5</v>
      </c>
      <c r="L269" s="19">
        <f t="shared" si="9"/>
        <v>38815.5</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1590152.68</v>
      </c>
      <c r="L271" s="41">
        <f t="shared" si="9"/>
        <v>1590152.68</v>
      </c>
      <c r="M271" s="8"/>
      <c r="N271" s="265"/>
    </row>
    <row r="272" spans="1:14" s="34" customFormat="1" ht="12.2" customHeight="1" thickTop="1" x14ac:dyDescent="0.2">
      <c r="A272" s="43" t="s">
        <v>464</v>
      </c>
      <c r="B272" s="40">
        <v>10</v>
      </c>
      <c r="C272" s="40">
        <v>18</v>
      </c>
      <c r="D272" s="39" t="s">
        <v>431</v>
      </c>
      <c r="E272" s="40"/>
      <c r="F272" s="42">
        <f t="shared" ref="F272:L272" si="11">F258+F271</f>
        <v>10329871.34</v>
      </c>
      <c r="G272" s="42">
        <f t="shared" si="11"/>
        <v>5761168.3399999999</v>
      </c>
      <c r="H272" s="42">
        <f t="shared" si="11"/>
        <v>5457800.1600000001</v>
      </c>
      <c r="I272" s="42">
        <f t="shared" si="11"/>
        <v>871524.54999999993</v>
      </c>
      <c r="J272" s="42">
        <f t="shared" si="11"/>
        <v>223110.06</v>
      </c>
      <c r="K272" s="42">
        <f t="shared" si="11"/>
        <v>1651505.64</v>
      </c>
      <c r="L272" s="42">
        <f t="shared" si="11"/>
        <v>24294980.09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159529.76999999999</v>
      </c>
      <c r="G277" s="18">
        <v>74426.600000000006</v>
      </c>
      <c r="H277" s="18">
        <v>15408.33</v>
      </c>
      <c r="I277" s="18">
        <v>10830.63</v>
      </c>
      <c r="J277" s="18">
        <v>251</v>
      </c>
      <c r="K277" s="18">
        <v>0</v>
      </c>
      <c r="L277" s="19">
        <f>SUM(F277:K277)</f>
        <v>260446.33</v>
      </c>
      <c r="M277" s="8"/>
      <c r="N277" s="265"/>
    </row>
    <row r="278" spans="1:14" s="3" customFormat="1" ht="12.2" customHeight="1" x14ac:dyDescent="0.15">
      <c r="A278" s="1" t="s">
        <v>439</v>
      </c>
      <c r="B278" s="2" t="s">
        <v>357</v>
      </c>
      <c r="C278" s="2" t="s">
        <v>291</v>
      </c>
      <c r="D278" s="2" t="s">
        <v>431</v>
      </c>
      <c r="E278" s="6">
        <v>1200</v>
      </c>
      <c r="F278" s="18">
        <v>68232</v>
      </c>
      <c r="G278" s="18">
        <v>20217.09</v>
      </c>
      <c r="H278" s="18">
        <v>4156.34</v>
      </c>
      <c r="I278" s="18">
        <v>9637.57</v>
      </c>
      <c r="J278" s="18">
        <v>0</v>
      </c>
      <c r="K278" s="18">
        <v>0</v>
      </c>
      <c r="L278" s="19">
        <f>SUM(F278:K278)</f>
        <v>102243</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86175.1</v>
      </c>
      <c r="G280" s="18">
        <v>18737.89</v>
      </c>
      <c r="H280" s="18">
        <v>0</v>
      </c>
      <c r="I280" s="18">
        <v>6938.74</v>
      </c>
      <c r="J280" s="18">
        <v>0</v>
      </c>
      <c r="K280" s="18">
        <v>0</v>
      </c>
      <c r="L280" s="19">
        <f>SUM(F280:K280)</f>
        <v>111851.73000000001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81734.149999999994</v>
      </c>
      <c r="G282" s="18">
        <v>30657.99</v>
      </c>
      <c r="H282" s="18">
        <v>38619.53</v>
      </c>
      <c r="I282" s="18">
        <v>9907.1200000000008</v>
      </c>
      <c r="J282" s="18">
        <v>0</v>
      </c>
      <c r="K282" s="18">
        <v>0</v>
      </c>
      <c r="L282" s="19">
        <f t="shared" ref="L282:L288" si="12">SUM(F282:K282)</f>
        <v>160918.78999999998</v>
      </c>
      <c r="M282" s="8"/>
      <c r="N282" s="265"/>
    </row>
    <row r="283" spans="1:14" s="3" customFormat="1" ht="12.2" customHeight="1" x14ac:dyDescent="0.15">
      <c r="A283" s="1" t="s">
        <v>443</v>
      </c>
      <c r="B283" s="2" t="s">
        <v>357</v>
      </c>
      <c r="C283" s="2" t="s">
        <v>295</v>
      </c>
      <c r="D283" s="2" t="s">
        <v>431</v>
      </c>
      <c r="E283" s="6">
        <v>2200</v>
      </c>
      <c r="F283" s="18">
        <v>0</v>
      </c>
      <c r="G283" s="18">
        <v>0</v>
      </c>
      <c r="H283" s="18">
        <v>36635.879999999997</v>
      </c>
      <c r="I283" s="18">
        <v>62539.06</v>
      </c>
      <c r="J283" s="18">
        <v>29769.79</v>
      </c>
      <c r="K283" s="18">
        <v>0</v>
      </c>
      <c r="L283" s="19">
        <f t="shared" si="12"/>
        <v>128944.73000000001</v>
      </c>
      <c r="M283" s="8"/>
      <c r="N283" s="265"/>
    </row>
    <row r="284" spans="1:14" s="3" customFormat="1" ht="12.2" customHeight="1" x14ac:dyDescent="0.15">
      <c r="A284" s="1" t="s">
        <v>444</v>
      </c>
      <c r="B284" s="2" t="s">
        <v>357</v>
      </c>
      <c r="C284" s="2" t="s">
        <v>296</v>
      </c>
      <c r="D284" s="2" t="s">
        <v>431</v>
      </c>
      <c r="E284" s="6">
        <v>2300</v>
      </c>
      <c r="F284" s="18">
        <v>0</v>
      </c>
      <c r="G284" s="18">
        <v>0</v>
      </c>
      <c r="H284" s="18">
        <v>9281.6</v>
      </c>
      <c r="I284" s="18">
        <v>0</v>
      </c>
      <c r="J284" s="18">
        <v>0</v>
      </c>
      <c r="K284" s="18">
        <v>0</v>
      </c>
      <c r="L284" s="19">
        <f t="shared" si="12"/>
        <v>9281.6</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936</v>
      </c>
      <c r="G287" s="18">
        <v>203.21</v>
      </c>
      <c r="H287" s="18">
        <v>0</v>
      </c>
      <c r="I287" s="18">
        <v>3433.93</v>
      </c>
      <c r="J287" s="18">
        <v>890.62</v>
      </c>
      <c r="K287" s="18">
        <v>0</v>
      </c>
      <c r="L287" s="19">
        <f t="shared" si="12"/>
        <v>5463.7599999999993</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396607.02</v>
      </c>
      <c r="G291" s="42">
        <f t="shared" si="13"/>
        <v>144242.78</v>
      </c>
      <c r="H291" s="42">
        <f t="shared" si="13"/>
        <v>104101.68</v>
      </c>
      <c r="I291" s="42">
        <f t="shared" si="13"/>
        <v>103287.04999999999</v>
      </c>
      <c r="J291" s="42">
        <f t="shared" si="13"/>
        <v>30911.41</v>
      </c>
      <c r="K291" s="42">
        <f t="shared" si="13"/>
        <v>0</v>
      </c>
      <c r="L291" s="41">
        <f t="shared" si="13"/>
        <v>779149.93999999983</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108168.39</v>
      </c>
      <c r="G296" s="18">
        <v>39384.03</v>
      </c>
      <c r="H296" s="18">
        <v>16064.01</v>
      </c>
      <c r="I296" s="18">
        <v>2766.07</v>
      </c>
      <c r="J296" s="18">
        <v>251</v>
      </c>
      <c r="K296" s="18">
        <v>0</v>
      </c>
      <c r="L296" s="19">
        <f>SUM(F296:K296)</f>
        <v>166633.5</v>
      </c>
      <c r="M296" s="8"/>
      <c r="N296" s="265"/>
    </row>
    <row r="297" spans="1:14" s="3" customFormat="1" ht="12.2" customHeight="1" x14ac:dyDescent="0.15">
      <c r="A297" s="1" t="s">
        <v>439</v>
      </c>
      <c r="B297" s="2" t="s">
        <v>358</v>
      </c>
      <c r="C297" s="2" t="s">
        <v>291</v>
      </c>
      <c r="D297" s="2" t="s">
        <v>431</v>
      </c>
      <c r="E297" s="6">
        <v>1200</v>
      </c>
      <c r="F297" s="18">
        <v>5000</v>
      </c>
      <c r="G297" s="18">
        <v>1433.5</v>
      </c>
      <c r="H297" s="18">
        <v>4333.2</v>
      </c>
      <c r="I297" s="18">
        <v>9032.51</v>
      </c>
      <c r="J297" s="18">
        <v>0</v>
      </c>
      <c r="K297" s="18">
        <v>0</v>
      </c>
      <c r="L297" s="19">
        <f>SUM(F297:K297)</f>
        <v>19799.21</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54675.87</v>
      </c>
      <c r="G299" s="18">
        <v>12279.18</v>
      </c>
      <c r="H299" s="18">
        <v>0</v>
      </c>
      <c r="I299" s="18">
        <v>9995.32</v>
      </c>
      <c r="J299" s="18">
        <v>0</v>
      </c>
      <c r="K299" s="18">
        <v>0</v>
      </c>
      <c r="L299" s="19">
        <f>SUM(F299:K299)</f>
        <v>76950.37</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85212.19</v>
      </c>
      <c r="G301" s="18">
        <v>31962.59</v>
      </c>
      <c r="H301" s="18">
        <v>40262.910000000003</v>
      </c>
      <c r="I301" s="18">
        <f>10328.7</f>
        <v>10328.700000000001</v>
      </c>
      <c r="J301" s="18">
        <v>0</v>
      </c>
      <c r="K301" s="18">
        <v>0</v>
      </c>
      <c r="L301" s="19">
        <f t="shared" ref="L301:L307" si="14">SUM(F301:K301)</f>
        <v>167766.39000000001</v>
      </c>
      <c r="M301" s="8"/>
      <c r="N301" s="265"/>
    </row>
    <row r="302" spans="1:14" s="3" customFormat="1" ht="12.2" customHeight="1" x14ac:dyDescent="0.15">
      <c r="A302" s="1" t="s">
        <v>443</v>
      </c>
      <c r="B302" s="2" t="s">
        <v>358</v>
      </c>
      <c r="C302" s="2" t="s">
        <v>295</v>
      </c>
      <c r="D302" s="2" t="s">
        <v>431</v>
      </c>
      <c r="E302" s="6">
        <v>2200</v>
      </c>
      <c r="F302" s="18">
        <v>0</v>
      </c>
      <c r="G302" s="18">
        <v>0</v>
      </c>
      <c r="H302" s="18">
        <v>19494.580000000002</v>
      </c>
      <c r="I302" s="18">
        <v>61741.57</v>
      </c>
      <c r="J302" s="18">
        <v>31036.59</v>
      </c>
      <c r="K302" s="18">
        <v>0</v>
      </c>
      <c r="L302" s="19">
        <f t="shared" si="14"/>
        <v>112272.73999999999</v>
      </c>
      <c r="M302" s="8"/>
      <c r="N302" s="265"/>
    </row>
    <row r="303" spans="1:14" s="3" customFormat="1" ht="12.2" customHeight="1" x14ac:dyDescent="0.15">
      <c r="A303" s="1" t="s">
        <v>444</v>
      </c>
      <c r="B303" s="2" t="s">
        <v>358</v>
      </c>
      <c r="C303" s="2" t="s">
        <v>296</v>
      </c>
      <c r="D303" s="2" t="s">
        <v>431</v>
      </c>
      <c r="E303" s="6">
        <v>2300</v>
      </c>
      <c r="F303" s="18">
        <v>0</v>
      </c>
      <c r="G303" s="18">
        <v>0</v>
      </c>
      <c r="H303" s="18">
        <v>9676.56</v>
      </c>
      <c r="I303" s="18">
        <v>0</v>
      </c>
      <c r="J303" s="18">
        <v>0</v>
      </c>
      <c r="K303" s="18">
        <v>0</v>
      </c>
      <c r="L303" s="19">
        <f t="shared" si="14"/>
        <v>9676.56</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3536</v>
      </c>
      <c r="G306" s="18">
        <f>767.67-0.01</f>
        <v>767.66</v>
      </c>
      <c r="H306" s="18">
        <v>0</v>
      </c>
      <c r="I306" s="18">
        <v>3580.05</v>
      </c>
      <c r="J306" s="18">
        <v>928.52</v>
      </c>
      <c r="K306" s="18">
        <v>0</v>
      </c>
      <c r="L306" s="19">
        <f t="shared" si="14"/>
        <v>8812.23</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256592.45</v>
      </c>
      <c r="G310" s="42">
        <f t="shared" si="15"/>
        <v>85826.96</v>
      </c>
      <c r="H310" s="42">
        <f t="shared" si="15"/>
        <v>89831.260000000009</v>
      </c>
      <c r="I310" s="42">
        <f t="shared" si="15"/>
        <v>97444.22</v>
      </c>
      <c r="J310" s="42">
        <f t="shared" si="15"/>
        <v>32216.11</v>
      </c>
      <c r="K310" s="42">
        <f t="shared" si="15"/>
        <v>0</v>
      </c>
      <c r="L310" s="41">
        <f t="shared" si="15"/>
        <v>561911</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49228</v>
      </c>
      <c r="G315" s="18">
        <v>22823.41</v>
      </c>
      <c r="H315" s="18">
        <v>13077.05</v>
      </c>
      <c r="I315" s="18">
        <v>1102.1500000000001</v>
      </c>
      <c r="J315" s="18">
        <v>0</v>
      </c>
      <c r="K315" s="18">
        <v>0</v>
      </c>
      <c r="L315" s="19">
        <f>SUM(F315:K315)</f>
        <v>86230.61</v>
      </c>
      <c r="M315" s="8"/>
      <c r="N315" s="265"/>
    </row>
    <row r="316" spans="1:14" s="3" customFormat="1" ht="12.2" customHeight="1" x14ac:dyDescent="0.15">
      <c r="A316" s="1" t="s">
        <v>439</v>
      </c>
      <c r="B316" s="2" t="s">
        <v>359</v>
      </c>
      <c r="C316" s="2" t="s">
        <v>291</v>
      </c>
      <c r="D316" s="2" t="s">
        <v>431</v>
      </c>
      <c r="E316" s="6">
        <v>1200</v>
      </c>
      <c r="F316" s="18">
        <v>120199</v>
      </c>
      <c r="G316" s="18">
        <v>35446.089999999997</v>
      </c>
      <c r="H316" s="18">
        <v>3527.48</v>
      </c>
      <c r="I316" s="18">
        <v>7352.99</v>
      </c>
      <c r="J316" s="18">
        <v>0</v>
      </c>
      <c r="K316" s="18">
        <v>0</v>
      </c>
      <c r="L316" s="19">
        <f>SUM(F316:K316)</f>
        <v>166525.56</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149287.75</v>
      </c>
      <c r="G320" s="18">
        <v>52360.25</v>
      </c>
      <c r="H320" s="18">
        <v>33268.449999999997</v>
      </c>
      <c r="I320" s="18">
        <f>8891.99+0.01</f>
        <v>8892</v>
      </c>
      <c r="J320" s="18">
        <v>0</v>
      </c>
      <c r="K320" s="18">
        <v>0</v>
      </c>
      <c r="L320" s="19">
        <f t="shared" ref="L320:L326" si="16">SUM(F320:K320)</f>
        <v>243808.45</v>
      </c>
      <c r="M320" s="8"/>
      <c r="N320" s="265"/>
    </row>
    <row r="321" spans="1:14" s="3" customFormat="1" ht="12.2" customHeight="1" x14ac:dyDescent="0.15">
      <c r="A321" s="1" t="s">
        <v>443</v>
      </c>
      <c r="B321" s="2" t="s">
        <v>359</v>
      </c>
      <c r="C321" s="2" t="s">
        <v>295</v>
      </c>
      <c r="D321" s="2" t="s">
        <v>431</v>
      </c>
      <c r="E321" s="6">
        <v>2200</v>
      </c>
      <c r="F321" s="18">
        <v>0</v>
      </c>
      <c r="G321" s="18">
        <v>0</v>
      </c>
      <c r="H321" s="18">
        <v>15869.73</v>
      </c>
      <c r="I321" s="18">
        <v>46720.12</v>
      </c>
      <c r="J321" s="18">
        <v>25265.62</v>
      </c>
      <c r="K321" s="18">
        <v>0</v>
      </c>
      <c r="L321" s="19">
        <f t="shared" si="16"/>
        <v>87855.47</v>
      </c>
      <c r="M321" s="8"/>
      <c r="N321" s="265"/>
    </row>
    <row r="322" spans="1:14" s="3" customFormat="1" ht="12.2" customHeight="1" x14ac:dyDescent="0.15">
      <c r="A322" s="1" t="s">
        <v>444</v>
      </c>
      <c r="B322" s="2" t="s">
        <v>359</v>
      </c>
      <c r="C322" s="2" t="s">
        <v>296</v>
      </c>
      <c r="D322" s="2" t="s">
        <v>431</v>
      </c>
      <c r="E322" s="6">
        <v>2300</v>
      </c>
      <c r="F322" s="18">
        <v>0</v>
      </c>
      <c r="G322" s="18">
        <v>0</v>
      </c>
      <c r="H322" s="18">
        <v>7877.29</v>
      </c>
      <c r="I322" s="18">
        <v>0</v>
      </c>
      <c r="J322" s="18">
        <v>0</v>
      </c>
      <c r="K322" s="18">
        <v>0</v>
      </c>
      <c r="L322" s="19">
        <f t="shared" si="16"/>
        <v>7877.29</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2914.38</v>
      </c>
      <c r="J325" s="18">
        <f>755.87-0.02</f>
        <v>755.85</v>
      </c>
      <c r="K325" s="18">
        <v>0</v>
      </c>
      <c r="L325" s="19">
        <f t="shared" si="16"/>
        <v>3670.23</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318714.75</v>
      </c>
      <c r="G329" s="42">
        <f t="shared" si="17"/>
        <v>110629.75</v>
      </c>
      <c r="H329" s="42">
        <f t="shared" si="17"/>
        <v>73619.999999999985</v>
      </c>
      <c r="I329" s="42">
        <f t="shared" si="17"/>
        <v>66981.64</v>
      </c>
      <c r="J329" s="42">
        <f t="shared" si="17"/>
        <v>26021.469999999998</v>
      </c>
      <c r="K329" s="42">
        <f t="shared" si="17"/>
        <v>0</v>
      </c>
      <c r="L329" s="41">
        <f t="shared" si="17"/>
        <v>595967.61</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971914.22</v>
      </c>
      <c r="G339" s="41">
        <f t="shared" si="20"/>
        <v>340699.49</v>
      </c>
      <c r="H339" s="41">
        <f t="shared" si="20"/>
        <v>267552.94</v>
      </c>
      <c r="I339" s="41">
        <f t="shared" si="20"/>
        <v>267712.90999999997</v>
      </c>
      <c r="J339" s="41">
        <f t="shared" si="20"/>
        <v>89148.99</v>
      </c>
      <c r="K339" s="41">
        <f t="shared" si="20"/>
        <v>0</v>
      </c>
      <c r="L339" s="41">
        <f t="shared" si="20"/>
        <v>1937028.5499999998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18321.310000000001</v>
      </c>
      <c r="L345" s="19">
        <f t="shared" ref="L345:L351" si="21">SUM(F345:K345)</f>
        <v>18321.310000000001</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18321.310000000001</v>
      </c>
      <c r="L352" s="41">
        <f>SUM(L342:L351)</f>
        <v>18321.310000000001</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971914.22</v>
      </c>
      <c r="G353" s="41">
        <f>G339</f>
        <v>340699.49</v>
      </c>
      <c r="H353" s="41">
        <f>H339</f>
        <v>267552.94</v>
      </c>
      <c r="I353" s="41">
        <f>I339</f>
        <v>267712.90999999997</v>
      </c>
      <c r="J353" s="41">
        <f>J339</f>
        <v>89148.99</v>
      </c>
      <c r="K353" s="47">
        <f>K339+K352</f>
        <v>18321.310000000001</v>
      </c>
      <c r="L353" s="41">
        <f>L339+L352</f>
        <v>1955349.8599999999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89896.17</v>
      </c>
      <c r="G359" s="18">
        <v>49803.29</v>
      </c>
      <c r="H359" s="18">
        <v>2434.67</v>
      </c>
      <c r="I359" s="18">
        <v>90548.04</v>
      </c>
      <c r="J359" s="18">
        <v>2487.75</v>
      </c>
      <c r="K359" s="18">
        <v>414.35</v>
      </c>
      <c r="L359" s="13">
        <f>SUM(F359:K359)</f>
        <v>235584.27</v>
      </c>
      <c r="M359" s="8"/>
      <c r="N359" s="265"/>
    </row>
    <row r="360" spans="1:22" s="3" customFormat="1" ht="12.2" customHeight="1" x14ac:dyDescent="0.15">
      <c r="A360" s="1" t="s">
        <v>542</v>
      </c>
      <c r="B360" s="2" t="s">
        <v>366</v>
      </c>
      <c r="C360" s="6">
        <v>2</v>
      </c>
      <c r="D360" s="2" t="s">
        <v>431</v>
      </c>
      <c r="E360" s="6"/>
      <c r="F360" s="18">
        <v>97424.23</v>
      </c>
      <c r="G360" s="18">
        <v>67324.84</v>
      </c>
      <c r="H360" s="18">
        <v>2780.34</v>
      </c>
      <c r="I360" s="18">
        <v>95377.4</v>
      </c>
      <c r="J360" s="18">
        <f>11591.06-9103</f>
        <v>2488.0599999999995</v>
      </c>
      <c r="K360" s="18">
        <v>431.99</v>
      </c>
      <c r="L360" s="19">
        <f>SUM(F360:K360)</f>
        <v>265826.86</v>
      </c>
      <c r="M360" s="8"/>
      <c r="N360" s="265"/>
    </row>
    <row r="361" spans="1:22" s="3" customFormat="1" ht="12.2" customHeight="1" x14ac:dyDescent="0.15">
      <c r="A361" s="3" t="s">
        <v>543</v>
      </c>
      <c r="B361" s="2" t="s">
        <v>366</v>
      </c>
      <c r="C361" s="6">
        <v>3</v>
      </c>
      <c r="D361" s="2" t="s">
        <v>431</v>
      </c>
      <c r="E361" s="6"/>
      <c r="F361" s="18">
        <f>93805.94+0.02</f>
        <v>93805.96</v>
      </c>
      <c r="G361" s="18">
        <v>49587.77</v>
      </c>
      <c r="H361" s="18">
        <v>6363.45</v>
      </c>
      <c r="I361" s="18">
        <v>65233.41</v>
      </c>
      <c r="J361" s="18">
        <v>2112.1</v>
      </c>
      <c r="K361" s="18">
        <v>351.66</v>
      </c>
      <c r="L361" s="19">
        <f>SUM(F361:K361)</f>
        <v>217454.35000000003</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281126.36</v>
      </c>
      <c r="G363" s="47">
        <f t="shared" si="22"/>
        <v>166715.9</v>
      </c>
      <c r="H363" s="47">
        <f t="shared" si="22"/>
        <v>11578.46</v>
      </c>
      <c r="I363" s="47">
        <f t="shared" si="22"/>
        <v>251158.85</v>
      </c>
      <c r="J363" s="47">
        <f t="shared" si="22"/>
        <v>7087.91</v>
      </c>
      <c r="K363" s="47">
        <f t="shared" si="22"/>
        <v>1198</v>
      </c>
      <c r="L363" s="47">
        <f t="shared" si="22"/>
        <v>718865.48</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78748.25</v>
      </c>
      <c r="G368" s="18">
        <v>83918.91</v>
      </c>
      <c r="H368" s="18">
        <v>56423.7</v>
      </c>
      <c r="I368" s="56">
        <f>SUM(F368:H368)</f>
        <v>219090.86</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11799.79</v>
      </c>
      <c r="G369" s="63">
        <v>11458.49</v>
      </c>
      <c r="H369" s="63">
        <v>8809.7099999999991</v>
      </c>
      <c r="I369" s="56">
        <f>SUM(F369:H369)</f>
        <v>32067.989999999998</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90548.040000000008</v>
      </c>
      <c r="G370" s="47">
        <f>SUM(G368:G369)</f>
        <v>95377.400000000009</v>
      </c>
      <c r="H370" s="47">
        <f>SUM(H368:H369)</f>
        <v>65233.409999999996</v>
      </c>
      <c r="I370" s="47">
        <f>SUM(I368:I369)</f>
        <v>251158.84999999998</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v>0</v>
      </c>
      <c r="G397" s="18">
        <f>399998-130997</f>
        <v>269001</v>
      </c>
      <c r="H397" s="18">
        <v>0</v>
      </c>
      <c r="I397" s="18">
        <v>0</v>
      </c>
      <c r="J397" s="24" t="s">
        <v>288</v>
      </c>
      <c r="K397" s="24" t="s">
        <v>288</v>
      </c>
      <c r="L397" s="56">
        <f t="shared" si="26"/>
        <v>269001</v>
      </c>
      <c r="M397" s="8"/>
      <c r="N397" s="265"/>
    </row>
    <row r="398" spans="1:14" s="3" customFormat="1" ht="12.2" customHeight="1" x14ac:dyDescent="0.15">
      <c r="A398" s="79" t="s">
        <v>515</v>
      </c>
      <c r="B398" s="2" t="s">
        <v>381</v>
      </c>
      <c r="C398" s="6">
        <v>10</v>
      </c>
      <c r="D398" s="2" t="s">
        <v>432</v>
      </c>
      <c r="E398" s="6"/>
      <c r="F398" s="18">
        <v>0</v>
      </c>
      <c r="G398" s="18">
        <v>0</v>
      </c>
      <c r="H398" s="18">
        <v>0</v>
      </c>
      <c r="I398" s="18">
        <v>0</v>
      </c>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v>0</v>
      </c>
      <c r="G400" s="18">
        <v>151992</v>
      </c>
      <c r="H400" s="18">
        <v>0</v>
      </c>
      <c r="I400" s="18">
        <v>0</v>
      </c>
      <c r="J400" s="24" t="s">
        <v>288</v>
      </c>
      <c r="K400" s="24" t="s">
        <v>288</v>
      </c>
      <c r="L400" s="56">
        <f t="shared" si="26"/>
        <v>151992</v>
      </c>
      <c r="M400" s="8"/>
      <c r="N400" s="265"/>
    </row>
    <row r="401" spans="1:21" s="3" customFormat="1" ht="12.2" customHeight="1" thickBot="1" x14ac:dyDescent="0.2">
      <c r="A401" s="79" t="s">
        <v>510</v>
      </c>
      <c r="B401" s="2" t="s">
        <v>381</v>
      </c>
      <c r="C401" s="6">
        <v>13</v>
      </c>
      <c r="D401" s="2" t="s">
        <v>432</v>
      </c>
      <c r="E401" s="6"/>
      <c r="F401" s="18">
        <v>0</v>
      </c>
      <c r="G401" s="18">
        <v>39010</v>
      </c>
      <c r="H401" s="18">
        <v>0</v>
      </c>
      <c r="I401" s="18">
        <v>0</v>
      </c>
      <c r="J401" s="24" t="s">
        <v>288</v>
      </c>
      <c r="K401" s="24" t="s">
        <v>288</v>
      </c>
      <c r="L401" s="56">
        <f t="shared" si="26"/>
        <v>39010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460003</v>
      </c>
      <c r="H402" s="47">
        <f>SUM(H396:H401)</f>
        <v>0</v>
      </c>
      <c r="I402" s="47">
        <f>SUM(I396:I401)</f>
        <v>0</v>
      </c>
      <c r="J402" s="45" t="s">
        <v>288</v>
      </c>
      <c r="K402" s="45" t="s">
        <v>288</v>
      </c>
      <c r="L402" s="47">
        <f>SUM(L396:L401)</f>
        <v>460003</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460003</v>
      </c>
      <c r="H409" s="47">
        <f>H394+H402+H408</f>
        <v>0</v>
      </c>
      <c r="I409" s="47">
        <f>I394+I402+I408</f>
        <v>0</v>
      </c>
      <c r="J409" s="24" t="s">
        <v>288</v>
      </c>
      <c r="K409" s="24" t="s">
        <v>288</v>
      </c>
      <c r="L409" s="47">
        <f>L394+L402+L408</f>
        <v>460003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5"/>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5"/>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5"/>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5"/>
    </row>
    <row r="423" spans="1:21" s="3" customFormat="1" ht="12.2" customHeight="1" x14ac:dyDescent="0.15">
      <c r="A423" s="79" t="s">
        <v>557</v>
      </c>
      <c r="B423" s="6">
        <v>17</v>
      </c>
      <c r="C423" s="6">
        <v>9</v>
      </c>
      <c r="D423" s="2" t="s">
        <v>432</v>
      </c>
      <c r="E423" s="6"/>
      <c r="F423" s="18">
        <v>0</v>
      </c>
      <c r="G423" s="18">
        <v>0</v>
      </c>
      <c r="H423" s="18">
        <f>233895+82938.17</f>
        <v>316833.17</v>
      </c>
      <c r="I423" s="18">
        <v>0</v>
      </c>
      <c r="J423" s="18">
        <v>0</v>
      </c>
      <c r="K423" s="18">
        <v>0</v>
      </c>
      <c r="L423" s="56">
        <f t="shared" si="29"/>
        <v>316833.17</v>
      </c>
      <c r="M423" s="8"/>
      <c r="N423" s="265"/>
    </row>
    <row r="424" spans="1:21" s="3" customFormat="1" ht="12.2" customHeight="1" x14ac:dyDescent="0.15">
      <c r="A424" s="79" t="s">
        <v>515</v>
      </c>
      <c r="B424" s="6">
        <v>17</v>
      </c>
      <c r="C424" s="6">
        <v>10</v>
      </c>
      <c r="D424" s="2" t="s">
        <v>432</v>
      </c>
      <c r="E424" s="6"/>
      <c r="F424" s="18">
        <v>0</v>
      </c>
      <c r="G424" s="18">
        <v>0</v>
      </c>
      <c r="H424" s="18">
        <v>17592.759999999998</v>
      </c>
      <c r="I424" s="18">
        <v>0</v>
      </c>
      <c r="J424" s="18">
        <v>0</v>
      </c>
      <c r="K424" s="18">
        <v>0</v>
      </c>
      <c r="L424" s="56">
        <f t="shared" si="29"/>
        <v>17592.759999999998</v>
      </c>
      <c r="M424" s="8"/>
      <c r="N424" s="265"/>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5"/>
    </row>
    <row r="426" spans="1:21" s="3" customFormat="1" ht="12.2" customHeight="1" x14ac:dyDescent="0.15">
      <c r="A426" s="79" t="s">
        <v>559</v>
      </c>
      <c r="B426" s="6">
        <v>17</v>
      </c>
      <c r="C426" s="6">
        <v>12</v>
      </c>
      <c r="D426" s="2" t="s">
        <v>432</v>
      </c>
      <c r="E426" s="6"/>
      <c r="F426" s="18">
        <v>0</v>
      </c>
      <c r="G426" s="18">
        <v>0</v>
      </c>
      <c r="H426" s="18">
        <v>11428.64</v>
      </c>
      <c r="I426" s="18">
        <v>0</v>
      </c>
      <c r="J426" s="18">
        <v>0</v>
      </c>
      <c r="K426" s="18">
        <v>0</v>
      </c>
      <c r="L426" s="56">
        <f t="shared" si="29"/>
        <v>11428.64</v>
      </c>
      <c r="M426" s="8"/>
      <c r="N426" s="265"/>
    </row>
    <row r="427" spans="1:21" s="3" customFormat="1" ht="12.2" customHeight="1" thickBot="1" x14ac:dyDescent="0.2">
      <c r="A427" s="79" t="s">
        <v>510</v>
      </c>
      <c r="B427" s="6">
        <v>17</v>
      </c>
      <c r="C427" s="6">
        <v>13</v>
      </c>
      <c r="D427" s="2" t="s">
        <v>432</v>
      </c>
      <c r="E427" s="6"/>
      <c r="F427" s="18"/>
      <c r="G427" s="18">
        <v>0</v>
      </c>
      <c r="H427" s="18">
        <f>5760.84+7417.36</f>
        <v>13178.2</v>
      </c>
      <c r="I427" s="18">
        <v>0</v>
      </c>
      <c r="J427" s="18">
        <v>0</v>
      </c>
      <c r="K427" s="18">
        <v>0</v>
      </c>
      <c r="L427" s="56">
        <f t="shared" si="29"/>
        <v>13178.2</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359032.77</v>
      </c>
      <c r="I428" s="47">
        <f t="shared" si="30"/>
        <v>0</v>
      </c>
      <c r="J428" s="47">
        <f t="shared" si="30"/>
        <v>0</v>
      </c>
      <c r="K428" s="47">
        <f t="shared" si="30"/>
        <v>0</v>
      </c>
      <c r="L428" s="47">
        <f t="shared" si="30"/>
        <v>359032.77</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359032.77</v>
      </c>
      <c r="I435" s="47">
        <f t="shared" si="32"/>
        <v>0</v>
      </c>
      <c r="J435" s="47">
        <f t="shared" si="32"/>
        <v>0</v>
      </c>
      <c r="K435" s="47">
        <f t="shared" si="32"/>
        <v>0</v>
      </c>
      <c r="L435" s="47">
        <f t="shared" si="32"/>
        <v>359032.77</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f>1427620.94+192781.71-130997</f>
        <v>1489405.65</v>
      </c>
      <c r="G441" s="18">
        <v>0</v>
      </c>
      <c r="H441" s="18">
        <v>67437.55</v>
      </c>
      <c r="I441" s="56">
        <f t="shared" si="33"/>
        <v>1556843.2</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1489405.65</v>
      </c>
      <c r="G447" s="13">
        <f>SUM(G440:G446)</f>
        <v>0</v>
      </c>
      <c r="H447" s="13">
        <f>SUM(H440:H446)</f>
        <v>67437.55</v>
      </c>
      <c r="I447" s="13">
        <f>SUM(I440:I446)</f>
        <v>1556843.2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1620402.65-130997</f>
        <v>1489405.65</v>
      </c>
      <c r="G460" s="18">
        <v>0</v>
      </c>
      <c r="H460" s="18">
        <v>67437.55</v>
      </c>
      <c r="I460" s="56">
        <f t="shared" si="34"/>
        <v>1556843.2</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1489405.65</v>
      </c>
      <c r="G461" s="83">
        <f>SUM(G455:G460)</f>
        <v>0</v>
      </c>
      <c r="H461" s="83">
        <f>SUM(H455:H460)</f>
        <v>67437.55</v>
      </c>
      <c r="I461" s="83">
        <f>SUM(I455:I460)</f>
        <v>1556843.2</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1489405.65</v>
      </c>
      <c r="G462" s="42">
        <f>G453+G461</f>
        <v>0</v>
      </c>
      <c r="H462" s="42">
        <f>H453+H461</f>
        <v>67437.55</v>
      </c>
      <c r="I462" s="42">
        <f>I453+I461</f>
        <v>1556843.2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1315754.67</v>
      </c>
      <c r="G466" s="18">
        <v>0</v>
      </c>
      <c r="H466" s="18">
        <v>0</v>
      </c>
      <c r="I466" s="18">
        <v>0</v>
      </c>
      <c r="J466" s="18">
        <v>1455872.97</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25347209.969999999</v>
      </c>
      <c r="G469" s="18">
        <v>727968.48</v>
      </c>
      <c r="H469" s="18">
        <v>1955349.86</v>
      </c>
      <c r="I469" s="18"/>
      <c r="J469" s="18">
        <f>591000-130997</f>
        <v>460003</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25347209.969999999</v>
      </c>
      <c r="G471" s="53">
        <f>SUM(G469:G470)</f>
        <v>727968.48</v>
      </c>
      <c r="H471" s="53">
        <f>SUM(H469:H470)</f>
        <v>1955349.86</v>
      </c>
      <c r="I471" s="53">
        <f>SUM(I469:I470)</f>
        <v>0</v>
      </c>
      <c r="J471" s="53">
        <f>SUM(J469:J470)</f>
        <v>460003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24294980.09</f>
        <v>24294980.09</v>
      </c>
      <c r="G473" s="18">
        <v>718865.48</v>
      </c>
      <c r="H473" s="18">
        <v>1955349.86</v>
      </c>
      <c r="I473" s="18"/>
      <c r="J473" s="18">
        <f>233895+125137.77</f>
        <v>359032.77</v>
      </c>
      <c r="K473" s="24" t="s">
        <v>288</v>
      </c>
      <c r="L473" s="24" t="s">
        <v>288</v>
      </c>
      <c r="N473" s="264"/>
    </row>
    <row r="474" spans="1:14" s="52" customFormat="1" ht="12.2" customHeight="1" x14ac:dyDescent="0.2">
      <c r="A474" s="93" t="s">
        <v>613</v>
      </c>
      <c r="B474" s="75">
        <v>19</v>
      </c>
      <c r="C474" s="80">
        <v>6</v>
      </c>
      <c r="D474" s="2" t="s">
        <v>432</v>
      </c>
      <c r="E474" s="80"/>
      <c r="F474" s="18">
        <f>163064.31-0.09-130997</f>
        <v>32067.22</v>
      </c>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24327047.309999999</v>
      </c>
      <c r="G475" s="53">
        <f>SUM(G473:G474)</f>
        <v>718865.48</v>
      </c>
      <c r="H475" s="53">
        <f>SUM(H473:H474)</f>
        <v>1955349.86</v>
      </c>
      <c r="I475" s="53">
        <f>SUM(I473:I474)</f>
        <v>0</v>
      </c>
      <c r="J475" s="53">
        <f>SUM(J473:J474)</f>
        <v>359032.77</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2335917.3300000019</v>
      </c>
      <c r="G477" s="53">
        <f>(G466+G471)- G475</f>
        <v>9103</v>
      </c>
      <c r="H477" s="53">
        <f>(H466+H471)- H475</f>
        <v>0</v>
      </c>
      <c r="I477" s="53">
        <f>(I466+I471)- I475</f>
        <v>0</v>
      </c>
      <c r="J477" s="53">
        <f>(J466+J471)- J475</f>
        <v>1556843.2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v>10</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t="s">
        <v>1803</v>
      </c>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1804</v>
      </c>
      <c r="G493" s="155" t="s">
        <v>1805</v>
      </c>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13402490</v>
      </c>
      <c r="G494" s="18">
        <v>1060000</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4.12</v>
      </c>
      <c r="G495" s="18">
        <v>5.0999999999999996</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2248250.9700000002</v>
      </c>
      <c r="G496" s="18">
        <f>525000-105000</f>
        <v>420000</v>
      </c>
      <c r="H496" s="18"/>
      <c r="I496" s="18"/>
      <c r="J496" s="18"/>
      <c r="K496" s="53">
        <f>SUM(F496:J496)</f>
        <v>2668250.9700000002</v>
      </c>
      <c r="L496" s="24" t="s">
        <v>288</v>
      </c>
      <c r="N496" s="264"/>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f>457212.26+39177.44</f>
        <v>496389.7</v>
      </c>
      <c r="G498" s="18">
        <v>105000</v>
      </c>
      <c r="H498" s="18"/>
      <c r="I498" s="18"/>
      <c r="J498" s="18"/>
      <c r="K498" s="53">
        <f t="shared" si="35"/>
        <v>601389.69999999995</v>
      </c>
      <c r="L498" s="24" t="s">
        <v>288</v>
      </c>
      <c r="N498" s="264"/>
    </row>
    <row r="499" spans="1:14" s="52" customFormat="1" ht="12.2" customHeight="1" x14ac:dyDescent="0.2">
      <c r="A499" s="199" t="s">
        <v>622</v>
      </c>
      <c r="B499" s="200">
        <v>20</v>
      </c>
      <c r="C499" s="201">
        <v>9</v>
      </c>
      <c r="D499" s="202" t="s">
        <v>432</v>
      </c>
      <c r="E499" s="201"/>
      <c r="F499" s="203">
        <f>F496-F498</f>
        <v>1751861.2700000003</v>
      </c>
      <c r="G499" s="203">
        <f>G496-G498</f>
        <v>315000</v>
      </c>
      <c r="H499" s="203"/>
      <c r="I499" s="203"/>
      <c r="J499" s="203"/>
      <c r="K499" s="204">
        <f t="shared" si="35"/>
        <v>2066861.2700000003</v>
      </c>
      <c r="L499" s="205" t="s">
        <v>288</v>
      </c>
      <c r="N499" s="264"/>
    </row>
    <row r="500" spans="1:14" s="52" customFormat="1" ht="12.2" customHeight="1" thickBot="1" x14ac:dyDescent="0.25">
      <c r="A500" s="22" t="s">
        <v>623</v>
      </c>
      <c r="B500" s="75">
        <v>20</v>
      </c>
      <c r="C500" s="115">
        <v>10</v>
      </c>
      <c r="D500" s="2" t="s">
        <v>432</v>
      </c>
      <c r="E500" s="115"/>
      <c r="F500" s="18">
        <f>451659.84+34211.88+480085.01+24274.22+557825.58+13452.87+609949.33</f>
        <v>2171458.73</v>
      </c>
      <c r="G500" s="18">
        <f>8032.5+5355+5355+2677.5+2677.5</f>
        <v>24097.5</v>
      </c>
      <c r="H500" s="18"/>
      <c r="I500" s="18"/>
      <c r="J500" s="18"/>
      <c r="K500" s="53">
        <f t="shared" si="35"/>
        <v>2195556.23</v>
      </c>
      <c r="L500" s="24" t="s">
        <v>288</v>
      </c>
      <c r="N500" s="264"/>
    </row>
    <row r="501" spans="1:14" s="52" customFormat="1" ht="12.2" customHeight="1" thickTop="1" x14ac:dyDescent="0.2">
      <c r="A501" s="139" t="s">
        <v>624</v>
      </c>
      <c r="B501" s="44">
        <v>20</v>
      </c>
      <c r="C501" s="194">
        <v>11</v>
      </c>
      <c r="D501" s="39" t="s">
        <v>432</v>
      </c>
      <c r="E501" s="194"/>
      <c r="F501" s="42">
        <f>SUM(F499:F500)</f>
        <v>3923320</v>
      </c>
      <c r="G501" s="42">
        <f>SUM(G499:G500)</f>
        <v>339097.5</v>
      </c>
      <c r="H501" s="42">
        <f>SUM(H499:H500)</f>
        <v>0</v>
      </c>
      <c r="I501" s="42">
        <f>SUM(I499:I500)</f>
        <v>0</v>
      </c>
      <c r="J501" s="42">
        <f>SUM(J499:J500)</f>
        <v>0</v>
      </c>
      <c r="K501" s="42">
        <f t="shared" si="35"/>
        <v>4262417.5</v>
      </c>
      <c r="L501" s="45" t="s">
        <v>288</v>
      </c>
      <c r="N501" s="264"/>
    </row>
    <row r="502" spans="1:14" s="52" customFormat="1" ht="12.2" customHeight="1" x14ac:dyDescent="0.2">
      <c r="A502" s="199" t="s">
        <v>651</v>
      </c>
      <c r="B502" s="200">
        <v>20</v>
      </c>
      <c r="C502" s="201">
        <v>12</v>
      </c>
      <c r="D502" s="202" t="s">
        <v>432</v>
      </c>
      <c r="E502" s="201"/>
      <c r="F502" s="203">
        <f>447727.66+28863.12</f>
        <v>476590.77999999997</v>
      </c>
      <c r="G502" s="203">
        <f>105000</f>
        <v>105000</v>
      </c>
      <c r="H502" s="203"/>
      <c r="I502" s="203"/>
      <c r="J502" s="203"/>
      <c r="K502" s="204">
        <f t="shared" si="35"/>
        <v>581590.78</v>
      </c>
      <c r="L502" s="205" t="s">
        <v>288</v>
      </c>
      <c r="N502" s="264"/>
    </row>
    <row r="503" spans="1:14" s="52" customFormat="1" ht="12.2" customHeight="1" thickBot="1" x14ac:dyDescent="0.25">
      <c r="A503" s="22" t="s">
        <v>625</v>
      </c>
      <c r="B503" s="75">
        <v>20</v>
      </c>
      <c r="C503" s="115">
        <v>13</v>
      </c>
      <c r="D503" s="2" t="s">
        <v>432</v>
      </c>
      <c r="E503" s="115"/>
      <c r="F503" s="18">
        <f>451659.84+34211.88</f>
        <v>485871.72000000003</v>
      </c>
      <c r="G503" s="18">
        <f>8032.5+5355</f>
        <v>13387.5</v>
      </c>
      <c r="H503" s="18"/>
      <c r="I503" s="18"/>
      <c r="J503" s="18"/>
      <c r="K503" s="53">
        <f t="shared" si="35"/>
        <v>499259.22000000003</v>
      </c>
      <c r="L503" s="24" t="s">
        <v>288</v>
      </c>
      <c r="N503" s="264"/>
    </row>
    <row r="504" spans="1:14" s="52" customFormat="1" ht="12.2" customHeight="1" thickTop="1" x14ac:dyDescent="0.2">
      <c r="A504" s="139" t="s">
        <v>626</v>
      </c>
      <c r="B504" s="44">
        <v>20</v>
      </c>
      <c r="C504" s="194">
        <v>14</v>
      </c>
      <c r="D504" s="39" t="s">
        <v>432</v>
      </c>
      <c r="E504" s="194"/>
      <c r="F504" s="42">
        <f>SUM(F502:F503)</f>
        <v>962462.5</v>
      </c>
      <c r="G504" s="42">
        <f>SUM(G502:G503)</f>
        <v>118387.5</v>
      </c>
      <c r="H504" s="42">
        <f>SUM(H502:H503)</f>
        <v>0</v>
      </c>
      <c r="I504" s="42">
        <f>SUM(I502:I503)</f>
        <v>0</v>
      </c>
      <c r="J504" s="42">
        <f>SUM(J502:J503)</f>
        <v>0</v>
      </c>
      <c r="K504" s="42">
        <f t="shared" si="35"/>
        <v>1080850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518236.05-12512.22+58860.26+9371.74</f>
        <v>573955.82999999996</v>
      </c>
      <c r="G522" s="18">
        <f>423287.12-969.68+17437.22+2779.87</f>
        <v>442534.53</v>
      </c>
      <c r="H522" s="18">
        <f>957751.42-6795.34+4156.34</f>
        <v>955112.42</v>
      </c>
      <c r="I522" s="18">
        <f>3717.99-156.52+8663.83+973.74</f>
        <v>13199.039999999999</v>
      </c>
      <c r="J522" s="18">
        <v>685.3</v>
      </c>
      <c r="K522" s="18">
        <v>2081.4299999999998</v>
      </c>
      <c r="L522" s="88">
        <f>SUM(F522:K522)</f>
        <v>1987568.55</v>
      </c>
      <c r="N522" s="264"/>
    </row>
    <row r="523" spans="1:14" s="52" customFormat="1" ht="12.2" customHeight="1" x14ac:dyDescent="0.2">
      <c r="A523" s="22" t="s">
        <v>634</v>
      </c>
      <c r="B523" s="105">
        <v>21</v>
      </c>
      <c r="C523" s="115">
        <v>2</v>
      </c>
      <c r="D523" s="2" t="s">
        <v>432</v>
      </c>
      <c r="E523" s="115"/>
      <c r="F523" s="18">
        <f>539303.89-13044.66+5000</f>
        <v>531259.23</v>
      </c>
      <c r="G523" s="18">
        <f>431711.75-1010.94+1433.5</f>
        <v>432134.31</v>
      </c>
      <c r="H523" s="18">
        <f>1075045.8-7084.51+4333.2</f>
        <v>1072294.49</v>
      </c>
      <c r="I523" s="18">
        <f>2601.35-163.18+9032.51</f>
        <v>11470.68</v>
      </c>
      <c r="J523" s="18">
        <f>714.46</f>
        <v>714.46</v>
      </c>
      <c r="K523" s="18">
        <v>2170</v>
      </c>
      <c r="L523" s="88">
        <f>SUM(F523:K523)</f>
        <v>2050043.17</v>
      </c>
      <c r="N523" s="264"/>
    </row>
    <row r="524" spans="1:14" s="52" customFormat="1" ht="12.2" customHeight="1" thickBot="1" x14ac:dyDescent="0.25">
      <c r="A524" s="22" t="s">
        <v>635</v>
      </c>
      <c r="B524" s="105">
        <v>21</v>
      </c>
      <c r="C524" s="115">
        <v>3</v>
      </c>
      <c r="D524" s="2" t="s">
        <v>432</v>
      </c>
      <c r="E524" s="115"/>
      <c r="F524" s="18">
        <f>243715.66-10619.12+120199</f>
        <v>353295.54000000004</v>
      </c>
      <c r="G524" s="18">
        <f>173734.86-822.96+35446.09</f>
        <v>208357.99</v>
      </c>
      <c r="H524" s="18">
        <f>1199555.89-5767.21+3527.48</f>
        <v>1197316.1599999999</v>
      </c>
      <c r="I524" s="18">
        <f>2744.84-132.84+7352.99</f>
        <v>9964.99</v>
      </c>
      <c r="J524" s="18">
        <v>581.61</v>
      </c>
      <c r="K524" s="18">
        <v>1766.51</v>
      </c>
      <c r="L524" s="88">
        <f>SUM(F524:K524)</f>
        <v>1771282.8</v>
      </c>
      <c r="N524" s="264"/>
    </row>
    <row r="525" spans="1:14" s="52" customFormat="1" ht="12.2" customHeight="1" thickTop="1" x14ac:dyDescent="0.2">
      <c r="A525" s="139" t="s">
        <v>63</v>
      </c>
      <c r="B525" s="107">
        <v>21</v>
      </c>
      <c r="C525" s="194">
        <v>4</v>
      </c>
      <c r="D525" s="195" t="s">
        <v>432</v>
      </c>
      <c r="E525" s="194"/>
      <c r="F525" s="108">
        <f>SUM(F522:F524)</f>
        <v>1458510.6</v>
      </c>
      <c r="G525" s="108">
        <f t="shared" ref="G525:L525" si="36">SUM(G522:G524)</f>
        <v>1083026.83</v>
      </c>
      <c r="H525" s="108">
        <f t="shared" si="36"/>
        <v>3224723.0700000003</v>
      </c>
      <c r="I525" s="108">
        <f t="shared" si="36"/>
        <v>34634.71</v>
      </c>
      <c r="J525" s="108">
        <f t="shared" si="36"/>
        <v>1981.37</v>
      </c>
      <c r="K525" s="108">
        <f t="shared" si="36"/>
        <v>6017.9400000000005</v>
      </c>
      <c r="L525" s="89">
        <f t="shared" si="36"/>
        <v>5808894.5199999996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23958.29</v>
      </c>
      <c r="G527" s="18">
        <v>13697.04</v>
      </c>
      <c r="H527" s="18">
        <v>20010.759999999998</v>
      </c>
      <c r="I527" s="18">
        <v>4305.26</v>
      </c>
      <c r="J527" s="18">
        <v>0</v>
      </c>
      <c r="K527" s="18">
        <v>0</v>
      </c>
      <c r="L527" s="88">
        <f>SUM(F527:K527)</f>
        <v>61971.35</v>
      </c>
      <c r="M527" s="8"/>
      <c r="N527" s="265"/>
    </row>
    <row r="528" spans="1:14" s="3" customFormat="1" ht="12.2" customHeight="1" x14ac:dyDescent="0.15">
      <c r="A528" s="22" t="s">
        <v>634</v>
      </c>
      <c r="B528" s="105">
        <v>21</v>
      </c>
      <c r="C528" s="115">
        <v>6</v>
      </c>
      <c r="D528" s="2" t="s">
        <v>432</v>
      </c>
      <c r="E528" s="115"/>
      <c r="F528" s="18">
        <v>24977.8</v>
      </c>
      <c r="G528" s="18">
        <v>14279.89</v>
      </c>
      <c r="H528" s="18">
        <v>20862.28</v>
      </c>
      <c r="I528" s="18">
        <v>4488.46</v>
      </c>
      <c r="J528" s="18">
        <v>0</v>
      </c>
      <c r="K528" s="18">
        <v>0</v>
      </c>
      <c r="L528" s="88">
        <f>SUM(F528:K528)</f>
        <v>64608.43</v>
      </c>
      <c r="M528" s="8"/>
      <c r="N528" s="265"/>
    </row>
    <row r="529" spans="1:14" s="3" customFormat="1" ht="12.2" customHeight="1" thickBot="1" x14ac:dyDescent="0.2">
      <c r="A529" s="22" t="s">
        <v>635</v>
      </c>
      <c r="B529" s="118">
        <v>21</v>
      </c>
      <c r="C529" s="118">
        <v>7</v>
      </c>
      <c r="D529" s="2" t="s">
        <v>432</v>
      </c>
      <c r="E529" s="118"/>
      <c r="F529" s="18">
        <v>20333.400000000001</v>
      </c>
      <c r="G529" s="18">
        <v>11624.67</v>
      </c>
      <c r="H529" s="18">
        <v>16983.12</v>
      </c>
      <c r="I529" s="18">
        <v>3653.87</v>
      </c>
      <c r="J529" s="18">
        <v>0</v>
      </c>
      <c r="K529" s="18">
        <v>0</v>
      </c>
      <c r="L529" s="88">
        <f>SUM(F529:K529)</f>
        <v>52595.060000000005</v>
      </c>
      <c r="M529" s="8"/>
      <c r="N529" s="265"/>
    </row>
    <row r="530" spans="1:14" s="3" customFormat="1" ht="12.2" customHeight="1" thickTop="1" x14ac:dyDescent="0.15">
      <c r="A530" s="139" t="s">
        <v>65</v>
      </c>
      <c r="B530" s="107">
        <v>21</v>
      </c>
      <c r="C530" s="107">
        <v>8</v>
      </c>
      <c r="D530" s="158" t="s">
        <v>432</v>
      </c>
      <c r="E530" s="107"/>
      <c r="F530" s="89">
        <f>SUM(F527:F529)</f>
        <v>69269.489999999991</v>
      </c>
      <c r="G530" s="89">
        <f t="shared" ref="G530:L530" si="37">SUM(G527:G529)</f>
        <v>39601.599999999999</v>
      </c>
      <c r="H530" s="89">
        <f t="shared" si="37"/>
        <v>57856.159999999989</v>
      </c>
      <c r="I530" s="89">
        <f t="shared" si="37"/>
        <v>12447.59</v>
      </c>
      <c r="J530" s="89">
        <f t="shared" si="37"/>
        <v>0</v>
      </c>
      <c r="K530" s="89">
        <f t="shared" si="37"/>
        <v>0</v>
      </c>
      <c r="L530" s="89">
        <f t="shared" si="37"/>
        <v>179174.84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102808.97</v>
      </c>
      <c r="G532" s="18">
        <v>51490.62</v>
      </c>
      <c r="H532" s="18">
        <v>361.18</v>
      </c>
      <c r="I532" s="18">
        <v>0</v>
      </c>
      <c r="J532" s="18">
        <v>0</v>
      </c>
      <c r="K532" s="18">
        <v>1439.04</v>
      </c>
      <c r="L532" s="88">
        <f>SUM(F532:K532)</f>
        <v>156099.81</v>
      </c>
      <c r="M532" s="8"/>
      <c r="N532" s="265"/>
    </row>
    <row r="533" spans="1:14" s="3" customFormat="1" ht="12.2" customHeight="1" x14ac:dyDescent="0.15">
      <c r="A533" s="22" t="s">
        <v>634</v>
      </c>
      <c r="B533" s="105">
        <v>21</v>
      </c>
      <c r="C533" s="105">
        <v>10</v>
      </c>
      <c r="D533" s="2" t="s">
        <v>432</v>
      </c>
      <c r="E533" s="105"/>
      <c r="F533" s="18">
        <v>107183.82</v>
      </c>
      <c r="G533" s="18">
        <v>53681.71</v>
      </c>
      <c r="H533" s="18">
        <v>376.55</v>
      </c>
      <c r="I533" s="18">
        <v>0</v>
      </c>
      <c r="J533" s="18">
        <v>0</v>
      </c>
      <c r="K533" s="18">
        <v>1500.28</v>
      </c>
      <c r="L533" s="88">
        <f>SUM(F533:K533)</f>
        <v>162742.35999999999</v>
      </c>
      <c r="M533" s="8"/>
      <c r="N533" s="265"/>
    </row>
    <row r="534" spans="1:14" s="3" customFormat="1" ht="12.2" customHeight="1" thickBot="1" x14ac:dyDescent="0.2">
      <c r="A534" s="22" t="s">
        <v>635</v>
      </c>
      <c r="B534" s="105">
        <v>21</v>
      </c>
      <c r="C534" s="105">
        <v>11</v>
      </c>
      <c r="D534" s="2" t="s">
        <v>432</v>
      </c>
      <c r="E534" s="105"/>
      <c r="F534" s="18">
        <v>87253.95</v>
      </c>
      <c r="G534" s="18">
        <v>43700.08</v>
      </c>
      <c r="H534" s="18">
        <v>306.52999999999997</v>
      </c>
      <c r="I534" s="18">
        <v>0</v>
      </c>
      <c r="J534" s="18">
        <v>0</v>
      </c>
      <c r="K534" s="18">
        <v>1221.31</v>
      </c>
      <c r="L534" s="88">
        <f>SUM(F534:K534)</f>
        <v>132481.87</v>
      </c>
      <c r="M534" s="8"/>
      <c r="N534" s="265"/>
    </row>
    <row r="535" spans="1:14" s="3" customFormat="1" ht="12.2" customHeight="1" thickTop="1" x14ac:dyDescent="0.15">
      <c r="A535" s="139" t="s">
        <v>67</v>
      </c>
      <c r="B535" s="107">
        <v>21</v>
      </c>
      <c r="C535" s="107">
        <v>12</v>
      </c>
      <c r="D535" s="158" t="s">
        <v>432</v>
      </c>
      <c r="E535" s="107"/>
      <c r="F535" s="89">
        <f>SUM(F532:F534)</f>
        <v>297246.74</v>
      </c>
      <c r="G535" s="89">
        <f t="shared" ref="G535:L535" si="38">SUM(G532:G534)</f>
        <v>148872.41</v>
      </c>
      <c r="H535" s="89">
        <f t="shared" si="38"/>
        <v>1044.26</v>
      </c>
      <c r="I535" s="89">
        <f t="shared" si="38"/>
        <v>0</v>
      </c>
      <c r="J535" s="89">
        <f t="shared" si="38"/>
        <v>0</v>
      </c>
      <c r="K535" s="89">
        <f t="shared" si="38"/>
        <v>4160.6299999999992</v>
      </c>
      <c r="L535" s="89">
        <f t="shared" si="38"/>
        <v>451324.04</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6795.34</v>
      </c>
      <c r="I537" s="18">
        <v>0</v>
      </c>
      <c r="J537" s="18">
        <v>0</v>
      </c>
      <c r="K537" s="18">
        <v>0</v>
      </c>
      <c r="L537" s="88">
        <f>SUM(F537:K537)</f>
        <v>6795.34</v>
      </c>
      <c r="M537" s="8"/>
      <c r="N537" s="265"/>
    </row>
    <row r="538" spans="1:14" s="3" customFormat="1" ht="12.2" customHeight="1" x14ac:dyDescent="0.15">
      <c r="A538" s="22" t="s">
        <v>634</v>
      </c>
      <c r="B538" s="105">
        <v>21</v>
      </c>
      <c r="C538" s="105">
        <v>14</v>
      </c>
      <c r="D538" s="2" t="s">
        <v>432</v>
      </c>
      <c r="E538" s="105"/>
      <c r="F538" s="18">
        <v>0</v>
      </c>
      <c r="G538" s="18">
        <v>0</v>
      </c>
      <c r="H538" s="18">
        <v>7084.51</v>
      </c>
      <c r="I538" s="18">
        <v>0</v>
      </c>
      <c r="J538" s="18">
        <v>0</v>
      </c>
      <c r="K538" s="18">
        <v>0</v>
      </c>
      <c r="L538" s="88">
        <f>SUM(F538:K538)</f>
        <v>7084.51</v>
      </c>
      <c r="M538" s="8"/>
      <c r="N538" s="265"/>
    </row>
    <row r="539" spans="1:14" s="3" customFormat="1" ht="12.2" customHeight="1" thickBot="1" x14ac:dyDescent="0.2">
      <c r="A539" s="22" t="s">
        <v>635</v>
      </c>
      <c r="B539" s="105">
        <v>21</v>
      </c>
      <c r="C539" s="105">
        <v>15</v>
      </c>
      <c r="D539" s="2" t="s">
        <v>432</v>
      </c>
      <c r="E539" s="105"/>
      <c r="F539" s="18">
        <v>0</v>
      </c>
      <c r="G539" s="18">
        <v>0</v>
      </c>
      <c r="H539" s="18">
        <v>5767.21</v>
      </c>
      <c r="I539" s="18">
        <v>0</v>
      </c>
      <c r="J539" s="18">
        <v>0</v>
      </c>
      <c r="K539" s="18">
        <v>0</v>
      </c>
      <c r="L539" s="88">
        <f>SUM(F539:K539)</f>
        <v>5767.21</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19647.060000000001</v>
      </c>
      <c r="I540" s="89">
        <f t="shared" si="39"/>
        <v>0</v>
      </c>
      <c r="J540" s="89">
        <f t="shared" si="39"/>
        <v>0</v>
      </c>
      <c r="K540" s="89">
        <f t="shared" si="39"/>
        <v>0</v>
      </c>
      <c r="L540" s="89">
        <f t="shared" si="39"/>
        <v>19647.060000000001</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209838.19</v>
      </c>
      <c r="I542" s="18">
        <v>0</v>
      </c>
      <c r="J542" s="18">
        <v>0</v>
      </c>
      <c r="K542" s="18">
        <v>0</v>
      </c>
      <c r="L542" s="88">
        <f>SUM(F542:K542)</f>
        <v>209838.19</v>
      </c>
      <c r="M542" s="8"/>
      <c r="N542" s="265"/>
    </row>
    <row r="543" spans="1:14" s="3" customFormat="1" ht="12.2" customHeight="1" x14ac:dyDescent="0.15">
      <c r="A543" s="22" t="s">
        <v>634</v>
      </c>
      <c r="B543" s="105">
        <v>21</v>
      </c>
      <c r="C543" s="105">
        <v>18</v>
      </c>
      <c r="D543" s="2" t="s">
        <v>432</v>
      </c>
      <c r="E543" s="105"/>
      <c r="F543" s="18">
        <v>0</v>
      </c>
      <c r="G543" s="18">
        <v>0</v>
      </c>
      <c r="H543" s="18">
        <v>218767.48</v>
      </c>
      <c r="I543" s="18">
        <v>0</v>
      </c>
      <c r="J543" s="18">
        <v>0</v>
      </c>
      <c r="K543" s="18">
        <v>0</v>
      </c>
      <c r="L543" s="88">
        <f>SUM(F543:K543)</f>
        <v>218767.48</v>
      </c>
      <c r="M543" s="8"/>
      <c r="N543" s="265"/>
    </row>
    <row r="544" spans="1:14" s="3" customFormat="1" ht="12.2" customHeight="1" thickBot="1" x14ac:dyDescent="0.2">
      <c r="A544" s="22" t="s">
        <v>635</v>
      </c>
      <c r="B544" s="105">
        <v>21</v>
      </c>
      <c r="C544" s="105">
        <v>19</v>
      </c>
      <c r="D544" s="2" t="s">
        <v>432</v>
      </c>
      <c r="E544" s="105"/>
      <c r="F544" s="18">
        <v>0</v>
      </c>
      <c r="G544" s="18">
        <v>0</v>
      </c>
      <c r="H544" s="18">
        <v>178089.63</v>
      </c>
      <c r="I544" s="18">
        <v>0</v>
      </c>
      <c r="J544" s="18">
        <v>0</v>
      </c>
      <c r="K544" s="18">
        <v>0</v>
      </c>
      <c r="L544" s="88">
        <f>SUM(F544:K544)</f>
        <v>178089.63</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606695.30000000005</v>
      </c>
      <c r="I545" s="192">
        <f t="shared" si="40"/>
        <v>0</v>
      </c>
      <c r="J545" s="192">
        <f t="shared" si="40"/>
        <v>0</v>
      </c>
      <c r="K545" s="192">
        <f t="shared" si="40"/>
        <v>0</v>
      </c>
      <c r="L545" s="192">
        <f t="shared" si="40"/>
        <v>606695.30000000005</v>
      </c>
      <c r="M545" s="8"/>
      <c r="N545" s="265"/>
    </row>
    <row r="546" spans="1:14" s="3" customFormat="1" ht="12.2" customHeight="1" thickTop="1" x14ac:dyDescent="0.15">
      <c r="A546" s="98" t="s">
        <v>72</v>
      </c>
      <c r="B546" s="107">
        <v>21</v>
      </c>
      <c r="C546" s="107">
        <v>21</v>
      </c>
      <c r="D546" s="158" t="s">
        <v>432</v>
      </c>
      <c r="E546" s="107"/>
      <c r="F546" s="89">
        <f>F525+F530+F535+F540+F545</f>
        <v>1825026.83</v>
      </c>
      <c r="G546" s="89">
        <f t="shared" ref="G546:L546" si="41">G525+G530+G535+G540+G545</f>
        <v>1271500.8400000001</v>
      </c>
      <c r="H546" s="89">
        <f t="shared" si="41"/>
        <v>3909965.8500000006</v>
      </c>
      <c r="I546" s="89">
        <f t="shared" si="41"/>
        <v>47082.3</v>
      </c>
      <c r="J546" s="89">
        <f t="shared" si="41"/>
        <v>1981.37</v>
      </c>
      <c r="K546" s="89">
        <f t="shared" si="41"/>
        <v>10178.57</v>
      </c>
      <c r="L546" s="89">
        <f t="shared" si="41"/>
        <v>7065735.7599999988</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1987568.55</v>
      </c>
      <c r="G550" s="87">
        <f>L527</f>
        <v>61971.35</v>
      </c>
      <c r="H550" s="87">
        <f>L532</f>
        <v>156099.81</v>
      </c>
      <c r="I550" s="87">
        <f>L537</f>
        <v>6795.34</v>
      </c>
      <c r="J550" s="87">
        <f>L542</f>
        <v>209838.19</v>
      </c>
      <c r="K550" s="87">
        <f>SUM(F550:J550)</f>
        <v>2422273.2399999998</v>
      </c>
      <c r="L550" s="24" t="s">
        <v>288</v>
      </c>
      <c r="M550" s="8"/>
      <c r="N550" s="265"/>
    </row>
    <row r="551" spans="1:14" s="3" customFormat="1" ht="12.2" customHeight="1" x14ac:dyDescent="0.15">
      <c r="A551" s="22" t="s">
        <v>634</v>
      </c>
      <c r="B551" s="75">
        <v>21</v>
      </c>
      <c r="C551" s="75">
        <v>23</v>
      </c>
      <c r="D551" s="2" t="s">
        <v>432</v>
      </c>
      <c r="E551" s="75"/>
      <c r="F551" s="87">
        <f>L523</f>
        <v>2050043.17</v>
      </c>
      <c r="G551" s="87">
        <f>L528</f>
        <v>64608.43</v>
      </c>
      <c r="H551" s="87">
        <f>L533</f>
        <v>162742.35999999999</v>
      </c>
      <c r="I551" s="87">
        <f>L538</f>
        <v>7084.51</v>
      </c>
      <c r="J551" s="87">
        <f>L543</f>
        <v>218767.48</v>
      </c>
      <c r="K551" s="87">
        <f>SUM(F551:J551)</f>
        <v>2503245.9499999997</v>
      </c>
      <c r="L551" s="24" t="s">
        <v>288</v>
      </c>
      <c r="M551" s="8"/>
      <c r="N551" s="265"/>
    </row>
    <row r="552" spans="1:14" s="3" customFormat="1" ht="12.2" customHeight="1" thickBot="1" x14ac:dyDescent="0.2">
      <c r="A552" s="22" t="s">
        <v>635</v>
      </c>
      <c r="B552" s="75">
        <v>21</v>
      </c>
      <c r="C552" s="75">
        <v>24</v>
      </c>
      <c r="D552" s="2" t="s">
        <v>432</v>
      </c>
      <c r="E552" s="75"/>
      <c r="F552" s="87">
        <f>L524</f>
        <v>1771282.8</v>
      </c>
      <c r="G552" s="87">
        <f>L529</f>
        <v>52595.060000000005</v>
      </c>
      <c r="H552" s="87">
        <f>L534</f>
        <v>132481.87</v>
      </c>
      <c r="I552" s="87">
        <f>L539</f>
        <v>5767.21</v>
      </c>
      <c r="J552" s="87">
        <f>L544</f>
        <v>178089.63</v>
      </c>
      <c r="K552" s="87">
        <f>SUM(F552:J552)</f>
        <v>2140216.5699999998</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5808894.5199999996</v>
      </c>
      <c r="G553" s="89">
        <f t="shared" si="42"/>
        <v>179174.84</v>
      </c>
      <c r="H553" s="89">
        <f t="shared" si="42"/>
        <v>451324.04</v>
      </c>
      <c r="I553" s="89">
        <f t="shared" si="42"/>
        <v>19647.060000000001</v>
      </c>
      <c r="J553" s="89">
        <f t="shared" si="42"/>
        <v>606695.30000000005</v>
      </c>
      <c r="K553" s="89">
        <f t="shared" si="42"/>
        <v>7065735.7599999998</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5"/>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5"/>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12512.22</v>
      </c>
      <c r="G563" s="18">
        <v>969.68</v>
      </c>
      <c r="H563" s="18">
        <v>0</v>
      </c>
      <c r="I563" s="18">
        <v>156.52000000000001</v>
      </c>
      <c r="J563" s="18">
        <v>0</v>
      </c>
      <c r="K563" s="18">
        <v>0</v>
      </c>
      <c r="L563" s="88">
        <f>SUM(F563:K563)</f>
        <v>13638.42</v>
      </c>
      <c r="M563" s="8"/>
      <c r="N563" s="265"/>
    </row>
    <row r="564" spans="1:14" s="3" customFormat="1" ht="12.2" customHeight="1" x14ac:dyDescent="0.15">
      <c r="A564" s="22" t="s">
        <v>634</v>
      </c>
      <c r="B564" s="105">
        <v>22</v>
      </c>
      <c r="C564" s="115">
        <v>6</v>
      </c>
      <c r="D564" s="2" t="s">
        <v>432</v>
      </c>
      <c r="E564" s="115"/>
      <c r="F564" s="18">
        <v>13044.66</v>
      </c>
      <c r="G564" s="18">
        <v>1010.94</v>
      </c>
      <c r="H564" s="18">
        <v>0</v>
      </c>
      <c r="I564" s="18">
        <v>163.18</v>
      </c>
      <c r="J564" s="18">
        <v>0</v>
      </c>
      <c r="K564" s="18">
        <v>0</v>
      </c>
      <c r="L564" s="88">
        <f>SUM(F564:K564)</f>
        <v>14218.78</v>
      </c>
      <c r="M564" s="8"/>
      <c r="N564" s="265"/>
    </row>
    <row r="565" spans="1:14" s="3" customFormat="1" ht="12.2" customHeight="1" thickBot="1" x14ac:dyDescent="0.2">
      <c r="A565" s="22" t="s">
        <v>635</v>
      </c>
      <c r="B565" s="105">
        <v>22</v>
      </c>
      <c r="C565" s="118">
        <v>7</v>
      </c>
      <c r="D565" s="2" t="s">
        <v>432</v>
      </c>
      <c r="E565" s="118"/>
      <c r="F565" s="18">
        <v>10619.12</v>
      </c>
      <c r="G565" s="18">
        <v>822.96</v>
      </c>
      <c r="H565" s="18">
        <v>0</v>
      </c>
      <c r="I565" s="18">
        <v>132.84</v>
      </c>
      <c r="J565" s="18">
        <v>0</v>
      </c>
      <c r="K565" s="18">
        <v>0</v>
      </c>
      <c r="L565" s="88">
        <f>SUM(F565:K565)</f>
        <v>11574.920000000002</v>
      </c>
      <c r="M565" s="8"/>
      <c r="N565" s="265"/>
    </row>
    <row r="566" spans="1:14" s="3" customFormat="1" ht="12.2" customHeight="1" thickTop="1" x14ac:dyDescent="0.15">
      <c r="A566" s="139" t="s">
        <v>65</v>
      </c>
      <c r="B566" s="107">
        <v>22</v>
      </c>
      <c r="C566" s="107">
        <v>8</v>
      </c>
      <c r="D566" s="195" t="s">
        <v>432</v>
      </c>
      <c r="E566" s="107"/>
      <c r="F566" s="89">
        <f t="shared" ref="F566:L566" si="44">SUM(F563:F565)</f>
        <v>36176</v>
      </c>
      <c r="G566" s="89">
        <f t="shared" si="44"/>
        <v>2803.58</v>
      </c>
      <c r="H566" s="89">
        <f t="shared" si="44"/>
        <v>0</v>
      </c>
      <c r="I566" s="89">
        <f t="shared" si="44"/>
        <v>452.54000000000008</v>
      </c>
      <c r="J566" s="89">
        <f t="shared" si="44"/>
        <v>0</v>
      </c>
      <c r="K566" s="89">
        <f t="shared" si="44"/>
        <v>0</v>
      </c>
      <c r="L566" s="89">
        <f t="shared" si="44"/>
        <v>39432.120000000003</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36176</v>
      </c>
      <c r="G572" s="89">
        <f t="shared" ref="G572:L572" si="46">G561+G566+G571</f>
        <v>2803.58</v>
      </c>
      <c r="H572" s="89">
        <f t="shared" si="46"/>
        <v>0</v>
      </c>
      <c r="I572" s="89">
        <f t="shared" si="46"/>
        <v>452.54000000000008</v>
      </c>
      <c r="J572" s="89">
        <f t="shared" si="46"/>
        <v>0</v>
      </c>
      <c r="K572" s="89">
        <f t="shared" si="46"/>
        <v>0</v>
      </c>
      <c r="L572" s="89">
        <f t="shared" si="46"/>
        <v>39432.120000000003</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0</v>
      </c>
      <c r="H576" s="18">
        <v>10039.83</v>
      </c>
      <c r="I576" s="87">
        <f>SUM(F576:H576)</f>
        <v>10039.83</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62500</v>
      </c>
      <c r="H579" s="18">
        <v>0</v>
      </c>
      <c r="I579" s="87">
        <f t="shared" si="47"/>
        <v>62500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f>16238.99</f>
        <v>16238.99</v>
      </c>
      <c r="G580" s="18">
        <v>26008.31</v>
      </c>
      <c r="H580" s="18">
        <v>23375.46</v>
      </c>
      <c r="I580" s="87">
        <f t="shared" si="47"/>
        <v>65622.760000000009</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f>9960.48+327096.33</f>
        <v>337056.81</v>
      </c>
      <c r="G583" s="18">
        <v>257721.98</v>
      </c>
      <c r="H583" s="18">
        <f>43872.32+569534.17</f>
        <v>613406.49</v>
      </c>
      <c r="I583" s="87">
        <f t="shared" si="47"/>
        <v>1208185.28</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0</v>
      </c>
      <c r="G584" s="18">
        <v>135216.84</v>
      </c>
      <c r="H584" s="18">
        <v>0</v>
      </c>
      <c r="I584" s="87">
        <f t="shared" si="47"/>
        <v>135216.84</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130499.37</v>
      </c>
      <c r="I585" s="87">
        <f t="shared" si="47"/>
        <v>130499.37</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181242.92</v>
      </c>
      <c r="I592" s="18">
        <v>188955.39</v>
      </c>
      <c r="J592" s="18">
        <f>153820.82-J594</f>
        <v>134221.46000000002</v>
      </c>
      <c r="K592" s="104">
        <f t="shared" ref="K592:K598" si="48">SUM(H592:J592)</f>
        <v>504419.77000000008</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209838.19</v>
      </c>
      <c r="I593" s="18">
        <v>218767.48</v>
      </c>
      <c r="J593" s="18">
        <v>178089.63</v>
      </c>
      <c r="K593" s="104">
        <f t="shared" si="48"/>
        <v>606695.30000000005</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19599.36</v>
      </c>
      <c r="K594" s="104">
        <f t="shared" si="48"/>
        <v>19599.36</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204.5</v>
      </c>
      <c r="J595" s="18">
        <v>17198.900000000001</v>
      </c>
      <c r="K595" s="104">
        <f t="shared" si="48"/>
        <v>17403.400000000001</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2516.52</v>
      </c>
      <c r="I596" s="18">
        <v>8841.01</v>
      </c>
      <c r="J596" s="18">
        <v>2046.93</v>
      </c>
      <c r="K596" s="104">
        <f t="shared" si="48"/>
        <v>13404.460000000001</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393597.63</v>
      </c>
      <c r="I599" s="108">
        <f>SUM(I592:I598)</f>
        <v>416768.38</v>
      </c>
      <c r="J599" s="108">
        <f>SUM(J592:J598)</f>
        <v>351156.28</v>
      </c>
      <c r="K599" s="108">
        <f>SUM(K592:K598)</f>
        <v>1161522.29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54359.05+30911.41</f>
        <v>85270.46</v>
      </c>
      <c r="I605" s="18">
        <f>61613.49+32216.11</f>
        <v>93829.6</v>
      </c>
      <c r="J605" s="18">
        <f>107137.52+26021.47</f>
        <v>133158.99</v>
      </c>
      <c r="K605" s="104">
        <f>SUM(H605:J605)</f>
        <v>312259.05</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85270.46</v>
      </c>
      <c r="I606" s="108">
        <f>SUM(I603:I605)</f>
        <v>93829.6</v>
      </c>
      <c r="J606" s="108">
        <f>SUM(J603:J605)</f>
        <v>133158.99</v>
      </c>
      <c r="K606" s="108">
        <f>SUM(K603:K605)</f>
        <v>312259.05</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0</v>
      </c>
      <c r="G612" s="18">
        <v>0</v>
      </c>
      <c r="H612" s="18">
        <v>0</v>
      </c>
      <c r="I612" s="18">
        <v>0</v>
      </c>
      <c r="J612" s="18">
        <v>0</v>
      </c>
      <c r="K612" s="18">
        <v>0</v>
      </c>
      <c r="L612" s="88">
        <f>SUM(F612:K612)</f>
        <v>0</v>
      </c>
      <c r="M612" s="8"/>
      <c r="N612" s="265"/>
    </row>
    <row r="613" spans="1:14" s="3" customFormat="1" ht="12.2" customHeight="1" x14ac:dyDescent="0.15">
      <c r="A613" s="22" t="s">
        <v>634</v>
      </c>
      <c r="B613" s="75">
        <v>23</v>
      </c>
      <c r="C613" s="75">
        <v>14</v>
      </c>
      <c r="D613" s="2" t="s">
        <v>432</v>
      </c>
      <c r="E613" s="75"/>
      <c r="F613" s="18">
        <v>12180</v>
      </c>
      <c r="G613" s="18">
        <f>931.77+1135.07</f>
        <v>2066.84</v>
      </c>
      <c r="H613" s="18">
        <v>2338.4899999999998</v>
      </c>
      <c r="I613" s="18">
        <v>0</v>
      </c>
      <c r="J613" s="18">
        <v>0</v>
      </c>
      <c r="K613" s="18">
        <v>0</v>
      </c>
      <c r="L613" s="88">
        <f>SUM(F613:K613)</f>
        <v>16585.330000000002</v>
      </c>
      <c r="M613" s="8"/>
      <c r="N613" s="265"/>
    </row>
    <row r="614" spans="1:14" s="3" customFormat="1" ht="12.2" customHeight="1" thickBot="1" x14ac:dyDescent="0.2">
      <c r="A614" s="22" t="s">
        <v>645</v>
      </c>
      <c r="B614" s="75">
        <v>23</v>
      </c>
      <c r="C614" s="75">
        <v>15</v>
      </c>
      <c r="D614" s="2" t="s">
        <v>432</v>
      </c>
      <c r="E614" s="75"/>
      <c r="F614" s="18">
        <v>23940</v>
      </c>
      <c r="G614" s="18">
        <f>1831.44+5032.2</f>
        <v>6863.6399999999994</v>
      </c>
      <c r="H614" s="18">
        <v>668.16</v>
      </c>
      <c r="I614" s="18">
        <v>0</v>
      </c>
      <c r="J614" s="18">
        <v>0</v>
      </c>
      <c r="K614" s="18">
        <v>0</v>
      </c>
      <c r="L614" s="88">
        <f>SUM(F614:K614)</f>
        <v>31471.8</v>
      </c>
      <c r="M614" s="8"/>
      <c r="N614" s="265"/>
    </row>
    <row r="615" spans="1:14" s="3" customFormat="1" ht="12.2" customHeight="1" thickTop="1" x14ac:dyDescent="0.15">
      <c r="A615" s="98" t="s">
        <v>340</v>
      </c>
      <c r="B615" s="107">
        <v>23</v>
      </c>
      <c r="C615" s="107">
        <v>16</v>
      </c>
      <c r="D615" s="39" t="s">
        <v>432</v>
      </c>
      <c r="E615" s="107"/>
      <c r="F615" s="108">
        <f t="shared" ref="F615:L615" si="49">SUM(F612:F614)</f>
        <v>36120</v>
      </c>
      <c r="G615" s="108">
        <f t="shared" si="49"/>
        <v>8930.48</v>
      </c>
      <c r="H615" s="108">
        <f t="shared" si="49"/>
        <v>3006.6499999999996</v>
      </c>
      <c r="I615" s="108">
        <f t="shared" si="49"/>
        <v>0</v>
      </c>
      <c r="J615" s="108">
        <f t="shared" si="49"/>
        <v>0</v>
      </c>
      <c r="K615" s="108">
        <f t="shared" si="49"/>
        <v>0</v>
      </c>
      <c r="L615" s="89">
        <f t="shared" si="49"/>
        <v>48057.130000000005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3235517.86</v>
      </c>
      <c r="H618" s="109">
        <f>SUM(F52)</f>
        <v>3235517.86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23569.45</v>
      </c>
      <c r="H619" s="109">
        <f>SUM(G52)</f>
        <v>23569.45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271007.40000000002</v>
      </c>
      <c r="H620" s="109">
        <f>SUM(H52)</f>
        <v>271007.40000000002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1556843.2</v>
      </c>
      <c r="H622" s="109">
        <f>SUM(J52)</f>
        <v>1556843.2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2335917.33</v>
      </c>
      <c r="H623" s="109">
        <f>F477</f>
        <v>2335917.3300000019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9103</v>
      </c>
      <c r="H624" s="109">
        <f>G477</f>
        <v>9103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1556843.2</v>
      </c>
      <c r="H627" s="109">
        <f>J477</f>
        <v>1556843.2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25347209.969999995</v>
      </c>
      <c r="H628" s="104">
        <f>SUM(F469)</f>
        <v>25347209.969999999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727968.4800000001</v>
      </c>
      <c r="H629" s="104">
        <f>SUM(G469)</f>
        <v>727968.48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1955349.8599999999</v>
      </c>
      <c r="H630" s="104">
        <f>SUM(H469)</f>
        <v>1955349.86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460003</v>
      </c>
      <c r="H632" s="104">
        <f>SUM(J469)</f>
        <v>460003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24294980.09</v>
      </c>
      <c r="H633" s="104">
        <f>SUM(F473)</f>
        <v>24294980.09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1955349.8599999999</v>
      </c>
      <c r="H634" s="104">
        <f>SUM(H473)</f>
        <v>1955349.86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251158.85</v>
      </c>
      <c r="H635" s="104">
        <f>I370</f>
        <v>251158.84999999998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718865.48</v>
      </c>
      <c r="H636" s="104">
        <f>SUM(G473)</f>
        <v>718865.48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460003</v>
      </c>
      <c r="H638" s="164">
        <f>SUM(J469)</f>
        <v>460003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359032.77</v>
      </c>
      <c r="H639" s="164">
        <f>SUM(J473)</f>
        <v>359032.77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1489405.65</v>
      </c>
      <c r="H640" s="104">
        <f>SUM(F462)</f>
        <v>1489405.65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67437.55</v>
      </c>
      <c r="H642" s="104">
        <f>SUM(H462)</f>
        <v>67437.55</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1556843.2</v>
      </c>
      <c r="H643" s="104">
        <f>SUM(I462)</f>
        <v>1556843.2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460003</v>
      </c>
      <c r="H646" s="104">
        <f>G409</f>
        <v>460003</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460003</v>
      </c>
      <c r="H647" s="104">
        <f>L409</f>
        <v>460003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1161522.29</v>
      </c>
      <c r="H648" s="104">
        <f>L209+L227+L245</f>
        <v>1161522.29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312259.05</v>
      </c>
      <c r="H649" s="104">
        <f>(J258+J339)-(J256+J337)</f>
        <v>312259.05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393597.63</v>
      </c>
      <c r="H650" s="104">
        <f>H599</f>
        <v>393597.63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416768.38</v>
      </c>
      <c r="H651" s="104">
        <f>I599</f>
        <v>416768.38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351156.28</v>
      </c>
      <c r="H652" s="104">
        <f>J599</f>
        <v>351156.28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8572.93</v>
      </c>
      <c r="H653" s="104">
        <f>K264+K346</f>
        <v>8572.93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460003</v>
      </c>
      <c r="H656" s="104">
        <f>K267+K348</f>
        <v>460003</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8431762.1899999995</v>
      </c>
      <c r="G661" s="19">
        <f>(L230+L310+L360)</f>
        <v>8799082.8999999985</v>
      </c>
      <c r="H661" s="19">
        <f>(L248+L329+L361)</f>
        <v>8096843.0800000001</v>
      </c>
      <c r="I661" s="19">
        <f>SUM(F661:H661)</f>
        <v>25327688.169999994</v>
      </c>
      <c r="J661" s="13"/>
      <c r="K661" s="13"/>
      <c r="L661" s="13"/>
      <c r="M661" s="9"/>
    </row>
    <row r="662" spans="1:13" s="3" customFormat="1" ht="12.2" customHeight="1" x14ac:dyDescent="0.2">
      <c r="A662" s="1" t="s">
        <v>127</v>
      </c>
      <c r="F662" s="19">
        <f>(L359/IF(SUM(L359:L361)=0,1,SUM(L359:L361))*(SUM(G97:G110)))</f>
        <v>20352.004217720114</v>
      </c>
      <c r="G662" s="19">
        <f>(L360/IF(SUM(L359:L361)=0,1,SUM(L359:L361))*(SUM(G97:G110)))</f>
        <v>22964.646051721935</v>
      </c>
      <c r="H662" s="19">
        <f>(L361/IF(SUM(L359:L361)=0,1,SUM(L359:L361))*(SUM(G97:G110)))</f>
        <v>18785.769730557931</v>
      </c>
      <c r="I662" s="19">
        <f>SUM(F662:H662)</f>
        <v>62102.419999999984</v>
      </c>
      <c r="J662"/>
      <c r="K662" s="13"/>
      <c r="L662" s="13"/>
      <c r="M662" s="8"/>
    </row>
    <row r="663" spans="1:13" s="3" customFormat="1" ht="12.2" customHeight="1" x14ac:dyDescent="0.2">
      <c r="A663" s="1" t="s">
        <v>128</v>
      </c>
      <c r="F663" s="19">
        <f>(L209+L288)-(J209+J288)</f>
        <v>393597.63</v>
      </c>
      <c r="G663" s="19">
        <f>(L227+L307)-(J227+J307)</f>
        <v>416768.38</v>
      </c>
      <c r="H663" s="19">
        <f>(L245+L326)-(J245+J326)</f>
        <v>351156.28</v>
      </c>
      <c r="I663" s="19">
        <f>SUM(F663:H663)</f>
        <v>1161522.29</v>
      </c>
      <c r="J663"/>
      <c r="K663" s="13"/>
      <c r="L663" s="13"/>
      <c r="M663" s="9"/>
    </row>
    <row r="664" spans="1:13" s="3" customFormat="1" ht="12.2" customHeight="1" x14ac:dyDescent="0.15">
      <c r="A664" s="197" t="s">
        <v>129</v>
      </c>
      <c r="B664" s="169"/>
      <c r="C664" s="169"/>
      <c r="D664" s="169"/>
      <c r="E664" s="169"/>
      <c r="F664" s="198">
        <f>SUM(F576:F588)+SUM(H603:H605)+SUM(L612)</f>
        <v>438566.26</v>
      </c>
      <c r="G664" s="198">
        <f>SUM(G576:G588)+SUM(I603:I605)+L613</f>
        <v>591862.05999999994</v>
      </c>
      <c r="H664" s="198">
        <f>SUM(H576:H588)+SUM(J603:J605)+L614</f>
        <v>941951.94000000006</v>
      </c>
      <c r="I664" s="19">
        <f>SUM(F664:H664)</f>
        <v>1972380.26</v>
      </c>
      <c r="J664" s="13"/>
      <c r="K664" s="13"/>
      <c r="L664" s="13"/>
      <c r="M664" s="9"/>
    </row>
    <row r="665" spans="1:13" s="3" customFormat="1" ht="12.2" customHeight="1" x14ac:dyDescent="0.15">
      <c r="A665" s="1" t="s">
        <v>130</v>
      </c>
      <c r="F665" s="19">
        <f>F661-SUM(F662:F664)</f>
        <v>7579246.2957822792</v>
      </c>
      <c r="G665" s="19">
        <f>G661-SUM(G662:G664)</f>
        <v>7767487.8139482765</v>
      </c>
      <c r="H665" s="19">
        <f>H661-SUM(H662:H664)</f>
        <v>6784949.0902694426</v>
      </c>
      <c r="I665" s="19">
        <f>I661-SUM(I662:I664)</f>
        <v>22131683.199999996</v>
      </c>
      <c r="J665" s="13"/>
      <c r="K665" s="13"/>
      <c r="L665" s="13"/>
      <c r="M665" s="8"/>
    </row>
    <row r="666" spans="1:13" s="3" customFormat="1" ht="12.2" customHeight="1" x14ac:dyDescent="0.2">
      <c r="A666" s="1" t="s">
        <v>131</v>
      </c>
      <c r="F666" s="245">
        <v>396.04</v>
      </c>
      <c r="G666" s="246">
        <v>432.95</v>
      </c>
      <c r="H666" s="246">
        <v>348.22</v>
      </c>
      <c r="I666" s="19">
        <f>SUM(F666:H666)</f>
        <v>1177.21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19137.580000000002</v>
      </c>
      <c r="G668" s="19">
        <f>ROUND(G665/G666,2)</f>
        <v>17940.84</v>
      </c>
      <c r="H668" s="19">
        <f>ROUND(H665/H666,2)</f>
        <v>19484.66</v>
      </c>
      <c r="I668" s="19">
        <f>ROUND(I665/I666,2)</f>
        <v>18800.11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-12.11</v>
      </c>
      <c r="I671" s="19">
        <f>SUM(F671:H671)</f>
        <v>-12.11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19137.580000000002</v>
      </c>
      <c r="G673" s="19">
        <f>ROUND((G665+G670)/(G666+G671),2)</f>
        <v>17940.84</v>
      </c>
      <c r="H673" s="19">
        <f>ROUND((H665+H670)/(H666+H671),2)</f>
        <v>20186.689999999999</v>
      </c>
      <c r="I673" s="19">
        <f>ROUND((I665+I670)/(I666+I671),2)</f>
        <v>18995.52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235961.06</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8996.2+20654.89+4230</f>
        <v>33881.089999999997</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12207.04</v>
      </c>
      <c r="F13" s="349" t="s">
        <v>1646</v>
      </c>
    </row>
    <row r="14" spans="2:8" x14ac:dyDescent="0.25">
      <c r="B14" s="348"/>
      <c r="C14" s="348"/>
      <c r="D14" s="349"/>
      <c r="E14" s="348"/>
      <c r="F14" s="348"/>
    </row>
    <row r="15" spans="2:8" x14ac:dyDescent="0.25">
      <c r="B15" s="348"/>
      <c r="C15" s="349" t="s">
        <v>1640</v>
      </c>
      <c r="D15" s="349" t="s">
        <v>1653</v>
      </c>
      <c r="E15" s="336">
        <v>189872.93</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Raymond</v>
      </c>
      <c r="C5" s="375"/>
      <c r="D5" s="375"/>
      <c r="E5" s="375"/>
      <c r="F5" s="375"/>
    </row>
    <row r="8" spans="1:9" ht="18" x14ac:dyDescent="0.25">
      <c r="A8" s="312" t="s">
        <v>1568</v>
      </c>
      <c r="F8" s="319" t="s">
        <v>1586</v>
      </c>
    </row>
    <row r="9" spans="1:9" ht="15" x14ac:dyDescent="0.2">
      <c r="A9" s="310" t="s">
        <v>1569</v>
      </c>
      <c r="B9" s="313">
        <f>'DOE25'!G97</f>
        <v>62102.419999999976</v>
      </c>
      <c r="F9" s="310" t="s">
        <v>1582</v>
      </c>
    </row>
    <row r="10" spans="1:9" ht="15" x14ac:dyDescent="0.2">
      <c r="A10" s="310" t="s">
        <v>1570</v>
      </c>
      <c r="B10" s="313">
        <f>'DOE25'!G112-'DOE25'!G97</f>
        <v>0</v>
      </c>
      <c r="F10" s="310" t="s">
        <v>1583</v>
      </c>
    </row>
    <row r="11" spans="1:9" ht="15" x14ac:dyDescent="0.2">
      <c r="A11" s="310" t="s">
        <v>1571</v>
      </c>
      <c r="B11" s="313">
        <f>'DOE25'!G140</f>
        <v>5988.07</v>
      </c>
      <c r="F11" s="310" t="s">
        <v>1584</v>
      </c>
    </row>
    <row r="12" spans="1:9" ht="15" x14ac:dyDescent="0.2">
      <c r="A12" s="310" t="s">
        <v>1572</v>
      </c>
      <c r="B12" s="313">
        <f>'DOE25'!G170</f>
        <v>651305.06000000006</v>
      </c>
      <c r="F12" s="310" t="s">
        <v>1585</v>
      </c>
    </row>
    <row r="13" spans="1:9" ht="15" x14ac:dyDescent="0.2">
      <c r="A13" s="310" t="s">
        <v>1573</v>
      </c>
      <c r="B13" s="313">
        <f>'DOE25'!G193-'DOE25'!G180</f>
        <v>0</v>
      </c>
      <c r="F13" s="310" t="s">
        <v>1595</v>
      </c>
    </row>
    <row r="14" spans="1:9" ht="18" x14ac:dyDescent="0.25">
      <c r="A14" s="312" t="s">
        <v>732</v>
      </c>
      <c r="B14" s="314">
        <f>SUM(B9:B13)</f>
        <v>719395.55</v>
      </c>
    </row>
    <row r="16" spans="1:9" ht="18" x14ac:dyDescent="0.25">
      <c r="A16" s="312" t="s">
        <v>786</v>
      </c>
      <c r="F16" s="319" t="s">
        <v>1587</v>
      </c>
    </row>
    <row r="17" spans="1:6" ht="15" x14ac:dyDescent="0.2">
      <c r="A17" s="310" t="s">
        <v>1574</v>
      </c>
      <c r="B17" s="313">
        <f>'DOE25'!L363-'DOE25'!L362</f>
        <v>718865.48</v>
      </c>
      <c r="F17" s="310" t="s">
        <v>1588</v>
      </c>
    </row>
    <row r="18" spans="1:6" ht="15" x14ac:dyDescent="0.2">
      <c r="A18" s="310" t="s">
        <v>1575</v>
      </c>
      <c r="B18" s="323">
        <v>0</v>
      </c>
      <c r="F18" s="319" t="s">
        <v>1612</v>
      </c>
    </row>
    <row r="19" spans="1:6" ht="18" x14ac:dyDescent="0.25">
      <c r="A19" s="312" t="s">
        <v>725</v>
      </c>
      <c r="B19" s="314">
        <f>SUM(B17:B18)</f>
        <v>718865.48</v>
      </c>
    </row>
    <row r="21" spans="1:6" ht="18.75" thickBot="1" x14ac:dyDescent="0.3">
      <c r="A21" s="312" t="s">
        <v>1576</v>
      </c>
    </row>
    <row r="22" spans="1:6" ht="18.75" thickTop="1" x14ac:dyDescent="0.25">
      <c r="A22" s="312" t="s">
        <v>1577</v>
      </c>
      <c r="B22" s="318">
        <f>B14-B19</f>
        <v>530.07000000006519</v>
      </c>
      <c r="F22" s="310" t="s">
        <v>1589</v>
      </c>
    </row>
    <row r="26" spans="1:6" ht="18" x14ac:dyDescent="0.25">
      <c r="A26" s="312" t="s">
        <v>186</v>
      </c>
    </row>
    <row r="27" spans="1:6" ht="15" x14ac:dyDescent="0.2">
      <c r="A27" s="310" t="s">
        <v>1578</v>
      </c>
      <c r="B27" s="313">
        <f>'DOE25'!G180</f>
        <v>8572.93</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9103</v>
      </c>
      <c r="F33" s="310" t="s">
        <v>1593</v>
      </c>
    </row>
    <row r="36" spans="1:6" ht="15" x14ac:dyDescent="0.2">
      <c r="A36" s="310" t="s">
        <v>1579</v>
      </c>
      <c r="B36" s="324">
        <v>2105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Raymond</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5632208.6099999994</v>
      </c>
      <c r="C9" s="228">
        <f>'DOE25'!G198+'DOE25'!G216+'DOE25'!G234+'DOE25'!G277+'DOE25'!G296+'DOE25'!G315</f>
        <v>2993555.74</v>
      </c>
    </row>
    <row r="10" spans="1:3" x14ac:dyDescent="0.2">
      <c r="A10" t="s">
        <v>775</v>
      </c>
      <c r="B10" s="239">
        <v>5161454.22</v>
      </c>
      <c r="C10" s="239">
        <v>2955353.25</v>
      </c>
    </row>
    <row r="11" spans="1:3" x14ac:dyDescent="0.2">
      <c r="A11" t="s">
        <v>776</v>
      </c>
      <c r="B11" s="239">
        <v>46764.93</v>
      </c>
      <c r="C11" s="239">
        <v>11303.22</v>
      </c>
    </row>
    <row r="12" spans="1:3" x14ac:dyDescent="0.2">
      <c r="A12" t="s">
        <v>777</v>
      </c>
      <c r="B12" s="239">
        <v>423989.46</v>
      </c>
      <c r="C12" s="239">
        <v>26899.27</v>
      </c>
    </row>
    <row r="13" spans="1:3" x14ac:dyDescent="0.2">
      <c r="A13" t="str">
        <f>IF(B9=B13,IF(C9=C13,"Check Total OK","Check Total Error"),"Check Total Error")</f>
        <v>Check Total OK</v>
      </c>
      <c r="B13" s="230">
        <f>SUM(B10:B12)</f>
        <v>5632208.6099999994</v>
      </c>
      <c r="C13" s="230">
        <f>SUM(C10:C12)</f>
        <v>2993555.74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1494686.5999999999</v>
      </c>
      <c r="C18" s="228">
        <f>'DOE25'!G199+'DOE25'!G217+'DOE25'!G235+'DOE25'!G278+'DOE25'!G297+'DOE25'!G316</f>
        <v>1085830.4100000001</v>
      </c>
    </row>
    <row r="19" spans="1:3" x14ac:dyDescent="0.2">
      <c r="A19" t="s">
        <v>775</v>
      </c>
      <c r="B19" s="239">
        <v>809671.85</v>
      </c>
      <c r="C19" s="239">
        <v>365277.79</v>
      </c>
    </row>
    <row r="20" spans="1:3" x14ac:dyDescent="0.2">
      <c r="A20" t="s">
        <v>776</v>
      </c>
      <c r="B20" s="239">
        <v>685014.75</v>
      </c>
      <c r="C20" s="239">
        <f>720552.57+0.05</f>
        <v>720552.62</v>
      </c>
    </row>
    <row r="21" spans="1:3" x14ac:dyDescent="0.2">
      <c r="A21" t="s">
        <v>777</v>
      </c>
      <c r="B21" s="239">
        <v>0</v>
      </c>
      <c r="C21" s="239">
        <v>0</v>
      </c>
    </row>
    <row r="22" spans="1:3" x14ac:dyDescent="0.2">
      <c r="A22" t="str">
        <f>IF(B18=B22,IF(C18=C22,"Check Total OK","Check Total Error"),"Check Total Error")</f>
        <v>Check Total OK</v>
      </c>
      <c r="B22" s="230">
        <f>SUM(B19:B21)</f>
        <v>1494686.6</v>
      </c>
      <c r="C22" s="230">
        <f>SUM(C19:C21)</f>
        <v>1085830.4099999999</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359306.61</v>
      </c>
      <c r="C36" s="234">
        <f>'DOE25'!G201+'DOE25'!G219+'DOE25'!G237+'DOE25'!G280+'DOE25'!G299+'DOE25'!G318</f>
        <v>77534.570000000007</v>
      </c>
    </row>
    <row r="37" spans="1:3" x14ac:dyDescent="0.2">
      <c r="A37" t="s">
        <v>775</v>
      </c>
      <c r="B37" s="239">
        <v>166300.35</v>
      </c>
      <c r="C37" s="239">
        <v>39754.94</v>
      </c>
    </row>
    <row r="38" spans="1:3" x14ac:dyDescent="0.2">
      <c r="A38" t="s">
        <v>776</v>
      </c>
      <c r="B38" s="239">
        <v>13300</v>
      </c>
      <c r="C38" s="239">
        <v>12666</v>
      </c>
    </row>
    <row r="39" spans="1:3" x14ac:dyDescent="0.2">
      <c r="A39" t="s">
        <v>777</v>
      </c>
      <c r="B39" s="239">
        <v>179706.26</v>
      </c>
      <c r="C39" s="239">
        <v>25113.63</v>
      </c>
    </row>
    <row r="40" spans="1:3" x14ac:dyDescent="0.2">
      <c r="A40" t="str">
        <f>IF(B36=B40,IF(C36=C40,"Check Total OK","Check Total Error"),"Check Total Error")</f>
        <v>Check Total OK</v>
      </c>
      <c r="B40" s="230">
        <f>SUM(B37:B39)</f>
        <v>359306.61</v>
      </c>
      <c r="C40" s="230">
        <f>SUM(C37:C39)</f>
        <v>77534.570000000007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Raymond</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14487863.169999998</v>
      </c>
      <c r="D5" s="20">
        <f>SUM('DOE25'!L198:L201)+SUM('DOE25'!L216:L219)+SUM('DOE25'!L234:L237)-F5-G5-H5</f>
        <v>14411844.739999998</v>
      </c>
      <c r="E5" s="242"/>
      <c r="F5" s="243">
        <v>0</v>
      </c>
      <c r="G5" s="53">
        <f>SUM('DOE25'!J198:J201)+SUM('DOE25'!J216:J219)+SUM('DOE25'!J234:J237)</f>
        <v>62212.490000000005</v>
      </c>
      <c r="H5" s="53">
        <f>SUM('DOE25'!K198:K201)+SUM('DOE25'!K216:K219)+SUM('DOE25'!K234:K237)</f>
        <v>13805.94</v>
      </c>
      <c r="I5" s="255"/>
    </row>
    <row r="6" spans="1:9" x14ac:dyDescent="0.2">
      <c r="A6" s="32">
        <v>2100</v>
      </c>
      <c r="B6" t="s">
        <v>796</v>
      </c>
      <c r="C6" s="274">
        <f t="shared" si="0"/>
        <v>1284345.73</v>
      </c>
      <c r="D6" s="20">
        <f>'DOE25'!L203+'DOE25'!L221+'DOE25'!L239-F6-G6-H6</f>
        <v>1221439.57</v>
      </c>
      <c r="E6" s="242"/>
      <c r="F6" s="243">
        <f>30000+32856.16</f>
        <v>62856.160000000003</v>
      </c>
      <c r="G6" s="53">
        <f>'DOE25'!J203+'DOE25'!J221+'DOE25'!J239</f>
        <v>0</v>
      </c>
      <c r="H6" s="53">
        <f>'DOE25'!K203+'DOE25'!K221+'DOE25'!K239</f>
        <v>50</v>
      </c>
      <c r="I6" s="255"/>
    </row>
    <row r="7" spans="1:9" x14ac:dyDescent="0.2">
      <c r="A7" s="32">
        <v>2200</v>
      </c>
      <c r="B7" t="s">
        <v>821</v>
      </c>
      <c r="C7" s="274">
        <f t="shared" si="0"/>
        <v>876750.75999999989</v>
      </c>
      <c r="D7" s="20">
        <f>'DOE25'!L204+'DOE25'!L222+'DOE25'!L240-F7-G7-H7</f>
        <v>738645.02999999991</v>
      </c>
      <c r="E7" s="242"/>
      <c r="F7" s="243">
        <v>0</v>
      </c>
      <c r="G7" s="53">
        <f>'DOE25'!J204+'DOE25'!J222+'DOE25'!J240</f>
        <v>138105.72999999998</v>
      </c>
      <c r="H7" s="53">
        <f>'DOE25'!K204+'DOE25'!K222+'DOE25'!K240</f>
        <v>0</v>
      </c>
      <c r="I7" s="255"/>
    </row>
    <row r="8" spans="1:9" x14ac:dyDescent="0.2">
      <c r="A8" s="32">
        <v>2300</v>
      </c>
      <c r="B8" t="s">
        <v>797</v>
      </c>
      <c r="C8" s="274">
        <f t="shared" si="0"/>
        <v>785168.79</v>
      </c>
      <c r="D8" s="242"/>
      <c r="E8" s="20">
        <f>'DOE25'!L205+'DOE25'!L223+'DOE25'!L241-F8-G8-H8-D9-D11</f>
        <v>745871.78</v>
      </c>
      <c r="F8" s="243">
        <v>0</v>
      </c>
      <c r="G8" s="53">
        <f>'DOE25'!J205+'DOE25'!J223+'DOE25'!J241</f>
        <v>419.98</v>
      </c>
      <c r="H8" s="53">
        <f>'DOE25'!K205+'DOE25'!K223+'DOE25'!K241</f>
        <v>38877.03</v>
      </c>
      <c r="I8" s="255"/>
    </row>
    <row r="9" spans="1:9" ht="14.25" x14ac:dyDescent="0.2">
      <c r="A9" s="32">
        <v>2310</v>
      </c>
      <c r="B9" s="184" t="s">
        <v>888</v>
      </c>
      <c r="C9" s="274">
        <f t="shared" si="0"/>
        <v>46884.38</v>
      </c>
      <c r="D9" s="243">
        <v>46884.38</v>
      </c>
      <c r="E9" s="242"/>
      <c r="F9" s="252"/>
      <c r="G9" s="252"/>
      <c r="H9" s="252"/>
      <c r="I9" s="255"/>
    </row>
    <row r="10" spans="1:9" ht="14.25" x14ac:dyDescent="0.2">
      <c r="A10" s="32">
        <v>2317</v>
      </c>
      <c r="B10" s="184" t="s">
        <v>889</v>
      </c>
      <c r="C10" s="274">
        <f t="shared" si="0"/>
        <v>16271</v>
      </c>
      <c r="D10" s="242"/>
      <c r="E10" s="243">
        <v>16271</v>
      </c>
      <c r="F10" s="252"/>
      <c r="G10" s="252"/>
      <c r="H10" s="252"/>
      <c r="I10" s="255"/>
    </row>
    <row r="11" spans="1:9" ht="14.25" x14ac:dyDescent="0.2">
      <c r="A11" s="32">
        <v>2321</v>
      </c>
      <c r="B11" s="184" t="s">
        <v>890</v>
      </c>
      <c r="C11" s="274">
        <f t="shared" si="0"/>
        <v>345419.54</v>
      </c>
      <c r="D11" s="243">
        <v>345419.54</v>
      </c>
      <c r="E11" s="242"/>
      <c r="F11" s="252"/>
      <c r="G11" s="252"/>
      <c r="H11" s="252"/>
      <c r="I11" s="255"/>
    </row>
    <row r="12" spans="1:9" x14ac:dyDescent="0.2">
      <c r="A12" s="32">
        <v>2400</v>
      </c>
      <c r="B12" t="s">
        <v>711</v>
      </c>
      <c r="C12" s="274">
        <f t="shared" si="0"/>
        <v>1460132.68</v>
      </c>
      <c r="D12" s="20">
        <f>'DOE25'!L206+'DOE25'!L224+'DOE25'!L242-F12-G12-H12</f>
        <v>1437568.91</v>
      </c>
      <c r="E12" s="242"/>
      <c r="F12" s="243">
        <f>37758.77-25000</f>
        <v>12758.769999999997</v>
      </c>
      <c r="G12" s="53">
        <f>'DOE25'!J206+'DOE25'!J224+'DOE25'!J242</f>
        <v>1635</v>
      </c>
      <c r="H12" s="53">
        <f>'DOE25'!K206+'DOE25'!K224+'DOE25'!K242</f>
        <v>8170</v>
      </c>
      <c r="I12" s="255"/>
    </row>
    <row r="13" spans="1:9" x14ac:dyDescent="0.2">
      <c r="A13" s="32">
        <v>2500</v>
      </c>
      <c r="B13" t="s">
        <v>798</v>
      </c>
      <c r="C13" s="274">
        <f t="shared" si="0"/>
        <v>315408.08</v>
      </c>
      <c r="D13" s="242"/>
      <c r="E13" s="20">
        <f>'DOE25'!L207+'DOE25'!L225+'DOE25'!L243-F13-G13-H13</f>
        <v>314958.09000000003</v>
      </c>
      <c r="F13" s="243">
        <v>0</v>
      </c>
      <c r="G13" s="53">
        <f>'DOE25'!J207+'DOE25'!J225+'DOE25'!J243</f>
        <v>0</v>
      </c>
      <c r="H13" s="53">
        <f>'DOE25'!K207+'DOE25'!K225+'DOE25'!K243</f>
        <v>449.99</v>
      </c>
      <c r="I13" s="255"/>
    </row>
    <row r="14" spans="1:9" x14ac:dyDescent="0.2">
      <c r="A14" s="32">
        <v>2600</v>
      </c>
      <c r="B14" t="s">
        <v>819</v>
      </c>
      <c r="C14" s="274">
        <f t="shared" si="0"/>
        <v>1901605.9200000002</v>
      </c>
      <c r="D14" s="20">
        <f>'DOE25'!L208+'DOE25'!L226+'DOE25'!L244-F14-G14-H14</f>
        <v>1880869.06</v>
      </c>
      <c r="E14" s="242"/>
      <c r="F14" s="243">
        <v>0</v>
      </c>
      <c r="G14" s="53">
        <f>'DOE25'!J208+'DOE25'!J226+'DOE25'!J244</f>
        <v>20736.86</v>
      </c>
      <c r="H14" s="53">
        <f>'DOE25'!K208+'DOE25'!K226+'DOE25'!K244</f>
        <v>0</v>
      </c>
      <c r="I14" s="255"/>
    </row>
    <row r="15" spans="1:9" x14ac:dyDescent="0.2">
      <c r="A15" s="32">
        <v>2700</v>
      </c>
      <c r="B15" t="s">
        <v>799</v>
      </c>
      <c r="C15" s="274">
        <f t="shared" si="0"/>
        <v>1161522.29</v>
      </c>
      <c r="D15" s="20">
        <f>'DOE25'!L209+'DOE25'!L227+'DOE25'!L245-F15-G15-H15</f>
        <v>80807.85999999987</v>
      </c>
      <c r="E15" s="242"/>
      <c r="F15" s="243">
        <f>524019.13-25000+606695.3-25000</f>
        <v>1080714.4300000002</v>
      </c>
      <c r="G15" s="53">
        <f>'DOE25'!J209+'DOE25'!J227+'DOE25'!J245</f>
        <v>0</v>
      </c>
      <c r="H15" s="53">
        <f>'DOE25'!K209+'DOE25'!K227+'DOE25'!K245</f>
        <v>0</v>
      </c>
      <c r="I15" s="255"/>
    </row>
    <row r="16" spans="1:9" x14ac:dyDescent="0.2">
      <c r="A16" s="32">
        <v>2800</v>
      </c>
      <c r="B16" t="s">
        <v>800</v>
      </c>
      <c r="C16" s="274">
        <f t="shared" si="0"/>
        <v>6692.8</v>
      </c>
      <c r="D16" s="242"/>
      <c r="E16" s="20">
        <f>'DOE25'!L210+'DOE25'!L228+'DOE25'!L246-F16-G16-H16</f>
        <v>6692.8</v>
      </c>
      <c r="F16" s="243">
        <v>0</v>
      </c>
      <c r="G16" s="53">
        <f>'DOE25'!J210+'DOE25'!J228+'DOE25'!J246</f>
        <v>0</v>
      </c>
      <c r="H16" s="53">
        <f>'DOE25'!K210+'DOE25'!K228+'DOE25'!K246</f>
        <v>0</v>
      </c>
      <c r="I16" s="255"/>
    </row>
    <row r="17" spans="1:9" x14ac:dyDescent="0.2">
      <c r="A17" s="32">
        <v>1600</v>
      </c>
      <c r="B17" t="s">
        <v>801</v>
      </c>
      <c r="C17" s="274">
        <f t="shared" si="0"/>
        <v>6660</v>
      </c>
      <c r="D17" s="20">
        <f>'DOE25'!L252-F17-G17-H17</f>
        <v>6660</v>
      </c>
      <c r="E17" s="242"/>
      <c r="F17" s="243">
        <v>0</v>
      </c>
      <c r="G17" s="53">
        <f>'DOE25'!J252</f>
        <v>0</v>
      </c>
      <c r="H17" s="53">
        <f>'DOE25'!K252</f>
        <v>0</v>
      </c>
      <c r="I17" s="255"/>
    </row>
    <row r="18" spans="1:9" x14ac:dyDescent="0.2">
      <c r="A18" s="32">
        <v>1700</v>
      </c>
      <c r="B18" t="s">
        <v>802</v>
      </c>
      <c r="C18" s="274">
        <f t="shared" si="0"/>
        <v>0</v>
      </c>
      <c r="D18" s="20">
        <f>'DOE25'!L253-F18-G18-H18</f>
        <v>0</v>
      </c>
      <c r="E18" s="242"/>
      <c r="F18" s="243">
        <v>0</v>
      </c>
      <c r="G18" s="53">
        <f>'DOE25'!J253</f>
        <v>0</v>
      </c>
      <c r="H18" s="53">
        <f>'DOE25'!K253</f>
        <v>0</v>
      </c>
      <c r="I18" s="255"/>
    </row>
    <row r="19" spans="1:9" x14ac:dyDescent="0.2">
      <c r="A19" s="32">
        <v>1800</v>
      </c>
      <c r="B19" t="s">
        <v>803</v>
      </c>
      <c r="C19" s="274">
        <f t="shared" si="0"/>
        <v>26373.27</v>
      </c>
      <c r="D19" s="20">
        <f>'DOE25'!L254-F19-G19-H19</f>
        <v>26373.27</v>
      </c>
      <c r="E19" s="242"/>
      <c r="F19" s="243">
        <v>0</v>
      </c>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1082761.25</v>
      </c>
      <c r="D25" s="242"/>
      <c r="E25" s="242"/>
      <c r="F25" s="254"/>
      <c r="G25" s="252"/>
      <c r="H25" s="252"/>
      <c r="I25" s="253">
        <f>'DOE25'!L261+'DOE25'!L262+'DOE25'!L342+'DOE25'!L343</f>
        <v>1082761.25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499774.62</v>
      </c>
      <c r="D29" s="282">
        <f>'DOE25'!L359+'DOE25'!L360+'DOE25'!L361-'DOE25'!I368-F29-G29-H29</f>
        <v>491488.71</v>
      </c>
      <c r="E29" s="242"/>
      <c r="F29" s="243">
        <v>0</v>
      </c>
      <c r="G29" s="53">
        <f>'DOE25'!J359+'DOE25'!J360+'DOE25'!J361</f>
        <v>7087.91</v>
      </c>
      <c r="H29" s="53">
        <f>'DOE25'!K359+'DOE25'!K360+'DOE25'!K361</f>
        <v>1198</v>
      </c>
      <c r="I29" s="255"/>
    </row>
    <row r="30" spans="1:9" x14ac:dyDescent="0.2">
      <c r="A30" s="32"/>
      <c r="C30" s="275"/>
      <c r="D30" s="20"/>
      <c r="E30" s="279"/>
      <c r="F30" s="269"/>
      <c r="G30" s="53"/>
      <c r="H30" s="53"/>
      <c r="I30" s="255"/>
    </row>
    <row r="31" spans="1:9" x14ac:dyDescent="0.2">
      <c r="A31" s="32" t="s">
        <v>818</v>
      </c>
      <c r="B31" t="s">
        <v>817</v>
      </c>
      <c r="C31" s="274">
        <f>SUM(D31:I31)</f>
        <v>1937028.5499999998</v>
      </c>
      <c r="D31" s="20">
        <f>'DOE25'!L291+'DOE25'!L310+'DOE25'!L329+'DOE25'!L334+'DOE25'!L335+'DOE25'!L336-F31-G31-H31</f>
        <v>1799388.8099999998</v>
      </c>
      <c r="E31" s="242"/>
      <c r="F31" s="243">
        <f>30600-25000+49725-25000+9218.25+8376.75+1644.75+6426-25000+42500-25000</f>
        <v>48490.75</v>
      </c>
      <c r="G31" s="53">
        <f>'DOE25'!J291+'DOE25'!J310+'DOE25'!J329+'DOE25'!J334+'DOE25'!J335+'DOE25'!J336</f>
        <v>89148.99</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22487389.879999995</v>
      </c>
      <c r="E33" s="244">
        <f t="shared" si="1"/>
        <v>1083793.6700000002</v>
      </c>
      <c r="F33" s="244">
        <f t="shared" si="1"/>
        <v>1204820.1100000001</v>
      </c>
      <c r="G33" s="244">
        <f t="shared" si="1"/>
        <v>319346.96000000002</v>
      </c>
      <c r="H33" s="244">
        <f t="shared" si="1"/>
        <v>62550.96</v>
      </c>
      <c r="I33" s="244">
        <f t="shared" si="1"/>
        <v>1082761.25</v>
      </c>
    </row>
    <row r="35" spans="1:9" ht="12" thickBot="1" x14ac:dyDescent="0.25">
      <c r="B35" s="250" t="s">
        <v>831</v>
      </c>
      <c r="D35" s="251">
        <f>E33</f>
        <v>1083793.6700000002</v>
      </c>
      <c r="E35" s="247"/>
      <c r="F35" s="328" t="s">
        <v>1617</v>
      </c>
      <c r="G35" s="329"/>
      <c r="H35" s="329"/>
      <c r="I35" s="329"/>
    </row>
    <row r="36" spans="1:9" ht="12" thickTop="1" x14ac:dyDescent="0.2">
      <c r="B36" t="s">
        <v>810</v>
      </c>
      <c r="D36" s="20">
        <f>D33</f>
        <v>22487389.879999995</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Raymond</v>
      </c>
      <c r="B2" s="126">
        <f>'DOE25'!B2</f>
        <v>453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8196177.919999999</v>
      </c>
      <c r="G4" s="299">
        <f>'DOE25'!L212+'DOE25'!L291</f>
        <v>8196177.9199999999</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f>39164.49+337056.81</f>
        <v>376221.3</v>
      </c>
      <c r="E5" s="290">
        <v>0</v>
      </c>
      <c r="F5" s="303">
        <f>D5+E5</f>
        <v>376221.3</v>
      </c>
      <c r="G5" s="293"/>
      <c r="H5" s="293"/>
      <c r="I5" s="384"/>
      <c r="N5"/>
    </row>
    <row r="6" spans="1:18" x14ac:dyDescent="0.2">
      <c r="A6" s="126" t="str">
        <f t="array" ref="A6">IFERROR(INDEX('School Tables'!$A$4:$G$325,'School Tables'!$J4,3),"")</f>
        <v>Lamprey River Elementary School</v>
      </c>
      <c r="B6" s="300">
        <f>IFERROR(VLOOKUP(A6,'School Tables'!$C$3:$D$365,2,FALSE),"")</f>
        <v>21385</v>
      </c>
      <c r="C6" s="293" t="str">
        <f>IFERROR(INDEX('School Tables'!$B$3:$B$365,MATCH('School Level Expenditures'!B6,'School Tables'!$D$3:$D$365,0)),"")</f>
        <v>Raymond</v>
      </c>
      <c r="D6" s="290">
        <v>7040806.6799999997</v>
      </c>
      <c r="E6" s="290">
        <v>779149.94</v>
      </c>
      <c r="F6" s="303">
        <f t="shared" ref="F6:F20" si="0">D6+E6</f>
        <v>7819956.6199999992</v>
      </c>
      <c r="G6" s="293"/>
      <c r="H6" s="293"/>
      <c r="I6" s="384"/>
      <c r="N6"/>
    </row>
    <row r="7" spans="1:18" x14ac:dyDescent="0.2">
      <c r="A7" s="126" t="str">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7417027.9799999995</v>
      </c>
      <c r="E21" s="338">
        <f>SUM(E5:E20)</f>
        <v>779149.94</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8533256.040000001</v>
      </c>
      <c r="G24" s="299">
        <f>'DOE25'!L230+'DOE25'!L310</f>
        <v>8533256.0399999991</v>
      </c>
      <c r="H24" s="340">
        <f>F24-G24</f>
        <v>0</v>
      </c>
      <c r="I24" s="383" t="str">
        <f>IF(H24=0,"","ISSUES!! Please review page 8 and 12 totals in comparison with total on this page")</f>
        <v/>
      </c>
      <c r="N24"/>
    </row>
    <row r="25" spans="1:14" x14ac:dyDescent="0.2">
      <c r="A25" s="126" t="s">
        <v>1548</v>
      </c>
      <c r="B25" s="300">
        <v>99999</v>
      </c>
      <c r="C25" s="293" t="s">
        <v>1548</v>
      </c>
      <c r="D25" s="290">
        <f>26008.31+455438.82</f>
        <v>481447.13</v>
      </c>
      <c r="E25" s="290">
        <v>0</v>
      </c>
      <c r="F25" s="303">
        <f>D25+E25</f>
        <v>481447.13</v>
      </c>
      <c r="G25" s="293"/>
      <c r="H25" s="293"/>
      <c r="I25" s="384"/>
      <c r="N25"/>
    </row>
    <row r="26" spans="1:14" x14ac:dyDescent="0.2">
      <c r="A26" s="126" t="str">
        <f t="array" ref="A26">IFERROR(INDEX('School Tables'!$L$4:$R$75,'School Tables'!$U4,3),"")</f>
        <v>Iber Holmes Gove Middle School</v>
      </c>
      <c r="B26" s="300">
        <f>IFERROR(VLOOKUP(A26,'School Tables'!$N$4:$O$75,2,FALSE),"")</f>
        <v>26525</v>
      </c>
      <c r="C26" s="293" t="str">
        <f>IFERROR(INDEX('School Tables'!$M$4:$M$75,MATCH('School Level Expenditures'!A26,'School Tables'!$N$4:$N$75,0)),"")</f>
        <v>Raymond</v>
      </c>
      <c r="D26" s="290">
        <v>7489897.9100000001</v>
      </c>
      <c r="E26" s="290">
        <v>561911</v>
      </c>
      <c r="F26" s="303">
        <f t="shared" ref="F26:F32" si="1">D26+E26</f>
        <v>8051808.9100000001</v>
      </c>
      <c r="G26" s="293"/>
      <c r="H26" s="293"/>
      <c r="I26" s="384"/>
      <c r="N26"/>
    </row>
    <row r="27" spans="1:14" x14ac:dyDescent="0.2">
      <c r="A27" s="126" t="str">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7971345.04</v>
      </c>
      <c r="E33" s="338">
        <f>SUM(E25:E32)</f>
        <v>561911</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7879388.7300000004</v>
      </c>
      <c r="G36" s="299">
        <f>'DOE25'!L248+'DOE25'!L329</f>
        <v>7879388.7300000004</v>
      </c>
      <c r="H36" s="340">
        <f>F36-G36</f>
        <v>0</v>
      </c>
      <c r="I36" s="383" t="str">
        <f>IF(H36=0,"","ISSUES!! Please review page 9 and 13 totals in comparison with total on this page")</f>
        <v/>
      </c>
      <c r="N36"/>
    </row>
    <row r="37" spans="1:14" x14ac:dyDescent="0.2">
      <c r="A37" s="126" t="s">
        <v>1548</v>
      </c>
      <c r="B37" s="300">
        <v>99999</v>
      </c>
      <c r="C37" s="293" t="s">
        <v>1548</v>
      </c>
      <c r="D37" s="290">
        <f>23375.46+629296.49</f>
        <v>652671.94999999995</v>
      </c>
      <c r="E37" s="290"/>
      <c r="F37" s="303">
        <f t="shared" ref="F37:F42" si="2">D37+E37</f>
        <v>652671.94999999995</v>
      </c>
      <c r="G37" s="293"/>
      <c r="H37" s="293"/>
      <c r="I37" s="384"/>
      <c r="N37"/>
    </row>
    <row r="38" spans="1:14" x14ac:dyDescent="0.2">
      <c r="A38" s="126" t="str">
        <f t="array" ref="A38">IFERROR(INDEX('School Tables'!$W$4:$AC$100,'School Tables'!$AF4,3),"")</f>
        <v>Raymond High School</v>
      </c>
      <c r="B38" s="300">
        <f>IFERROR(VLOOKUP(A38,'School Tables'!$Y$4:$Z$100,2,FALSE),"")</f>
        <v>21390</v>
      </c>
      <c r="C38" s="293" t="str">
        <f>IFERROR(INDEX('School Tables'!$X$4:$X$100,MATCH('School Level Expenditures'!A38,'School Tables'!$Y$4:$Y$100,0)),"")</f>
        <v>Raymond</v>
      </c>
      <c r="D38" s="290">
        <v>6630749.1699999999</v>
      </c>
      <c r="E38" s="290">
        <v>595967.61</v>
      </c>
      <c r="F38" s="303">
        <f t="shared" si="2"/>
        <v>7226716.7800000003</v>
      </c>
      <c r="G38" s="293"/>
      <c r="H38" s="293"/>
      <c r="I38" s="384"/>
      <c r="N38"/>
    </row>
    <row r="39" spans="1:14" x14ac:dyDescent="0.2">
      <c r="A39" s="126" t="str">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7283421.1200000001</v>
      </c>
      <c r="E43" s="339">
        <f>SUM(E37:E42)</f>
        <v>595967.61</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G35" sqref="G3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Raymond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2560395.42</v>
      </c>
      <c r="D8" s="95">
        <f>'DOE25'!G9</f>
        <v>23569.45</v>
      </c>
      <c r="E8" s="95">
        <f>'DOE25'!H9</f>
        <v>0</v>
      </c>
      <c r="F8" s="95">
        <f>'DOE25'!I9</f>
        <v>0</v>
      </c>
      <c r="G8" s="95">
        <f>'DOE25'!J9</f>
        <v>0</v>
      </c>
      <c r="H8" s="124">
        <f>SUM(C8:G8)</f>
        <v>2583964.87</v>
      </c>
      <c r="I8" s="124"/>
    </row>
    <row r="9" spans="1:9" x14ac:dyDescent="0.2">
      <c r="A9" s="1" t="s">
        <v>140</v>
      </c>
      <c r="B9" s="6">
        <v>110</v>
      </c>
      <c r="C9" s="95">
        <f>'DOE25'!F10</f>
        <v>0</v>
      </c>
      <c r="D9" s="95">
        <f>'DOE25'!G10</f>
        <v>0</v>
      </c>
      <c r="E9" s="95">
        <f>'DOE25'!H10</f>
        <v>0</v>
      </c>
      <c r="F9" s="95">
        <f>'DOE25'!I10</f>
        <v>0</v>
      </c>
      <c r="G9" s="95">
        <f>'DOE25'!J10</f>
        <v>1556843.2</v>
      </c>
      <c r="H9" s="124">
        <f t="shared" ref="H9:H18" si="0">SUM(C9:G9)</f>
        <v>1556843.2</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270557.69</v>
      </c>
      <c r="D11" s="95">
        <f>'DOE25'!G12</f>
        <v>0</v>
      </c>
      <c r="E11" s="95">
        <f>'DOE25'!H12</f>
        <v>0</v>
      </c>
      <c r="F11" s="95">
        <f>'DOE25'!I12</f>
        <v>0</v>
      </c>
      <c r="G11" s="95">
        <f>'DOE25'!J12</f>
        <v>0</v>
      </c>
      <c r="H11" s="124">
        <f t="shared" si="0"/>
        <v>270557.69</v>
      </c>
      <c r="I11" s="124"/>
    </row>
    <row r="12" spans="1:9" x14ac:dyDescent="0.2">
      <c r="A12" s="1" t="s">
        <v>143</v>
      </c>
      <c r="B12" s="6">
        <v>140</v>
      </c>
      <c r="C12" s="95">
        <f>'DOE25'!F13</f>
        <v>321796.64</v>
      </c>
      <c r="D12" s="95">
        <f>'DOE25'!G13</f>
        <v>0</v>
      </c>
      <c r="E12" s="95">
        <f>'DOE25'!H13</f>
        <v>271007.40000000002</v>
      </c>
      <c r="F12" s="95">
        <f>'DOE25'!I13</f>
        <v>0</v>
      </c>
      <c r="G12" s="95">
        <f>'DOE25'!J13</f>
        <v>0</v>
      </c>
      <c r="H12" s="124">
        <f t="shared" si="0"/>
        <v>592804.04</v>
      </c>
      <c r="I12" s="124"/>
    </row>
    <row r="13" spans="1:9" x14ac:dyDescent="0.2">
      <c r="A13" s="1" t="s">
        <v>144</v>
      </c>
      <c r="B13" s="6">
        <v>150</v>
      </c>
      <c r="C13" s="95">
        <f>'DOE25'!F14</f>
        <v>32268.11</v>
      </c>
      <c r="D13" s="95">
        <f>'DOE25'!G14</f>
        <v>0</v>
      </c>
      <c r="E13" s="95">
        <f>'DOE25'!H14</f>
        <v>0</v>
      </c>
      <c r="F13" s="95">
        <f>'DOE25'!I14</f>
        <v>0</v>
      </c>
      <c r="G13" s="95">
        <f>'DOE25'!J14</f>
        <v>0</v>
      </c>
      <c r="H13" s="124">
        <f t="shared" si="0"/>
        <v>32268.11</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50500</v>
      </c>
      <c r="D16" s="95">
        <f>'DOE25'!G17</f>
        <v>0</v>
      </c>
      <c r="E16" s="95">
        <f>'DOE25'!H17</f>
        <v>0</v>
      </c>
      <c r="F16" s="95">
        <f>'DOE25'!I17</f>
        <v>0</v>
      </c>
      <c r="G16" s="95">
        <f>'DOE25'!J17</f>
        <v>0</v>
      </c>
      <c r="H16" s="124">
        <f t="shared" si="0"/>
        <v>50500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3235517.86</v>
      </c>
      <c r="D18" s="41">
        <f>SUM(D8:D17)</f>
        <v>23569.45</v>
      </c>
      <c r="E18" s="41">
        <f>SUM(E8:E17)</f>
        <v>271007.40000000002</v>
      </c>
      <c r="F18" s="41">
        <f>SUM(F8:F17)</f>
        <v>0</v>
      </c>
      <c r="G18" s="41">
        <f>SUM(G8:G17)</f>
        <v>1556843.2</v>
      </c>
      <c r="H18" s="41">
        <f t="shared" si="0"/>
        <v>5086937.91</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270557.69</v>
      </c>
      <c r="F21" s="95">
        <f>'DOE25'!I22</f>
        <v>0</v>
      </c>
      <c r="G21" s="95">
        <f>'DOE25'!J22</f>
        <v>0</v>
      </c>
      <c r="H21" s="124">
        <f t="shared" ref="H21:H31" si="1">SUM(C21:G21)</f>
        <v>270557.69</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450284.33</v>
      </c>
      <c r="D23" s="95">
        <f>'DOE25'!G24</f>
        <v>0</v>
      </c>
      <c r="E23" s="95">
        <f>'DOE25'!H24</f>
        <v>0</v>
      </c>
      <c r="F23" s="95">
        <f>'DOE25'!I24</f>
        <v>0</v>
      </c>
      <c r="G23" s="95">
        <f>'DOE25'!J24</f>
        <v>0</v>
      </c>
      <c r="H23" s="124">
        <f t="shared" si="1"/>
        <v>450284.33</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43649.42</v>
      </c>
      <c r="D27" s="95">
        <f>'DOE25'!G28</f>
        <v>3270.3</v>
      </c>
      <c r="E27" s="95">
        <f>'DOE25'!H28</f>
        <v>449.71</v>
      </c>
      <c r="F27" s="95">
        <f>'DOE25'!I28</f>
        <v>0</v>
      </c>
      <c r="G27" s="24" t="s">
        <v>288</v>
      </c>
      <c r="H27" s="124">
        <f t="shared" si="1"/>
        <v>47369.43</v>
      </c>
      <c r="I27" s="124"/>
    </row>
    <row r="28" spans="1:9" x14ac:dyDescent="0.2">
      <c r="A28" s="1" t="s">
        <v>157</v>
      </c>
      <c r="B28" s="6">
        <v>470</v>
      </c>
      <c r="C28" s="95">
        <f>'DOE25'!F29</f>
        <v>405666.77999999991</v>
      </c>
      <c r="D28" s="95">
        <f>'DOE25'!G29</f>
        <v>0</v>
      </c>
      <c r="E28" s="95">
        <f>'DOE25'!H29</f>
        <v>0</v>
      </c>
      <c r="F28" s="95">
        <f>'DOE25'!I29</f>
        <v>0</v>
      </c>
      <c r="G28" s="24" t="s">
        <v>288</v>
      </c>
      <c r="H28" s="124">
        <f t="shared" si="1"/>
        <v>405666.77999999991</v>
      </c>
      <c r="I28" s="124"/>
    </row>
    <row r="29" spans="1:9" x14ac:dyDescent="0.2">
      <c r="A29" s="1" t="s">
        <v>158</v>
      </c>
      <c r="B29" s="6">
        <v>480</v>
      </c>
      <c r="C29" s="95">
        <f>'DOE25'!F30</f>
        <v>0</v>
      </c>
      <c r="D29" s="95">
        <f>'DOE25'!G30</f>
        <v>11196.15</v>
      </c>
      <c r="E29" s="95">
        <f>'DOE25'!H30</f>
        <v>0</v>
      </c>
      <c r="F29" s="95">
        <f>'DOE25'!I30</f>
        <v>0</v>
      </c>
      <c r="G29" s="24" t="s">
        <v>288</v>
      </c>
      <c r="H29" s="124">
        <f t="shared" si="1"/>
        <v>11196.15</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899600.52999999991</v>
      </c>
      <c r="D31" s="41">
        <f>SUM(D21:D30)</f>
        <v>14466.45</v>
      </c>
      <c r="E31" s="41">
        <f>SUM(E21:E30)</f>
        <v>271007.40000000002</v>
      </c>
      <c r="F31" s="41">
        <f>SUM(F21:F30)</f>
        <v>0</v>
      </c>
      <c r="G31" s="41">
        <f>SUM(G21:G30)</f>
        <v>0</v>
      </c>
      <c r="H31" s="41">
        <f t="shared" si="1"/>
        <v>1185074.3799999999</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400000</v>
      </c>
      <c r="D43" s="95">
        <f>'DOE25'!G44</f>
        <v>0</v>
      </c>
      <c r="E43" s="95">
        <f>'DOE25'!H44</f>
        <v>0</v>
      </c>
      <c r="F43" s="95">
        <f>'DOE25'!I44</f>
        <v>0</v>
      </c>
      <c r="G43" s="24" t="s">
        <v>288</v>
      </c>
      <c r="H43" s="124">
        <f t="shared" si="2"/>
        <v>400000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458135</v>
      </c>
      <c r="D45" s="24" t="s">
        <v>288</v>
      </c>
      <c r="E45" s="24" t="s">
        <v>288</v>
      </c>
      <c r="F45" s="24" t="s">
        <v>288</v>
      </c>
      <c r="G45" s="24" t="s">
        <v>288</v>
      </c>
      <c r="H45" s="124">
        <f t="shared" si="2"/>
        <v>458135</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1556843.2</v>
      </c>
      <c r="H47" s="124">
        <f t="shared" si="2"/>
        <v>1556843.2</v>
      </c>
      <c r="I47" s="124"/>
    </row>
    <row r="48" spans="1:9" x14ac:dyDescent="0.2">
      <c r="A48" s="1" t="s">
        <v>882</v>
      </c>
      <c r="B48" s="6">
        <v>753</v>
      </c>
      <c r="C48" s="95">
        <f>'DOE25'!F49</f>
        <v>116916.85</v>
      </c>
      <c r="D48" s="95">
        <f>'DOE25'!G49</f>
        <v>9103</v>
      </c>
      <c r="E48" s="95">
        <f>'DOE25'!H49</f>
        <v>0</v>
      </c>
      <c r="F48" s="95">
        <f>'DOE25'!I49</f>
        <v>0</v>
      </c>
      <c r="G48" s="95">
        <f>'DOE25'!J49</f>
        <v>0</v>
      </c>
      <c r="H48" s="124">
        <f t="shared" si="2"/>
        <v>126019.85</v>
      </c>
      <c r="I48" s="124"/>
    </row>
    <row r="49" spans="1:9" ht="12" thickBot="1" x14ac:dyDescent="0.25">
      <c r="A49" s="29" t="s">
        <v>883</v>
      </c>
      <c r="B49" s="71">
        <v>770</v>
      </c>
      <c r="C49" s="95">
        <f>'DOE25'!F50</f>
        <v>1360865.48</v>
      </c>
      <c r="D49" s="24" t="s">
        <v>288</v>
      </c>
      <c r="E49" s="24" t="s">
        <v>288</v>
      </c>
      <c r="F49" s="24" t="s">
        <v>288</v>
      </c>
      <c r="G49" s="24" t="s">
        <v>288</v>
      </c>
      <c r="H49" s="124">
        <f t="shared" si="2"/>
        <v>1360865.48</v>
      </c>
      <c r="I49" s="124"/>
    </row>
    <row r="50" spans="1:9" ht="12.75" thickTop="1" thickBot="1" x14ac:dyDescent="0.25">
      <c r="A50" s="38" t="s">
        <v>884</v>
      </c>
      <c r="B50" s="48"/>
      <c r="C50" s="41">
        <f>SUM(C34:C49)</f>
        <v>2335917.33</v>
      </c>
      <c r="D50" s="41">
        <f>SUM(D34:D49)</f>
        <v>9103</v>
      </c>
      <c r="E50" s="41">
        <f>SUM(E34:E49)</f>
        <v>0</v>
      </c>
      <c r="F50" s="41">
        <f>SUM(F34:F49)</f>
        <v>0</v>
      </c>
      <c r="G50" s="41">
        <f>SUM(G34:G49)</f>
        <v>1556843.2</v>
      </c>
      <c r="H50" s="41">
        <f t="shared" si="2"/>
        <v>3901863.5300000003</v>
      </c>
      <c r="I50" s="124"/>
    </row>
    <row r="51" spans="1:9" ht="12" thickTop="1" x14ac:dyDescent="0.2">
      <c r="A51" s="38" t="s">
        <v>885</v>
      </c>
      <c r="B51" s="2"/>
      <c r="C51" s="41">
        <f>C50+C31</f>
        <v>3235517.86</v>
      </c>
      <c r="D51" s="41">
        <f>D50+D31</f>
        <v>23569.45</v>
      </c>
      <c r="E51" s="41">
        <f>E50+E31</f>
        <v>271007.40000000002</v>
      </c>
      <c r="F51" s="41">
        <f>F50+F31</f>
        <v>0</v>
      </c>
      <c r="G51" s="41">
        <f>G50+G31</f>
        <v>1556843.2</v>
      </c>
      <c r="H51" s="41">
        <f t="shared" si="2"/>
        <v>5086937.91</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16195175</v>
      </c>
      <c r="D56" s="95">
        <f>'DOE25'!G60</f>
        <v>0</v>
      </c>
      <c r="E56" s="95">
        <f>'DOE25'!H60</f>
        <v>0</v>
      </c>
      <c r="F56" s="95">
        <f>'DOE25'!I60</f>
        <v>0</v>
      </c>
      <c r="G56" s="95">
        <f>'DOE25'!J60</f>
        <v>0</v>
      </c>
      <c r="H56" s="124">
        <f t="shared" ref="H56:H63" si="3">SUM(C56:G56)</f>
        <v>16195175</v>
      </c>
      <c r="I56"/>
    </row>
    <row r="57" spans="1:9" x14ac:dyDescent="0.2">
      <c r="A57" s="1" t="s">
        <v>164</v>
      </c>
      <c r="B57" s="6" t="s">
        <v>165</v>
      </c>
      <c r="C57" s="95">
        <f>'DOE25'!F79</f>
        <v>69874.16</v>
      </c>
      <c r="D57" s="24" t="s">
        <v>288</v>
      </c>
      <c r="E57" s="95">
        <f>'DOE25'!H79</f>
        <v>0</v>
      </c>
      <c r="F57" s="24" t="s">
        <v>288</v>
      </c>
      <c r="G57" s="24" t="s">
        <v>288</v>
      </c>
      <c r="H57" s="124">
        <f t="shared" si="3"/>
        <v>69874.16</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216.51</v>
      </c>
      <c r="D59" s="95">
        <f>'DOE25'!G96</f>
        <v>0</v>
      </c>
      <c r="E59" s="95">
        <f>'DOE25'!H96</f>
        <v>0</v>
      </c>
      <c r="F59" s="95">
        <f>'DOE25'!I96</f>
        <v>0</v>
      </c>
      <c r="G59" s="95">
        <f>'DOE25'!J96</f>
        <v>0</v>
      </c>
      <c r="H59" s="124">
        <f t="shared" si="3"/>
        <v>216.51</v>
      </c>
      <c r="I59"/>
    </row>
    <row r="60" spans="1:9" x14ac:dyDescent="0.2">
      <c r="A60" s="1" t="s">
        <v>170</v>
      </c>
      <c r="B60" s="118" t="s">
        <v>171</v>
      </c>
      <c r="C60" s="24" t="s">
        <v>288</v>
      </c>
      <c r="D60" s="95">
        <f>'DOE25'!G97</f>
        <v>62102.419999999976</v>
      </c>
      <c r="E60" s="24" t="s">
        <v>288</v>
      </c>
      <c r="F60" s="24" t="s">
        <v>288</v>
      </c>
      <c r="G60" s="24" t="s">
        <v>288</v>
      </c>
      <c r="H60" s="124">
        <f t="shared" si="3"/>
        <v>62102.419999999976</v>
      </c>
      <c r="I60"/>
    </row>
    <row r="61" spans="1:9" ht="12" thickBot="1" x14ac:dyDescent="0.25">
      <c r="A61" s="1" t="s">
        <v>172</v>
      </c>
      <c r="B61" s="118" t="s">
        <v>173</v>
      </c>
      <c r="C61" s="95">
        <f>SUM('DOE25'!F98:F110)</f>
        <v>580448.57000000007</v>
      </c>
      <c r="D61" s="95">
        <f>SUM('DOE25'!G98:G110)</f>
        <v>0</v>
      </c>
      <c r="E61" s="95">
        <f>SUM('DOE25'!H98:H110)</f>
        <v>0</v>
      </c>
      <c r="F61" s="95">
        <f>SUM('DOE25'!I98:I110)</f>
        <v>0</v>
      </c>
      <c r="G61" s="95">
        <f>SUM('DOE25'!J98:J110)</f>
        <v>0</v>
      </c>
      <c r="H61" s="124">
        <f t="shared" si="3"/>
        <v>580448.57000000007</v>
      </c>
      <c r="I61"/>
    </row>
    <row r="62" spans="1:9" ht="12.75" thickTop="1" thickBot="1" x14ac:dyDescent="0.25">
      <c r="A62" s="29" t="s">
        <v>174</v>
      </c>
      <c r="B62" s="6"/>
      <c r="C62" s="130">
        <f>SUM(C57:C61)</f>
        <v>650539.24000000011</v>
      </c>
      <c r="D62" s="130">
        <f>SUM(D57:D61)</f>
        <v>62102.419999999976</v>
      </c>
      <c r="E62" s="130">
        <f>SUM(E57:E61)</f>
        <v>0</v>
      </c>
      <c r="F62" s="130">
        <f>SUM(F57:F61)</f>
        <v>0</v>
      </c>
      <c r="G62" s="130">
        <f>SUM(G57:G61)</f>
        <v>0</v>
      </c>
      <c r="H62" s="124">
        <f t="shared" si="3"/>
        <v>712641.66</v>
      </c>
      <c r="I62"/>
    </row>
    <row r="63" spans="1:9" ht="12" thickTop="1" x14ac:dyDescent="0.2">
      <c r="A63" s="29" t="s">
        <v>175</v>
      </c>
      <c r="B63" s="6"/>
      <c r="C63" s="22">
        <f>C56+C62</f>
        <v>16845714.239999998</v>
      </c>
      <c r="D63" s="22">
        <f>D56+D62</f>
        <v>62102.419999999976</v>
      </c>
      <c r="E63" s="22">
        <f>E56+E62</f>
        <v>0</v>
      </c>
      <c r="F63" s="22">
        <f>F56+F62</f>
        <v>0</v>
      </c>
      <c r="G63" s="22">
        <f>G56+G62</f>
        <v>0</v>
      </c>
      <c r="H63" s="124">
        <f t="shared" si="3"/>
        <v>16907816.66</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5359639.0999999996</v>
      </c>
      <c r="D66" s="24" t="s">
        <v>288</v>
      </c>
      <c r="E66" s="24" t="s">
        <v>288</v>
      </c>
      <c r="F66" s="24" t="s">
        <v>288</v>
      </c>
      <c r="G66" s="24" t="s">
        <v>288</v>
      </c>
      <c r="H66" s="124">
        <f t="shared" ref="H66:H81" si="4">SUM(C66:G66)</f>
        <v>5359639.0999999996</v>
      </c>
      <c r="I66"/>
    </row>
    <row r="67" spans="1:9" x14ac:dyDescent="0.2">
      <c r="A67" s="1" t="s">
        <v>770</v>
      </c>
      <c r="B67" s="6">
        <v>3112</v>
      </c>
      <c r="C67" s="95">
        <f>'DOE25'!F118</f>
        <v>2130251</v>
      </c>
      <c r="D67" s="24"/>
      <c r="E67" s="24"/>
      <c r="F67" s="24"/>
      <c r="G67" s="24"/>
      <c r="H67" s="124">
        <f t="shared" si="4"/>
        <v>2130251</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7980.84</v>
      </c>
      <c r="D69" s="95">
        <f>'DOE25'!G120</f>
        <v>0</v>
      </c>
      <c r="E69" s="95">
        <f>'DOE25'!H120</f>
        <v>0</v>
      </c>
      <c r="F69" s="95">
        <f>'DOE25'!I120</f>
        <v>0</v>
      </c>
      <c r="G69" s="95">
        <f>'DOE25'!J120</f>
        <v>0</v>
      </c>
      <c r="H69" s="124">
        <f t="shared" si="4"/>
        <v>7980.84</v>
      </c>
      <c r="I69"/>
    </row>
    <row r="70" spans="1:9" ht="12" thickTop="1" x14ac:dyDescent="0.2">
      <c r="A70" s="29" t="s">
        <v>252</v>
      </c>
      <c r="B70" s="2"/>
      <c r="C70" s="139">
        <f>SUM(C66:C69)</f>
        <v>7497870.9399999995</v>
      </c>
      <c r="D70" s="139">
        <f>D69</f>
        <v>0</v>
      </c>
      <c r="E70" s="139">
        <f>E69</f>
        <v>0</v>
      </c>
      <c r="F70" s="139">
        <f>F69</f>
        <v>0</v>
      </c>
      <c r="G70" s="139">
        <f>G69</f>
        <v>0</v>
      </c>
      <c r="H70" s="124">
        <f t="shared" si="4"/>
        <v>7497870.9399999995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284432.46999999997</v>
      </c>
      <c r="D72" s="24" t="s">
        <v>288</v>
      </c>
      <c r="E72" s="24" t="s">
        <v>288</v>
      </c>
      <c r="F72" s="95">
        <f>'DOE25'!I123</f>
        <v>0</v>
      </c>
      <c r="G72" s="24" t="s">
        <v>288</v>
      </c>
      <c r="H72" s="124">
        <f t="shared" si="4"/>
        <v>284432.46999999997</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537475.03</v>
      </c>
      <c r="D75" s="24" t="s">
        <v>288</v>
      </c>
      <c r="E75" s="24" t="s">
        <v>288</v>
      </c>
      <c r="F75" s="24" t="s">
        <v>288</v>
      </c>
      <c r="G75" s="24" t="s">
        <v>288</v>
      </c>
      <c r="H75" s="124">
        <f t="shared" si="4"/>
        <v>537475.03</v>
      </c>
      <c r="I75"/>
    </row>
    <row r="76" spans="1:9" x14ac:dyDescent="0.2">
      <c r="A76" s="1" t="s">
        <v>257</v>
      </c>
      <c r="B76" s="6" t="s">
        <v>179</v>
      </c>
      <c r="C76" s="95">
        <f>SUM('DOE25'!F127:F130)</f>
        <v>16965.099999999999</v>
      </c>
      <c r="D76" s="24" t="s">
        <v>288</v>
      </c>
      <c r="E76" s="95">
        <f>SUM('DOE25'!H127:H130)</f>
        <v>0</v>
      </c>
      <c r="F76" s="95">
        <f>SUM('DOE25'!I127:I130)</f>
        <v>0</v>
      </c>
      <c r="G76" s="24" t="s">
        <v>288</v>
      </c>
      <c r="H76" s="124">
        <f t="shared" si="4"/>
        <v>16965.099999999999</v>
      </c>
      <c r="I76"/>
    </row>
    <row r="77" spans="1:9" ht="12" thickBot="1" x14ac:dyDescent="0.25">
      <c r="A77" s="1" t="s">
        <v>258</v>
      </c>
      <c r="B77" s="6" t="s">
        <v>180</v>
      </c>
      <c r="C77" s="95">
        <f>SUM('DOE25'!F131:F135)</f>
        <v>0</v>
      </c>
      <c r="D77" s="95">
        <f>SUM('DOE25'!G131:G135)</f>
        <v>5988.07</v>
      </c>
      <c r="E77" s="95">
        <f>SUM('DOE25'!H131:H135)</f>
        <v>0</v>
      </c>
      <c r="F77" s="95">
        <f>SUM('DOE25'!I131:I135)</f>
        <v>0</v>
      </c>
      <c r="G77" s="95">
        <f>SUM('DOE25'!J131:J135)</f>
        <v>0</v>
      </c>
      <c r="H77" s="124">
        <f t="shared" si="4"/>
        <v>5988.07</v>
      </c>
      <c r="I77"/>
    </row>
    <row r="78" spans="1:9" ht="12.75" thickTop="1" thickBot="1" x14ac:dyDescent="0.25">
      <c r="A78" s="29" t="s">
        <v>259</v>
      </c>
      <c r="B78" s="6"/>
      <c r="C78" s="130">
        <f>SUM(C72:C77)</f>
        <v>838872.6</v>
      </c>
      <c r="D78" s="130">
        <f>SUM(D72:D77)</f>
        <v>5988.07</v>
      </c>
      <c r="E78" s="130">
        <f>SUM(E72:E77)</f>
        <v>0</v>
      </c>
      <c r="F78" s="130">
        <f>SUM(F72:F77)</f>
        <v>0</v>
      </c>
      <c r="G78" s="130">
        <f>SUM(G72:G77)</f>
        <v>0</v>
      </c>
      <c r="H78" s="124">
        <f t="shared" si="4"/>
        <v>844860.66999999993</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8336743.5399999991</v>
      </c>
      <c r="D81" s="130">
        <f>SUM(D79:D80)+D78+D70</f>
        <v>5988.07</v>
      </c>
      <c r="E81" s="130">
        <f>SUM(E79:E80)+E78+E70</f>
        <v>0</v>
      </c>
      <c r="F81" s="130">
        <f>SUM(F79:F80)+F78+F70</f>
        <v>0</v>
      </c>
      <c r="G81" s="130">
        <f>SUM(G79:G80)+G78+G70</f>
        <v>0</v>
      </c>
      <c r="H81" s="130">
        <f t="shared" si="4"/>
        <v>8342731.6099999994</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146430.88</v>
      </c>
      <c r="D88" s="326">
        <f>SUM('DOE25'!G153:G162)</f>
        <v>651305.06000000006</v>
      </c>
      <c r="E88" s="326">
        <f>SUM('DOE25'!H153:H162)</f>
        <v>1955349.8599999999</v>
      </c>
      <c r="F88" s="326">
        <f>SUM('DOE25'!I153:I162)</f>
        <v>0</v>
      </c>
      <c r="G88" s="24" t="s">
        <v>288</v>
      </c>
      <c r="H88" s="124">
        <f t="shared" si="5"/>
        <v>2753085.8</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146430.88</v>
      </c>
      <c r="D91" s="131">
        <f>SUM(D85:D90)</f>
        <v>651305.06000000006</v>
      </c>
      <c r="E91" s="131">
        <f>SUM(E85:E90)</f>
        <v>1955349.8599999999</v>
      </c>
      <c r="F91" s="131">
        <f>SUM(F85:F90)</f>
        <v>0</v>
      </c>
      <c r="G91" s="24" t="s">
        <v>288</v>
      </c>
      <c r="H91" s="124">
        <f t="shared" si="5"/>
        <v>2753085.8</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8572.93</v>
      </c>
      <c r="E96" s="95">
        <f>'DOE25'!H180</f>
        <v>0</v>
      </c>
      <c r="F96" s="95">
        <f>'DOE25'!I180</f>
        <v>0</v>
      </c>
      <c r="G96" s="95">
        <f>'DOE25'!J180</f>
        <v>460003</v>
      </c>
      <c r="H96" s="124">
        <f t="shared" si="5"/>
        <v>468575.93</v>
      </c>
    </row>
    <row r="97" spans="1:8" x14ac:dyDescent="0.2">
      <c r="A97" t="s">
        <v>754</v>
      </c>
      <c r="B97" s="32" t="s">
        <v>188</v>
      </c>
      <c r="C97" s="95">
        <f>SUM('DOE25'!F181:F182)</f>
        <v>18321.310000000001</v>
      </c>
      <c r="D97" s="95">
        <f>SUM('DOE25'!G181:G182)</f>
        <v>0</v>
      </c>
      <c r="E97" s="95">
        <f>SUM('DOE25'!H181:H182)</f>
        <v>0</v>
      </c>
      <c r="F97" s="95">
        <f>SUM('DOE25'!I181:I182)</f>
        <v>0</v>
      </c>
      <c r="G97" s="95">
        <f>SUM('DOE25'!J181:J182)</f>
        <v>0</v>
      </c>
      <c r="H97" s="124">
        <f t="shared" si="5"/>
        <v>18321.310000000001</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18321.310000000001</v>
      </c>
      <c r="D103" s="86">
        <f>SUM(D93:D102)</f>
        <v>8572.93</v>
      </c>
      <c r="E103" s="86">
        <f>SUM(E93:E102)</f>
        <v>0</v>
      </c>
      <c r="F103" s="86">
        <f>SUM(F93:F102)</f>
        <v>0</v>
      </c>
      <c r="G103" s="86">
        <f>SUM(G93:G102)</f>
        <v>460003</v>
      </c>
      <c r="H103" s="86">
        <f t="shared" si="5"/>
        <v>486897.24</v>
      </c>
    </row>
    <row r="104" spans="1:8" ht="12.75" thickTop="1" thickBot="1" x14ac:dyDescent="0.25">
      <c r="A104" s="33" t="s">
        <v>761</v>
      </c>
      <c r="C104" s="86">
        <f>C63+C81+C91+C103</f>
        <v>25347209.969999995</v>
      </c>
      <c r="D104" s="86">
        <f>D63+D81+D91+D103</f>
        <v>727968.4800000001</v>
      </c>
      <c r="E104" s="86">
        <f>E63+E81+E91+E103</f>
        <v>1955349.8599999999</v>
      </c>
      <c r="F104" s="86">
        <f>F63+F81+F91+F103</f>
        <v>0</v>
      </c>
      <c r="G104" s="86">
        <f>G63+G81+G103</f>
        <v>460003</v>
      </c>
      <c r="H104" s="86">
        <f t="shared" si="5"/>
        <v>28490531.309999995</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8425840.0199999996</v>
      </c>
      <c r="D109" s="24" t="s">
        <v>288</v>
      </c>
      <c r="E109" s="95">
        <f>('DOE25'!L277)+('DOE25'!L296)+('DOE25'!L315)</f>
        <v>513310.43999999994</v>
      </c>
      <c r="F109" s="24" t="s">
        <v>288</v>
      </c>
      <c r="G109" s="24" t="s">
        <v>288</v>
      </c>
      <c r="H109" s="124">
        <f t="shared" ref="H109:H115" si="6">SUM(C109:G109)</f>
        <v>8939150.459999999</v>
      </c>
    </row>
    <row r="110" spans="1:8" x14ac:dyDescent="0.2">
      <c r="A110" t="s">
        <v>198</v>
      </c>
      <c r="B110" s="32" t="s">
        <v>199</v>
      </c>
      <c r="C110" s="95">
        <f>('DOE25'!L199)+('DOE25'!L217)+('DOE25'!L235)</f>
        <v>5540590.4299999997</v>
      </c>
      <c r="D110" s="24" t="s">
        <v>288</v>
      </c>
      <c r="E110" s="95">
        <f>('DOE25'!L278)+('DOE25'!L297)+('DOE25'!L316)</f>
        <v>288567.77</v>
      </c>
      <c r="F110" s="24" t="s">
        <v>288</v>
      </c>
      <c r="G110" s="24" t="s">
        <v>288</v>
      </c>
      <c r="H110" s="124">
        <f t="shared" si="6"/>
        <v>5829158.1999999993</v>
      </c>
    </row>
    <row r="111" spans="1:8" x14ac:dyDescent="0.2">
      <c r="A111" t="s">
        <v>200</v>
      </c>
      <c r="B111" s="32" t="s">
        <v>165</v>
      </c>
      <c r="C111" s="95">
        <f>('DOE25'!L200)+('DOE25'!L218)+('DOE25'!L236)</f>
        <v>130499.37</v>
      </c>
      <c r="D111" s="24" t="s">
        <v>288</v>
      </c>
      <c r="E111" s="95">
        <f>('DOE25'!L279)+('DOE25'!L298)+('DOE25'!L317)</f>
        <v>0</v>
      </c>
      <c r="F111" s="24" t="s">
        <v>288</v>
      </c>
      <c r="G111" s="24" t="s">
        <v>288</v>
      </c>
      <c r="H111" s="124">
        <f t="shared" si="6"/>
        <v>130499.37</v>
      </c>
    </row>
    <row r="112" spans="1:8" x14ac:dyDescent="0.2">
      <c r="A112" t="s">
        <v>201</v>
      </c>
      <c r="B112" s="32" t="s">
        <v>167</v>
      </c>
      <c r="C112" s="95">
        <f>('DOE25'!L201)+('DOE25'!L219)+('DOE25'!L237)</f>
        <v>390933.35</v>
      </c>
      <c r="D112" s="24" t="s">
        <v>288</v>
      </c>
      <c r="E112" s="95">
        <f>+('DOE25'!L280)+('DOE25'!L299)+('DOE25'!L318)</f>
        <v>188802.1</v>
      </c>
      <c r="F112" s="24" t="s">
        <v>288</v>
      </c>
      <c r="G112" s="24" t="s">
        <v>288</v>
      </c>
      <c r="H112" s="124">
        <f t="shared" si="6"/>
        <v>579735.44999999995</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33033.270000000004</v>
      </c>
      <c r="D114" s="24" t="s">
        <v>288</v>
      </c>
      <c r="E114" s="95">
        <f>+ SUM('DOE25'!L334:L336)</f>
        <v>0</v>
      </c>
      <c r="F114" s="24" t="s">
        <v>288</v>
      </c>
      <c r="G114" s="24" t="s">
        <v>288</v>
      </c>
      <c r="H114" s="124">
        <f t="shared" si="6"/>
        <v>33033.270000000004</v>
      </c>
    </row>
    <row r="115" spans="1:8" ht="12.75" thickTop="1" thickBot="1" x14ac:dyDescent="0.25">
      <c r="A115" s="33" t="s">
        <v>205</v>
      </c>
      <c r="C115" s="86">
        <f>SUM(C109:C114)</f>
        <v>14520896.439999998</v>
      </c>
      <c r="D115" s="86">
        <f>SUM(D109:D114)</f>
        <v>0</v>
      </c>
      <c r="E115" s="86">
        <f>SUM(E109:E114)</f>
        <v>990680.30999999994</v>
      </c>
      <c r="F115" s="86">
        <f>SUM(F109:F114)</f>
        <v>0</v>
      </c>
      <c r="G115" s="86">
        <f>SUM(G109:G114)</f>
        <v>0</v>
      </c>
      <c r="H115" s="86">
        <f t="shared" si="6"/>
        <v>15511576.749999998</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1284345.73</v>
      </c>
      <c r="D118" s="24" t="s">
        <v>288</v>
      </c>
      <c r="E118" s="95">
        <f>+('DOE25'!L282)+('DOE25'!L301)+('DOE25'!L320)</f>
        <v>572493.63</v>
      </c>
      <c r="F118" s="24" t="s">
        <v>288</v>
      </c>
      <c r="G118" s="24" t="s">
        <v>288</v>
      </c>
      <c r="H118" s="124">
        <f t="shared" ref="H118:H145" si="7">SUM(C118:G118)</f>
        <v>1856839.3599999999</v>
      </c>
    </row>
    <row r="119" spans="1:8" x14ac:dyDescent="0.2">
      <c r="A119" t="s">
        <v>208</v>
      </c>
      <c r="B119" s="32" t="s">
        <v>209</v>
      </c>
      <c r="C119" s="95">
        <f>('DOE25'!L204)+('DOE25'!L222)+('DOE25'!L240)</f>
        <v>876750.75999999989</v>
      </c>
      <c r="D119" s="24" t="s">
        <v>288</v>
      </c>
      <c r="E119" s="95">
        <f>+('DOE25'!L283)+('DOE25'!L302)+('DOE25'!L321)</f>
        <v>329072.94</v>
      </c>
      <c r="F119" s="24" t="s">
        <v>288</v>
      </c>
      <c r="G119" s="24" t="s">
        <v>288</v>
      </c>
      <c r="H119" s="124">
        <f t="shared" si="7"/>
        <v>1205823.7</v>
      </c>
    </row>
    <row r="120" spans="1:8" x14ac:dyDescent="0.2">
      <c r="A120" t="s">
        <v>210</v>
      </c>
      <c r="B120" s="32" t="s">
        <v>211</v>
      </c>
      <c r="C120" s="95">
        <f>('DOE25'!L205)+('DOE25'!L223)+('DOE25'!L241)</f>
        <v>1177472.71</v>
      </c>
      <c r="D120" s="24" t="s">
        <v>288</v>
      </c>
      <c r="E120" s="95">
        <f>+('DOE25'!L284)+('DOE25'!L303)+('DOE25'!L322)</f>
        <v>26835.45</v>
      </c>
      <c r="F120" s="24" t="s">
        <v>288</v>
      </c>
      <c r="G120" s="24" t="s">
        <v>288</v>
      </c>
      <c r="H120" s="124">
        <f t="shared" si="7"/>
        <v>1204308.1599999999</v>
      </c>
    </row>
    <row r="121" spans="1:8" x14ac:dyDescent="0.2">
      <c r="A121" t="s">
        <v>212</v>
      </c>
      <c r="B121" s="32" t="s">
        <v>213</v>
      </c>
      <c r="C121" s="95">
        <f>('DOE25'!L206)+('DOE25'!L224)+('DOE25'!L242)</f>
        <v>1460132.68</v>
      </c>
      <c r="D121" s="24" t="s">
        <v>288</v>
      </c>
      <c r="E121" s="95">
        <f>+('DOE25'!L285)+('DOE25'!L304)+('DOE25'!L323)</f>
        <v>0</v>
      </c>
      <c r="F121" s="24" t="s">
        <v>288</v>
      </c>
      <c r="G121" s="24" t="s">
        <v>288</v>
      </c>
      <c r="H121" s="124">
        <f t="shared" si="7"/>
        <v>1460132.68</v>
      </c>
    </row>
    <row r="122" spans="1:8" x14ac:dyDescent="0.2">
      <c r="A122" t="s">
        <v>214</v>
      </c>
      <c r="B122" s="32" t="s">
        <v>215</v>
      </c>
      <c r="C122" s="95">
        <f>('DOE25'!L207)+('DOE25'!L225)+('DOE25'!L243)</f>
        <v>315408.08</v>
      </c>
      <c r="D122" s="24" t="s">
        <v>288</v>
      </c>
      <c r="E122" s="95">
        <f>+('DOE25'!L286)+('DOE25'!L305)+('DOE25'!L324)</f>
        <v>0</v>
      </c>
      <c r="F122" s="24" t="s">
        <v>288</v>
      </c>
      <c r="G122" s="24" t="s">
        <v>288</v>
      </c>
      <c r="H122" s="124">
        <f t="shared" si="7"/>
        <v>315408.08</v>
      </c>
    </row>
    <row r="123" spans="1:8" x14ac:dyDescent="0.2">
      <c r="A123" t="s">
        <v>216</v>
      </c>
      <c r="B123" s="32" t="s">
        <v>217</v>
      </c>
      <c r="C123" s="95">
        <f>('DOE25'!L208)+('DOE25'!L226)+('DOE25'!L244)</f>
        <v>1901605.9200000002</v>
      </c>
      <c r="D123" s="24" t="s">
        <v>288</v>
      </c>
      <c r="E123" s="95">
        <f>+('DOE25'!L287)+('DOE25'!L306)+('DOE25'!L325)</f>
        <v>17946.219999999998</v>
      </c>
      <c r="F123" s="24" t="s">
        <v>288</v>
      </c>
      <c r="G123" s="24" t="s">
        <v>288</v>
      </c>
      <c r="H123" s="124">
        <f t="shared" si="7"/>
        <v>1919552.1400000001</v>
      </c>
    </row>
    <row r="124" spans="1:8" x14ac:dyDescent="0.2">
      <c r="A124" t="s">
        <v>218</v>
      </c>
      <c r="B124" s="32" t="s">
        <v>219</v>
      </c>
      <c r="C124" s="95">
        <f>('DOE25'!L209)+('DOE25'!L227)+('DOE25'!L245+'DOE25'!L255)</f>
        <v>1161522.29</v>
      </c>
      <c r="D124" s="24" t="s">
        <v>288</v>
      </c>
      <c r="E124" s="95">
        <f>+('DOE25'!L288)+('DOE25'!L307)+('DOE25'!L326)</f>
        <v>0</v>
      </c>
      <c r="F124" s="24" t="s">
        <v>288</v>
      </c>
      <c r="G124" s="24" t="s">
        <v>288</v>
      </c>
      <c r="H124" s="124">
        <f t="shared" si="7"/>
        <v>1161522.29</v>
      </c>
    </row>
    <row r="125" spans="1:8" x14ac:dyDescent="0.2">
      <c r="A125" t="s">
        <v>220</v>
      </c>
      <c r="B125" s="32" t="s">
        <v>221</v>
      </c>
      <c r="C125" s="95">
        <f>('DOE25'!L210)+('DOE25'!L228)+('DOE25'!L246)</f>
        <v>6692.8</v>
      </c>
      <c r="D125" s="24" t="s">
        <v>288</v>
      </c>
      <c r="E125" s="95">
        <f>+('DOE25'!L289)+('DOE25'!L308)+('DOE25'!L327)</f>
        <v>0</v>
      </c>
      <c r="F125" s="24" t="s">
        <v>288</v>
      </c>
      <c r="G125" s="24" t="s">
        <v>288</v>
      </c>
      <c r="H125" s="124">
        <f t="shared" si="7"/>
        <v>6692.8</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718865.48</v>
      </c>
      <c r="E127" s="24" t="s">
        <v>288</v>
      </c>
      <c r="F127" s="24" t="s">
        <v>288</v>
      </c>
      <c r="G127" s="24" t="s">
        <v>288</v>
      </c>
      <c r="H127" s="124">
        <f t="shared" si="7"/>
        <v>718865.48</v>
      </c>
    </row>
    <row r="128" spans="1:8" ht="12.75" thickTop="1" thickBot="1" x14ac:dyDescent="0.25">
      <c r="A128" s="33" t="s">
        <v>226</v>
      </c>
      <c r="C128" s="86">
        <f>SUM(C118:C127)</f>
        <v>8183930.9699999997</v>
      </c>
      <c r="D128" s="86">
        <f>SUM(D118:D127)</f>
        <v>718865.48</v>
      </c>
      <c r="E128" s="86">
        <f>SUM(E118:E127)</f>
        <v>946348.24</v>
      </c>
      <c r="F128" s="86">
        <f>SUM(F118:F127)</f>
        <v>0</v>
      </c>
      <c r="G128" s="86">
        <f>SUM(G118:G127)</f>
        <v>0</v>
      </c>
      <c r="H128" s="86">
        <f t="shared" si="7"/>
        <v>9849144.6899999995</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601389.69999999995</v>
      </c>
      <c r="D131" s="24" t="s">
        <v>288</v>
      </c>
      <c r="E131" s="129">
        <f>'DOE25'!L342</f>
        <v>0</v>
      </c>
      <c r="F131" s="24" t="s">
        <v>288</v>
      </c>
      <c r="G131" s="24" t="s">
        <v>288</v>
      </c>
      <c r="H131" s="124">
        <f t="shared" si="7"/>
        <v>601389.69999999995</v>
      </c>
    </row>
    <row r="132" spans="1:8" x14ac:dyDescent="0.2">
      <c r="A132" t="s">
        <v>230</v>
      </c>
      <c r="B132" s="32">
        <v>5120</v>
      </c>
      <c r="C132" s="95">
        <f>'DOE25'!L262</f>
        <v>481371.55</v>
      </c>
      <c r="D132" s="24" t="s">
        <v>288</v>
      </c>
      <c r="E132" s="129">
        <f>'DOE25'!L343</f>
        <v>0</v>
      </c>
      <c r="F132" s="24" t="s">
        <v>288</v>
      </c>
      <c r="G132" s="24" t="s">
        <v>288</v>
      </c>
      <c r="H132" s="124">
        <f t="shared" si="7"/>
        <v>481371.55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18321.310000000001</v>
      </c>
      <c r="F134" s="95">
        <f>'DOE25'!K382</f>
        <v>0</v>
      </c>
      <c r="G134" s="95">
        <f>'DOE25'!K435</f>
        <v>0</v>
      </c>
      <c r="H134" s="124">
        <f t="shared" si="7"/>
        <v>18321.310000000001</v>
      </c>
    </row>
    <row r="135" spans="1:8" x14ac:dyDescent="0.2">
      <c r="A135" t="s">
        <v>233</v>
      </c>
      <c r="B135" s="32" t="s">
        <v>234</v>
      </c>
      <c r="C135" s="95">
        <f>'DOE25'!L264</f>
        <v>8572.93</v>
      </c>
      <c r="D135" s="24" t="s">
        <v>288</v>
      </c>
      <c r="E135" s="129">
        <f>'DOE25'!L346</f>
        <v>0</v>
      </c>
      <c r="F135" s="24" t="s">
        <v>288</v>
      </c>
      <c r="G135" s="24" t="s">
        <v>288</v>
      </c>
      <c r="H135" s="124">
        <f t="shared" si="7"/>
        <v>8572.93</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460003</v>
      </c>
      <c r="D139" s="24" t="s">
        <v>288</v>
      </c>
      <c r="E139" s="24" t="s">
        <v>288</v>
      </c>
      <c r="F139" s="24" t="s">
        <v>288</v>
      </c>
      <c r="G139" s="24" t="s">
        <v>288</v>
      </c>
      <c r="H139" s="124">
        <f t="shared" si="7"/>
        <v>460003</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38815.5</v>
      </c>
      <c r="D142" s="24" t="s">
        <v>288</v>
      </c>
      <c r="E142" s="129">
        <f>'DOE25'!L350</f>
        <v>0</v>
      </c>
      <c r="F142" s="24" t="s">
        <v>288</v>
      </c>
      <c r="G142" s="24" t="s">
        <v>288</v>
      </c>
      <c r="H142" s="124">
        <f t="shared" si="7"/>
        <v>38815.5</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1590152.68</v>
      </c>
      <c r="D144" s="141">
        <f>SUM(D130:D143)</f>
        <v>0</v>
      </c>
      <c r="E144" s="141">
        <f>SUM(E130:E143)</f>
        <v>18321.310000000001</v>
      </c>
      <c r="F144" s="141">
        <f>SUM(F130:F143)</f>
        <v>0</v>
      </c>
      <c r="G144" s="141">
        <f>SUM(G130:G143)</f>
        <v>0</v>
      </c>
      <c r="H144" s="141">
        <f t="shared" si="7"/>
        <v>1608473.99</v>
      </c>
    </row>
    <row r="145" spans="1:9" ht="12.75" thickTop="1" thickBot="1" x14ac:dyDescent="0.25">
      <c r="A145" s="33" t="s">
        <v>244</v>
      </c>
      <c r="C145" s="86">
        <f>(C115+C128+C144)</f>
        <v>24294980.089999996</v>
      </c>
      <c r="D145" s="86">
        <f>(D115+D128+D144)</f>
        <v>718865.48</v>
      </c>
      <c r="E145" s="86">
        <f>(E115+E128+E144)</f>
        <v>1955349.8599999999</v>
      </c>
      <c r="F145" s="86">
        <f>(F115+F128+F144)</f>
        <v>0</v>
      </c>
      <c r="G145" s="86">
        <f>(G115+G128+G144)</f>
        <v>0</v>
      </c>
      <c r="H145" s="86">
        <f t="shared" si="7"/>
        <v>26969195.429999996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10</v>
      </c>
      <c r="D151" s="153">
        <f>'DOE25'!H491</f>
        <v>0</v>
      </c>
      <c r="E151" s="153">
        <f>'DOE25'!I491</f>
        <v>0</v>
      </c>
      <c r="F151" s="153">
        <f>'DOE25'!J491</f>
        <v>0</v>
      </c>
      <c r="G151" s="24" t="s">
        <v>288</v>
      </c>
    </row>
    <row r="152" spans="1:9" x14ac:dyDescent="0.2">
      <c r="A152" s="136" t="s">
        <v>28</v>
      </c>
      <c r="B152" s="152" t="str">
        <f>'DOE25'!F492</f>
        <v>8/05</v>
      </c>
      <c r="C152" s="152" t="str">
        <f>'DOE25'!G492</f>
        <v>8/14</v>
      </c>
      <c r="D152" s="152">
        <f>'DOE25'!H492</f>
        <v>0</v>
      </c>
      <c r="E152" s="152">
        <f>'DOE25'!I492</f>
        <v>0</v>
      </c>
      <c r="F152" s="152">
        <f>'DOE25'!J492</f>
        <v>0</v>
      </c>
      <c r="G152" s="24" t="s">
        <v>288</v>
      </c>
    </row>
    <row r="153" spans="1:9" x14ac:dyDescent="0.2">
      <c r="A153" s="136" t="s">
        <v>29</v>
      </c>
      <c r="B153" s="152" t="str">
        <f>'DOE25'!F493</f>
        <v>8/25</v>
      </c>
      <c r="C153" s="152" t="str">
        <f>'DOE25'!G493</f>
        <v>8/24</v>
      </c>
      <c r="D153" s="152">
        <f>'DOE25'!H493</f>
        <v>0</v>
      </c>
      <c r="E153" s="152">
        <f>'DOE25'!I493</f>
        <v>0</v>
      </c>
      <c r="F153" s="152">
        <f>'DOE25'!J493</f>
        <v>0</v>
      </c>
      <c r="G153" s="24" t="s">
        <v>288</v>
      </c>
    </row>
    <row r="154" spans="1:9" x14ac:dyDescent="0.2">
      <c r="A154" s="136" t="s">
        <v>30</v>
      </c>
      <c r="B154" s="137">
        <f>'DOE25'!F494</f>
        <v>13402490</v>
      </c>
      <c r="C154" s="137">
        <f>'DOE25'!G494</f>
        <v>1060000</v>
      </c>
      <c r="D154" s="137">
        <f>'DOE25'!H494</f>
        <v>0</v>
      </c>
      <c r="E154" s="137">
        <f>'DOE25'!I494</f>
        <v>0</v>
      </c>
      <c r="F154" s="137">
        <f>'DOE25'!J494</f>
        <v>0</v>
      </c>
      <c r="G154" s="24" t="s">
        <v>288</v>
      </c>
    </row>
    <row r="155" spans="1:9" x14ac:dyDescent="0.2">
      <c r="A155" s="136" t="s">
        <v>31</v>
      </c>
      <c r="B155" s="137">
        <f>'DOE25'!F495</f>
        <v>4.12</v>
      </c>
      <c r="C155" s="137">
        <f>'DOE25'!G495</f>
        <v>5.0999999999999996</v>
      </c>
      <c r="D155" s="137">
        <f>'DOE25'!H495</f>
        <v>0</v>
      </c>
      <c r="E155" s="137">
        <f>'DOE25'!I495</f>
        <v>0</v>
      </c>
      <c r="F155" s="137">
        <f>'DOE25'!J495</f>
        <v>0</v>
      </c>
      <c r="G155" s="24" t="s">
        <v>288</v>
      </c>
    </row>
    <row r="156" spans="1:9" x14ac:dyDescent="0.2">
      <c r="A156" s="22" t="s">
        <v>32</v>
      </c>
      <c r="B156" s="137">
        <f>'DOE25'!F496</f>
        <v>2248250.9700000002</v>
      </c>
      <c r="C156" s="137">
        <f>'DOE25'!G496</f>
        <v>420000</v>
      </c>
      <c r="D156" s="137">
        <f>'DOE25'!H496</f>
        <v>0</v>
      </c>
      <c r="E156" s="137">
        <f>'DOE25'!I496</f>
        <v>0</v>
      </c>
      <c r="F156" s="137">
        <f>'DOE25'!J496</f>
        <v>0</v>
      </c>
      <c r="G156" s="138">
        <f>SUM(B156:F156)</f>
        <v>2668250.9700000002</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496389.7</v>
      </c>
      <c r="C158" s="137">
        <f>'DOE25'!G498</f>
        <v>105000</v>
      </c>
      <c r="D158" s="137">
        <f>'DOE25'!H498</f>
        <v>0</v>
      </c>
      <c r="E158" s="137">
        <f>'DOE25'!I498</f>
        <v>0</v>
      </c>
      <c r="F158" s="137">
        <f>'DOE25'!J498</f>
        <v>0</v>
      </c>
      <c r="G158" s="138">
        <f t="shared" si="8"/>
        <v>601389.69999999995</v>
      </c>
    </row>
    <row r="159" spans="1:9" x14ac:dyDescent="0.2">
      <c r="A159" s="22" t="s">
        <v>35</v>
      </c>
      <c r="B159" s="137">
        <f>'DOE25'!F499</f>
        <v>1751861.2700000003</v>
      </c>
      <c r="C159" s="137">
        <f>'DOE25'!G499</f>
        <v>315000</v>
      </c>
      <c r="D159" s="137">
        <f>'DOE25'!H499</f>
        <v>0</v>
      </c>
      <c r="E159" s="137">
        <f>'DOE25'!I499</f>
        <v>0</v>
      </c>
      <c r="F159" s="137">
        <f>'DOE25'!J499</f>
        <v>0</v>
      </c>
      <c r="G159" s="138">
        <f t="shared" si="8"/>
        <v>2066861.2700000003</v>
      </c>
    </row>
    <row r="160" spans="1:9" x14ac:dyDescent="0.2">
      <c r="A160" s="22" t="s">
        <v>36</v>
      </c>
      <c r="B160" s="137">
        <f>'DOE25'!F500</f>
        <v>2171458.73</v>
      </c>
      <c r="C160" s="137">
        <f>'DOE25'!G500</f>
        <v>24097.5</v>
      </c>
      <c r="D160" s="137">
        <f>'DOE25'!H500</f>
        <v>0</v>
      </c>
      <c r="E160" s="137">
        <f>'DOE25'!I500</f>
        <v>0</v>
      </c>
      <c r="F160" s="137">
        <f>'DOE25'!J500</f>
        <v>0</v>
      </c>
      <c r="G160" s="138">
        <f t="shared" si="8"/>
        <v>2195556.23</v>
      </c>
    </row>
    <row r="161" spans="1:7" x14ac:dyDescent="0.2">
      <c r="A161" s="22" t="s">
        <v>37</v>
      </c>
      <c r="B161" s="137">
        <f>'DOE25'!F501</f>
        <v>3923320</v>
      </c>
      <c r="C161" s="137">
        <f>'DOE25'!G501</f>
        <v>339097.5</v>
      </c>
      <c r="D161" s="137">
        <f>'DOE25'!H501</f>
        <v>0</v>
      </c>
      <c r="E161" s="137">
        <f>'DOE25'!I501</f>
        <v>0</v>
      </c>
      <c r="F161" s="137">
        <f>'DOE25'!J501</f>
        <v>0</v>
      </c>
      <c r="G161" s="138">
        <f t="shared" si="8"/>
        <v>4262417.5</v>
      </c>
    </row>
    <row r="162" spans="1:7" x14ac:dyDescent="0.2">
      <c r="A162" s="22" t="s">
        <v>38</v>
      </c>
      <c r="B162" s="137">
        <f>'DOE25'!F502</f>
        <v>476590.77999999997</v>
      </c>
      <c r="C162" s="137">
        <f>'DOE25'!G502</f>
        <v>105000</v>
      </c>
      <c r="D162" s="137">
        <f>'DOE25'!H502</f>
        <v>0</v>
      </c>
      <c r="E162" s="137">
        <f>'DOE25'!I502</f>
        <v>0</v>
      </c>
      <c r="F162" s="137">
        <f>'DOE25'!J502</f>
        <v>0</v>
      </c>
      <c r="G162" s="138">
        <f t="shared" si="8"/>
        <v>581590.78</v>
      </c>
    </row>
    <row r="163" spans="1:7" x14ac:dyDescent="0.2">
      <c r="A163" s="22" t="s">
        <v>39</v>
      </c>
      <c r="B163" s="137">
        <f>'DOE25'!F503</f>
        <v>485871.72000000003</v>
      </c>
      <c r="C163" s="137">
        <f>'DOE25'!G503</f>
        <v>13387.5</v>
      </c>
      <c r="D163" s="137">
        <f>'DOE25'!H503</f>
        <v>0</v>
      </c>
      <c r="E163" s="137">
        <f>'DOE25'!I503</f>
        <v>0</v>
      </c>
      <c r="F163" s="137">
        <f>'DOE25'!J503</f>
        <v>0</v>
      </c>
      <c r="G163" s="138">
        <f t="shared" si="8"/>
        <v>499259.22000000003</v>
      </c>
    </row>
    <row r="164" spans="1:7" x14ac:dyDescent="0.2">
      <c r="A164" s="22" t="s">
        <v>246</v>
      </c>
      <c r="B164" s="137">
        <f>'DOE25'!F504</f>
        <v>962462.5</v>
      </c>
      <c r="C164" s="137">
        <f>'DOE25'!G504</f>
        <v>118387.5</v>
      </c>
      <c r="D164" s="137">
        <f>'DOE25'!H504</f>
        <v>0</v>
      </c>
      <c r="E164" s="137">
        <f>'DOE25'!I504</f>
        <v>0</v>
      </c>
      <c r="F164" s="137">
        <f>'DOE25'!J504</f>
        <v>0</v>
      </c>
      <c r="G164" s="138">
        <f t="shared" si="8"/>
        <v>1080850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5"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Raymond</v>
      </c>
    </row>
    <row r="3" spans="1:4" x14ac:dyDescent="0.2">
      <c r="B3" s="187" t="s">
        <v>1799</v>
      </c>
    </row>
    <row r="4" spans="1:4" x14ac:dyDescent="0.2">
      <c r="B4" t="s">
        <v>61</v>
      </c>
      <c r="C4" s="178">
        <f>IF('DOE25'!F666+'DOE25'!F671=0,0,ROUND('DOE25'!F673,0))</f>
        <v>19138</v>
      </c>
    </row>
    <row r="5" spans="1:4" x14ac:dyDescent="0.2">
      <c r="B5" t="s">
        <v>700</v>
      </c>
      <c r="C5" s="178">
        <f>IF('DOE25'!G666+'DOE25'!G671=0,0,ROUND('DOE25'!G673,0))</f>
        <v>17941</v>
      </c>
    </row>
    <row r="6" spans="1:4" x14ac:dyDescent="0.2">
      <c r="B6" t="s">
        <v>62</v>
      </c>
      <c r="C6" s="178">
        <f>IF('DOE25'!H666+'DOE25'!H671=0,0,ROUND('DOE25'!H673,0))</f>
        <v>20187</v>
      </c>
    </row>
    <row r="7" spans="1:4" x14ac:dyDescent="0.2">
      <c r="B7" t="s">
        <v>701</v>
      </c>
      <c r="C7" s="178">
        <f>IF('DOE25'!I666+'DOE25'!I671=0,0,ROUND('DOE25'!I673,0))</f>
        <v>18996</v>
      </c>
    </row>
    <row r="9" spans="1:4" x14ac:dyDescent="0.2">
      <c r="A9" s="186" t="s">
        <v>94</v>
      </c>
      <c r="B9" s="187" t="s">
        <v>1800</v>
      </c>
      <c r="C9" s="180" t="s">
        <v>720</v>
      </c>
      <c r="D9" s="180" t="s">
        <v>721</v>
      </c>
    </row>
    <row r="10" spans="1:4" x14ac:dyDescent="0.2">
      <c r="A10">
        <v>1100</v>
      </c>
      <c r="B10" t="s">
        <v>702</v>
      </c>
      <c r="C10" s="178">
        <f>ROUND('DOE25'!L198+'DOE25'!L216+'DOE25'!L234+'DOE25'!L277+'DOE25'!L296+'DOE25'!L315,0)</f>
        <v>8939150</v>
      </c>
      <c r="D10" s="181">
        <f>ROUND((C10/$C$28)*100,1)</f>
        <v>34.6</v>
      </c>
    </row>
    <row r="11" spans="1:4" x14ac:dyDescent="0.2">
      <c r="A11">
        <v>1200</v>
      </c>
      <c r="B11" t="s">
        <v>703</v>
      </c>
      <c r="C11" s="178">
        <f>ROUND('DOE25'!L199+'DOE25'!L217+'DOE25'!L235+'DOE25'!L278+'DOE25'!L297+'DOE25'!L316,0)</f>
        <v>5829158</v>
      </c>
      <c r="D11" s="181">
        <f>ROUND((C11/$C$28)*100,1)</f>
        <v>22.6</v>
      </c>
    </row>
    <row r="12" spans="1:4" x14ac:dyDescent="0.2">
      <c r="A12">
        <v>1300</v>
      </c>
      <c r="B12" t="s">
        <v>704</v>
      </c>
      <c r="C12" s="178">
        <f>ROUND('DOE25'!L200+'DOE25'!L218+'DOE25'!L236+'DOE25'!L279+'DOE25'!L298+'DOE25'!L317,0)</f>
        <v>130499</v>
      </c>
      <c r="D12" s="181">
        <f>ROUND((C12/$C$28)*100,1)</f>
        <v>0.5</v>
      </c>
    </row>
    <row r="13" spans="1:4" x14ac:dyDescent="0.2">
      <c r="A13">
        <v>1400</v>
      </c>
      <c r="B13" t="s">
        <v>705</v>
      </c>
      <c r="C13" s="178">
        <f>ROUND('DOE25'!L201+'DOE25'!L219+'DOE25'!L237+'DOE25'!L280+'DOE25'!L299+'DOE25'!L318,0)</f>
        <v>579735</v>
      </c>
      <c r="D13" s="181">
        <f>ROUND((C13/$C$28)*100,1)</f>
        <v>2.2000000000000002</v>
      </c>
    </row>
    <row r="14" spans="1:4" x14ac:dyDescent="0.2">
      <c r="D14" s="181"/>
    </row>
    <row r="15" spans="1:4" x14ac:dyDescent="0.2">
      <c r="A15">
        <v>2100</v>
      </c>
      <c r="B15" t="s">
        <v>706</v>
      </c>
      <c r="C15" s="178">
        <f>ROUND('DOE25'!L203+'DOE25'!L221+'DOE25'!L239+'DOE25'!L282+'DOE25'!L301+'DOE25'!L320,0)</f>
        <v>1856839</v>
      </c>
      <c r="D15" s="181">
        <f t="shared" ref="D15:D27" si="0">ROUND((C15/$C$28)*100,1)</f>
        <v>7.2</v>
      </c>
    </row>
    <row r="16" spans="1:4" x14ac:dyDescent="0.2">
      <c r="A16">
        <v>2200</v>
      </c>
      <c r="B16" t="s">
        <v>707</v>
      </c>
      <c r="C16" s="178">
        <f>ROUND('DOE25'!L204+'DOE25'!L222+'DOE25'!L240+'DOE25'!L283+'DOE25'!L302+'DOE25'!L321,0)</f>
        <v>1205824</v>
      </c>
      <c r="D16" s="181">
        <f t="shared" si="0"/>
        <v>4.7</v>
      </c>
    </row>
    <row r="17" spans="1:4" x14ac:dyDescent="0.2">
      <c r="A17" s="182" t="s">
        <v>723</v>
      </c>
      <c r="B17" t="s">
        <v>738</v>
      </c>
      <c r="C17" s="178">
        <f>ROUND('DOE25'!L205+'DOE25'!L210+'DOE25'!L223+'DOE25'!L228+'DOE25'!L241+'DOE25'!L246+'DOE25'!L284+'DOE25'!L289+'DOE25'!L303+'DOE25'!L308+'DOE25'!L322+'DOE25'!L327,0)</f>
        <v>1211001</v>
      </c>
      <c r="D17" s="181">
        <f t="shared" si="0"/>
        <v>4.7</v>
      </c>
    </row>
    <row r="18" spans="1:4" x14ac:dyDescent="0.2">
      <c r="A18">
        <v>2400</v>
      </c>
      <c r="B18" t="s">
        <v>711</v>
      </c>
      <c r="C18" s="178">
        <f>ROUND('DOE25'!L206+'DOE25'!L224+'DOE25'!L242+'DOE25'!L285+'DOE25'!L304+'DOE25'!L323,0)</f>
        <v>1460133</v>
      </c>
      <c r="D18" s="181">
        <f t="shared" si="0"/>
        <v>5.7</v>
      </c>
    </row>
    <row r="19" spans="1:4" x14ac:dyDescent="0.2">
      <c r="A19">
        <v>2500</v>
      </c>
      <c r="B19" t="s">
        <v>708</v>
      </c>
      <c r="C19" s="178">
        <f>ROUND('DOE25'!L207+'DOE25'!L225+'DOE25'!L243+'DOE25'!L286+'DOE25'!L305+'DOE25'!L324,0)</f>
        <v>315408</v>
      </c>
      <c r="D19" s="181">
        <f t="shared" si="0"/>
        <v>1.2</v>
      </c>
    </row>
    <row r="20" spans="1:4" x14ac:dyDescent="0.2">
      <c r="A20">
        <v>2600</v>
      </c>
      <c r="B20" t="s">
        <v>709</v>
      </c>
      <c r="C20" s="178">
        <f>ROUND('DOE25'!L208+'DOE25'!L226+'DOE25'!L244+'DOE25'!L287+'DOE25'!L306+'DOE25'!L325,0)</f>
        <v>1919552</v>
      </c>
      <c r="D20" s="181">
        <f t="shared" si="0"/>
        <v>7.4</v>
      </c>
    </row>
    <row r="21" spans="1:4" x14ac:dyDescent="0.2">
      <c r="A21">
        <v>2700</v>
      </c>
      <c r="B21" t="s">
        <v>710</v>
      </c>
      <c r="C21" s="178">
        <f>ROUND('DOE25'!L209+'DOE25'!L227+'DOE25'!L245+'DOE25'!L288+'DOE25'!L307+'DOE25'!L326,0)</f>
        <v>1161522</v>
      </c>
      <c r="D21" s="181">
        <f t="shared" si="0"/>
        <v>4.5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33033</v>
      </c>
      <c r="D24" s="181">
        <f t="shared" si="0"/>
        <v>0.1</v>
      </c>
    </row>
    <row r="25" spans="1:4" x14ac:dyDescent="0.2">
      <c r="A25">
        <v>5120</v>
      </c>
      <c r="B25" t="s">
        <v>716</v>
      </c>
      <c r="C25" s="178">
        <f>ROUND('DOE25'!L262+'DOE25'!L343,0)</f>
        <v>481372</v>
      </c>
      <c r="D25" s="181">
        <f t="shared" si="0"/>
        <v>1.9</v>
      </c>
    </row>
    <row r="26" spans="1:4" x14ac:dyDescent="0.2">
      <c r="A26" s="182" t="s">
        <v>717</v>
      </c>
      <c r="B26" t="s">
        <v>718</v>
      </c>
      <c r="C26" s="178">
        <f>'DOE25'!L269+'DOE25'!L270+'DOE25'!L350+'DOE25'!L351</f>
        <v>38815.5</v>
      </c>
      <c r="D26" s="181">
        <f t="shared" si="0"/>
        <v>0.2</v>
      </c>
    </row>
    <row r="27" spans="1:4" x14ac:dyDescent="0.2">
      <c r="A27">
        <v>3100</v>
      </c>
      <c r="B27" t="s">
        <v>11</v>
      </c>
      <c r="C27" s="178">
        <f>ROUND('DOE25'!L363-'DOE25'!L362,0)-SUM('DOE25'!G97:G110)</f>
        <v>656762.58000000007</v>
      </c>
      <c r="D27" s="181">
        <f t="shared" si="0"/>
        <v>2.5</v>
      </c>
    </row>
    <row r="28" spans="1:4" x14ac:dyDescent="0.2">
      <c r="B28" s="186" t="s">
        <v>719</v>
      </c>
      <c r="C28" s="179">
        <f>SUM(C10:C27)</f>
        <v>25818804.079999998</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25818804.079999998</v>
      </c>
    </row>
    <row r="31" spans="1:4" x14ac:dyDescent="0.2">
      <c r="B31" s="33"/>
      <c r="C31" s="179"/>
    </row>
    <row r="32" spans="1:4" x14ac:dyDescent="0.2">
      <c r="A32">
        <v>5100</v>
      </c>
      <c r="B32" s="33" t="s">
        <v>726</v>
      </c>
      <c r="C32" s="179">
        <f>ROUND('DOE25'!L261+'DOE25'!L342,0)</f>
        <v>601390</v>
      </c>
    </row>
    <row r="34" spans="1:4" x14ac:dyDescent="0.2">
      <c r="A34" s="186" t="s">
        <v>94</v>
      </c>
      <c r="B34" s="187" t="s">
        <v>1801</v>
      </c>
      <c r="C34" s="180" t="s">
        <v>720</v>
      </c>
      <c r="D34" s="180" t="s">
        <v>721</v>
      </c>
    </row>
    <row r="35" spans="1:4" x14ac:dyDescent="0.2">
      <c r="A35">
        <v>1100</v>
      </c>
      <c r="B35" s="184" t="s">
        <v>727</v>
      </c>
      <c r="C35" s="178">
        <f>ROUND('DOE25'!F60+'DOE25'!G60+'DOE25'!H60+'DOE25'!I60+'DOE25'!J60,0)</f>
        <v>16195175</v>
      </c>
      <c r="D35" s="181">
        <f t="shared" ref="D35:D40" si="1">ROUND((C35/$C$41)*100,1)</f>
        <v>58</v>
      </c>
    </row>
    <row r="36" spans="1:4" x14ac:dyDescent="0.2">
      <c r="B36" s="184" t="s">
        <v>739</v>
      </c>
      <c r="C36" s="178">
        <f>SUM('DOE25'!F112:J112)-SUM('DOE25'!G97:G110)+('DOE25'!F175+'DOE25'!F176+'DOE25'!I175+'DOE25'!I176)-C35</f>
        <v>650539.23999999836</v>
      </c>
      <c r="D36" s="181">
        <f t="shared" si="1"/>
        <v>2.2999999999999998</v>
      </c>
    </row>
    <row r="37" spans="1:4" x14ac:dyDescent="0.2">
      <c r="A37" s="182" t="s">
        <v>835</v>
      </c>
      <c r="B37" s="184" t="s">
        <v>728</v>
      </c>
      <c r="C37" s="178">
        <f>ROUND('DOE25'!F117+'DOE25'!F118,0)</f>
        <v>7489890</v>
      </c>
      <c r="D37" s="181">
        <f t="shared" si="1"/>
        <v>26.8</v>
      </c>
    </row>
    <row r="38" spans="1:4" x14ac:dyDescent="0.2">
      <c r="A38" s="182" t="s">
        <v>734</v>
      </c>
      <c r="B38" s="184" t="s">
        <v>729</v>
      </c>
      <c r="C38" s="178">
        <f>ROUND(SUM('DOE25'!F140:J140)-SUM('DOE25'!F117:F119),0)</f>
        <v>852842</v>
      </c>
      <c r="D38" s="181">
        <f t="shared" si="1"/>
        <v>3.1</v>
      </c>
    </row>
    <row r="39" spans="1:4" x14ac:dyDescent="0.2">
      <c r="A39">
        <v>4000</v>
      </c>
      <c r="B39" s="184" t="s">
        <v>730</v>
      </c>
      <c r="C39" s="178">
        <f>ROUND('DOE25'!F170+'DOE25'!G170+'DOE25'!H170+'DOE25'!I170,0)</f>
        <v>2753086</v>
      </c>
      <c r="D39" s="181">
        <f t="shared" si="1"/>
        <v>9.9</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27941532.239999998</v>
      </c>
      <c r="D41" s="183">
        <f>SUM(D35:D40)</f>
        <v>100.1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2" sqref="C12:M12"/>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Raymond</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v>3</v>
      </c>
      <c r="B4" s="218">
        <v>24</v>
      </c>
      <c r="C4" s="387" t="s">
        <v>1806</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t="s">
        <v>1807</v>
      </c>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v>6</v>
      </c>
      <c r="B7" s="218">
        <v>8</v>
      </c>
      <c r="C7" s="387" t="s">
        <v>1808</v>
      </c>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v>14</v>
      </c>
      <c r="B9" s="218">
        <v>10</v>
      </c>
      <c r="C9" s="387" t="s">
        <v>1809</v>
      </c>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v>19</v>
      </c>
      <c r="B11" s="218">
        <v>6</v>
      </c>
      <c r="C11" s="387" t="s">
        <v>1810</v>
      </c>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154</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30</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79</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f>IF('School Level Expenditures'!$B$2='School Tables'!L33,'School Tables'!S33,"")</f>
        <v>30</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f>IF('School Level Expenditures'!$B$2='School Tables'!W82,'School Tables'!AD82,"")</f>
        <v>79</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f>IF('School Level Expenditures'!$B$2=A157,'School Tables'!H157,"")</f>
        <v>154</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2022-11-15T15:22:37Z</cp:lastPrinted>
  <dcterms:created xsi:type="dcterms:W3CDTF">1997-12-04T19:04:30Z</dcterms:created>
  <dcterms:modified xsi:type="dcterms:W3CDTF">2022-12-20T16:11:06Z</dcterms:modified>
</cp:coreProperties>
</file>