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E3CABD7-A7A9-4506-BDDE-A2DF82489D9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15" i="13"/>
  <c r="D9" i="13"/>
  <c r="G527" i="1" l="1"/>
  <c r="D6" i="14"/>
  <c r="D37" i="14"/>
  <c r="D25" i="14"/>
  <c r="C20" i="12"/>
  <c r="C19" i="12"/>
  <c r="C37" i="12"/>
  <c r="B20" i="12"/>
  <c r="B19" i="12"/>
  <c r="C10" i="12"/>
  <c r="C11" i="12"/>
  <c r="B11" i="12"/>
  <c r="B10" i="12"/>
  <c r="E9" i="17" l="1"/>
  <c r="G13" i="1"/>
  <c r="J592" i="1"/>
  <c r="I592" i="1"/>
  <c r="H227" i="1"/>
  <c r="H245" i="1"/>
  <c r="I208" i="1"/>
  <c r="F473" i="1"/>
  <c r="G198" i="1"/>
  <c r="H198" i="1"/>
  <c r="H209" i="1"/>
  <c r="H208" i="1"/>
  <c r="G208" i="1"/>
  <c r="F208" i="1"/>
  <c r="J206" i="1"/>
  <c r="I206" i="1"/>
  <c r="H206" i="1"/>
  <c r="G206" i="1"/>
  <c r="F206" i="1"/>
  <c r="H205" i="1"/>
  <c r="G205" i="1"/>
  <c r="F205" i="1"/>
  <c r="I204" i="1"/>
  <c r="H204" i="1"/>
  <c r="F204" i="1"/>
  <c r="G204" i="1"/>
  <c r="H203" i="1"/>
  <c r="I203" i="1"/>
  <c r="G203" i="1"/>
  <c r="F203" i="1"/>
  <c r="G201" i="1"/>
  <c r="I199" i="1"/>
  <c r="H199" i="1"/>
  <c r="G199" i="1"/>
  <c r="F199" i="1"/>
  <c r="I198" i="1"/>
  <c r="J198" i="1"/>
  <c r="F198" i="1"/>
  <c r="H235" i="1"/>
  <c r="G239" i="1"/>
  <c r="G235" i="1"/>
  <c r="G221" i="1"/>
  <c r="G217" i="1"/>
  <c r="F24" i="1"/>
  <c r="F22" i="1" l="1"/>
  <c r="F12" i="1"/>
  <c r="H159" i="1" l="1"/>
  <c r="H155" i="1"/>
  <c r="H162"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H43" i="2" s="1"/>
  <c r="E43" i="2"/>
  <c r="D43" i="2"/>
  <c r="C43" i="2"/>
  <c r="F42" i="2"/>
  <c r="E42" i="2"/>
  <c r="D42" i="2"/>
  <c r="C42" i="2"/>
  <c r="F38" i="2"/>
  <c r="E38" i="2"/>
  <c r="D38" i="2"/>
  <c r="C38" i="2"/>
  <c r="F36" i="2"/>
  <c r="E36" i="2"/>
  <c r="D36" i="2"/>
  <c r="C36" i="2"/>
  <c r="I456" i="1"/>
  <c r="J45" i="1" s="1"/>
  <c r="G44" i="2" s="1"/>
  <c r="H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H73" i="2" s="1"/>
  <c r="C74" i="2"/>
  <c r="H74" i="2" s="1"/>
  <c r="C75" i="2"/>
  <c r="H75" i="2" s="1"/>
  <c r="C76" i="2"/>
  <c r="E76" i="2"/>
  <c r="F76" i="2"/>
  <c r="C77" i="2"/>
  <c r="D77" i="2"/>
  <c r="D78" i="2" s="1"/>
  <c r="E77" i="2"/>
  <c r="F77" i="2"/>
  <c r="G77" i="2"/>
  <c r="C79" i="2"/>
  <c r="D79" i="2"/>
  <c r="E79" i="2"/>
  <c r="C80" i="2"/>
  <c r="E80" i="2"/>
  <c r="H80" i="2" s="1"/>
  <c r="C85" i="2"/>
  <c r="F85" i="2"/>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I170" i="1"/>
  <c r="J652" i="1" l="1"/>
  <c r="D18" i="13"/>
  <c r="C18" i="13" s="1"/>
  <c r="H113" i="2"/>
  <c r="C125" i="2"/>
  <c r="D15" i="13"/>
  <c r="C15" i="13" s="1"/>
  <c r="C110" i="2"/>
  <c r="C121" i="2"/>
  <c r="C120" i="2"/>
  <c r="G663" i="1"/>
  <c r="E13" i="13"/>
  <c r="C13" i="13" s="1"/>
  <c r="D6" i="13"/>
  <c r="C6" i="13" s="1"/>
  <c r="H93" i="2"/>
  <c r="H72" i="2"/>
  <c r="H58" i="2"/>
  <c r="H30" i="2"/>
  <c r="H26" i="2"/>
  <c r="H25" i="2"/>
  <c r="H15" i="2"/>
  <c r="E112" i="2"/>
  <c r="H112" i="2" s="1"/>
  <c r="E111" i="2"/>
  <c r="E125" i="2"/>
  <c r="C13" i="10"/>
  <c r="E120" i="2"/>
  <c r="E124" i="2"/>
  <c r="E121" i="2"/>
  <c r="C12" i="10"/>
  <c r="A40" i="12"/>
  <c r="H101" i="2"/>
  <c r="H96" i="2"/>
  <c r="H89" i="2"/>
  <c r="H87" i="2"/>
  <c r="H79" i="2"/>
  <c r="H76" i="2"/>
  <c r="H140" i="1"/>
  <c r="H34" i="2"/>
  <c r="H29" i="2"/>
  <c r="H28" i="2"/>
  <c r="H27" i="2"/>
  <c r="H24" i="2"/>
  <c r="H23" i="2"/>
  <c r="H17" i="2"/>
  <c r="H12" i="2"/>
  <c r="H11" i="2"/>
  <c r="H477" i="1"/>
  <c r="H625" i="1" s="1"/>
  <c r="J625" i="1" s="1"/>
  <c r="G477" i="1"/>
  <c r="G662" i="1"/>
  <c r="H102" i="2"/>
  <c r="H100" i="2"/>
  <c r="H99" i="2"/>
  <c r="H98" i="2"/>
  <c r="H48" i="2"/>
  <c r="H36" i="2"/>
  <c r="H35" i="2"/>
  <c r="H13" i="2"/>
  <c r="H9" i="2"/>
  <c r="H97" i="2"/>
  <c r="H61" i="2"/>
  <c r="H59" i="2"/>
  <c r="I112" i="1"/>
  <c r="H38" i="2"/>
  <c r="H22" i="2"/>
  <c r="H8" i="2"/>
  <c r="H143" i="2"/>
  <c r="H137" i="2"/>
  <c r="H132" i="2"/>
  <c r="I409" i="1"/>
  <c r="G409" i="1"/>
  <c r="H646" i="1" s="1"/>
  <c r="J646" i="1" s="1"/>
  <c r="F409" i="1"/>
  <c r="H644" i="1" s="1"/>
  <c r="J644" i="1" s="1"/>
  <c r="G646" i="1"/>
  <c r="G78" i="2"/>
  <c r="H77" i="2"/>
  <c r="G70" i="2"/>
  <c r="H69" i="2"/>
  <c r="G62" i="2"/>
  <c r="J112" i="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J194" i="1"/>
  <c r="G647" i="1" s="1"/>
  <c r="G140" i="1"/>
  <c r="B11" i="16" s="1"/>
  <c r="F140" i="1"/>
  <c r="G63" i="2"/>
  <c r="J619" i="1"/>
  <c r="G42" i="2"/>
  <c r="J51" i="1"/>
  <c r="G16" i="2"/>
  <c r="J19" i="1"/>
  <c r="G622" i="1" s="1"/>
  <c r="F546" i="1"/>
  <c r="H435" i="1"/>
  <c r="D103" i="2"/>
  <c r="I140" i="1"/>
  <c r="A22" i="12"/>
  <c r="J653" i="1"/>
  <c r="G572" i="1"/>
  <c r="I435" i="1"/>
  <c r="G435" i="1"/>
  <c r="I664" i="1"/>
  <c r="L572" i="1" l="1"/>
  <c r="H114" i="2"/>
  <c r="H125" i="2"/>
  <c r="H121" i="2"/>
  <c r="H120" i="2"/>
  <c r="H124" i="2"/>
  <c r="H123" i="2"/>
  <c r="H122" i="2"/>
  <c r="H111" i="2"/>
  <c r="I663" i="1"/>
  <c r="G24" i="14"/>
  <c r="H24" i="14" s="1"/>
  <c r="I24" i="14" s="1"/>
  <c r="F661" i="1"/>
  <c r="F665" i="1" s="1"/>
  <c r="F668" i="1" s="1"/>
  <c r="E128" i="2"/>
  <c r="H118" i="2"/>
  <c r="E115" i="2"/>
  <c r="H109" i="2"/>
  <c r="H91" i="2"/>
  <c r="H85" i="2"/>
  <c r="E62" i="2"/>
  <c r="E63" i="2" s="1"/>
  <c r="E104" i="2" s="1"/>
  <c r="H57" i="2"/>
  <c r="E51" i="2"/>
  <c r="D128" i="2"/>
  <c r="H127" i="2"/>
  <c r="H70" i="2"/>
  <c r="C81" i="2"/>
  <c r="H81" i="2" s="1"/>
  <c r="F194" i="1"/>
  <c r="G628" i="1" s="1"/>
  <c r="J628" i="1" s="1"/>
  <c r="D51" i="2"/>
  <c r="H103" i="2"/>
  <c r="H78" i="2"/>
  <c r="G50" i="2"/>
  <c r="H50" i="2" s="1"/>
  <c r="H42" i="2"/>
  <c r="G31" i="2"/>
  <c r="H31" i="2" s="1"/>
  <c r="H21" i="2"/>
  <c r="G18" i="2"/>
  <c r="H18" i="2" s="1"/>
  <c r="H16" i="2"/>
  <c r="G144" i="2"/>
  <c r="G145" i="2" s="1"/>
  <c r="H134"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C104" i="2"/>
  <c r="H104" i="2" s="1"/>
  <c r="E145" i="2"/>
  <c r="H62" i="2"/>
  <c r="D145" i="2"/>
  <c r="H128" i="2"/>
  <c r="H63" i="2"/>
  <c r="H673" i="1"/>
  <c r="C6" i="10" s="1"/>
  <c r="G51" i="2"/>
  <c r="H51" i="2" s="1"/>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<sst xmlns="http://schemas.openxmlformats.org/spreadsheetml/2006/main" count="6534" uniqueCount="1803">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</sst>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1388</v>
      </c>
      <c r="B2">
        <f>INDEX('School Tables'!$AH$3:$AH$208,MATCH('DOE25'!A2,'School Tables'!$AJ$3:$AJ$208,0))</f>
        <v>463</v>
      </c>
      <c r="C2">
        <f>INDEX('School Tables'!$AI$3:$AI$208,MATCH('DOE25'!A2,'School Tables'!$AJ$3:$AJ$208,0))</f>
        <v>463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682063.84</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628890.57999999996</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859179.5+551429.22</f>
        <v>1410608.72</v>
      </c>
      <c r="G12" s="18">
        <v>564253.96</v>
      </c>
      <c r="H12" s="18">
        <v>811215.3</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7773</v>
      </c>
      <c r="G13" s="18">
        <f>8948.46+6380</f>
        <v>15328.46</v>
      </c>
      <c r="H13" s="18">
        <v>0</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48154.6</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2100445.56</v>
      </c>
      <c r="G19" s="38">
        <f>SUM(G9:G18)</f>
        <v>579582.41999999993</v>
      </c>
      <c r="H19" s="38">
        <f>SUM(H9:H18)</f>
        <v>859369.9</v>
      </c>
      <c r="I19" s="38">
        <f>SUM(I9:I18)</f>
        <v>0</v>
      </c>
      <c r="J19" s="38">
        <f>SUM(J9:J18)</f>
        <v>628890.57999999996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811215.3+564253.9</f>
        <v>1375469.2000000002</v>
      </c>
      <c r="G22" s="18">
        <v>551428.28</v>
      </c>
      <c r="H22" s="18">
        <v>859180.65</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189939.7+802.85+59755.8</f>
        <v>250498.35000000003</v>
      </c>
      <c r="G24" s="18">
        <v>0</v>
      </c>
      <c r="H24" s="18">
        <v>131.51</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3345.15</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1625967.5500000003</v>
      </c>
      <c r="G32" s="38">
        <f>SUM(G22:G31)</f>
        <v>554773.43000000005</v>
      </c>
      <c r="H32" s="38">
        <f>SUM(H22:H31)</f>
        <v>859312.16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852</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860</v>
      </c>
      <c r="B40" s="6">
        <v>1</v>
      </c>
      <c r="C40" s="6">
        <v>27</v>
      </c>
      <c r="D40" s="2"/>
      <c r="E40" s="6"/>
      <c r="F40" s="23" t="s">
        <v>288</v>
      </c>
      <c r="G40" s="18">
        <v>24808.99</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837</v>
      </c>
      <c r="B44" s="6">
        <v>1</v>
      </c>
      <c r="C44" s="6">
        <v>30</v>
      </c>
      <c r="D44" s="2" t="s">
        <v>653</v>
      </c>
      <c r="E44" s="6">
        <v>755</v>
      </c>
      <c r="F44" s="18">
        <v>75000</v>
      </c>
      <c r="G44" s="18">
        <v>0</v>
      </c>
      <c r="H44" s="18">
        <v>0</v>
      </c>
      <c r="I44" s="18">
        <v>0</v>
      </c>
      <c r="J44" s="23" t="s">
        <v>288</v>
      </c>
      <c r="K44" s="23" t="s">
        <v>288</v>
      </c>
      <c r="L44" s="23" t="s">
        <v>288</v>
      </c>
      <c r="M44" s="8"/>
      <c r="N44" s="165"/>
    </row>
    <row r="45" spans="1:14" s="3" customFormat="1" ht="12.2" customHeight="1" x14ac:dyDescent="0.15">
      <c r="A45" s="1" t="s">
        <v>838</v>
      </c>
      <c r="B45" s="6">
        <v>1</v>
      </c>
      <c r="C45" s="6">
        <v>31</v>
      </c>
      <c r="D45" s="2"/>
      <c r="E45" s="6">
        <v>753</v>
      </c>
      <c r="F45" s="18">
        <v>0</v>
      </c>
      <c r="G45" s="18">
        <v>0</v>
      </c>
      <c r="H45" s="18">
        <v>57.74</v>
      </c>
      <c r="I45" s="18">
        <v>0</v>
      </c>
      <c r="J45" s="13">
        <f>I456</f>
        <v>0</v>
      </c>
      <c r="K45" s="23" t="s">
        <v>288</v>
      </c>
      <c r="L45" s="23" t="s">
        <v>288</v>
      </c>
      <c r="M45" s="8"/>
      <c r="N45" s="165"/>
    </row>
    <row r="46" spans="1:14" s="3" customFormat="1" ht="12.2" customHeight="1" x14ac:dyDescent="0.15">
      <c r="A46" s="1" t="s">
        <v>874</v>
      </c>
      <c r="B46" s="6">
        <v>1</v>
      </c>
      <c r="C46" s="6">
        <v>32</v>
      </c>
      <c r="D46" s="2"/>
      <c r="E46" s="6"/>
      <c r="F46" s="18">
        <v>121581</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0</v>
      </c>
      <c r="H48" s="18">
        <v>0</v>
      </c>
      <c r="I48" s="18"/>
      <c r="J48" s="13">
        <f>SUM(I460)</f>
        <v>628890.57999999996</v>
      </c>
      <c r="K48" s="23" t="s">
        <v>288</v>
      </c>
      <c r="L48" s="23" t="s">
        <v>288</v>
      </c>
      <c r="M48" s="8"/>
      <c r="N48" s="165"/>
    </row>
    <row r="49" spans="1:14" s="3" customFormat="1" ht="12.2" customHeight="1" x14ac:dyDescent="0.15">
      <c r="A49" s="1" t="s">
        <v>859</v>
      </c>
      <c r="B49" s="2" t="s">
        <v>289</v>
      </c>
      <c r="C49" s="6">
        <v>34</v>
      </c>
      <c r="D49" s="2"/>
      <c r="E49" s="6">
        <v>753</v>
      </c>
      <c r="F49" s="18">
        <v>0</v>
      </c>
      <c r="G49" s="18">
        <v>0</v>
      </c>
      <c r="H49" s="18">
        <v>0</v>
      </c>
      <c r="I49" s="18"/>
      <c r="J49" s="13">
        <f>I455</f>
        <v>0</v>
      </c>
      <c r="K49" s="23"/>
      <c r="L49" s="23"/>
      <c r="M49" s="8"/>
      <c r="N49" s="165"/>
    </row>
    <row r="50" spans="1:14" s="3" customFormat="1" ht="12.2" customHeight="1" thickBot="1" x14ac:dyDescent="0.2">
      <c r="A50" s="28" t="s">
        <v>840</v>
      </c>
      <c r="B50" s="2" t="s">
        <v>289</v>
      </c>
      <c r="C50" s="56">
        <v>35</v>
      </c>
      <c r="D50" s="2" t="s">
        <v>653</v>
      </c>
      <c r="E50" s="6">
        <v>770</v>
      </c>
      <c r="F50" s="18">
        <f>153834.82+105043.82+14358.37-10340+15000</f>
        <v>277897.01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474478.01</v>
      </c>
      <c r="G51" s="38">
        <f>SUM(G35:G50)</f>
        <v>24808.99</v>
      </c>
      <c r="H51" s="38">
        <f>SUM(H35:H50)</f>
        <v>57.74</v>
      </c>
      <c r="I51" s="38">
        <f>SUM(I35:I50)</f>
        <v>0</v>
      </c>
      <c r="J51" s="38">
        <f>SUM(J35:J50)</f>
        <v>628890.57999999996</v>
      </c>
      <c r="K51" s="42" t="s">
        <v>288</v>
      </c>
      <c r="L51" s="42" t="s">
        <v>288</v>
      </c>
      <c r="N51" s="131"/>
    </row>
    <row r="52" spans="1:14" s="3" customFormat="1" ht="12.2" customHeight="1" thickTop="1" x14ac:dyDescent="0.15">
      <c r="A52" s="35" t="s">
        <v>455</v>
      </c>
      <c r="B52" s="36" t="s">
        <v>289</v>
      </c>
      <c r="C52" s="6">
        <v>37</v>
      </c>
      <c r="D52" s="36" t="s">
        <v>653</v>
      </c>
      <c r="E52" s="36"/>
      <c r="F52" s="38">
        <f>F51+F32</f>
        <v>2100445.5600000005</v>
      </c>
      <c r="G52" s="38">
        <f>G51+G32</f>
        <v>579582.42000000004</v>
      </c>
      <c r="H52" s="38">
        <f>H51+H32</f>
        <v>859369.9</v>
      </c>
      <c r="I52" s="38">
        <f>I51+I32</f>
        <v>0</v>
      </c>
      <c r="J52" s="38">
        <f>J51+J32</f>
        <v>628890.57999999996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4271809</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4271809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118.23</v>
      </c>
      <c r="G96" s="18">
        <v>0</v>
      </c>
      <c r="H96" s="18">
        <v>0</v>
      </c>
      <c r="I96" s="18">
        <v>0</v>
      </c>
      <c r="J96" s="18">
        <v>601.84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1980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2123.23</v>
      </c>
      <c r="G111" s="38">
        <f>SUM(G96:G110)</f>
        <v>0</v>
      </c>
      <c r="H111" s="38">
        <f>SUM(H96:H110)</f>
        <v>0</v>
      </c>
      <c r="I111" s="38">
        <f>SUM(I96:I110)</f>
        <v>0</v>
      </c>
      <c r="J111" s="38">
        <f>SUM(J96:J110)</f>
        <v>601.84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4273932.2300000004</v>
      </c>
      <c r="G112" s="38">
        <f>G60+G111</f>
        <v>0</v>
      </c>
      <c r="H112" s="38">
        <f>H60+H79+H94+H111</f>
        <v>0</v>
      </c>
      <c r="I112" s="38">
        <f>I60+I111</f>
        <v>0</v>
      </c>
      <c r="J112" s="38">
        <f>J60+J111</f>
        <v>601.84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759216.61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591429</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1995.21</v>
      </c>
      <c r="G120" s="18">
        <v>9794.14</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1352640.8199999998</v>
      </c>
      <c r="G121" s="38">
        <f>SUM(G117:G120)</f>
        <v>9794.14</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903</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667.89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667.89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1352640.8199999998</v>
      </c>
      <c r="G140" s="38">
        <f>G121+SUM(G136:G137)</f>
        <v>10462.029999999999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2348.17+2131.62</f>
        <v>4479.79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63419.519999999997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5841.93+35836.01+7250.8+1680+591.89</f>
        <v>51200.630000000005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v>0</v>
      </c>
      <c r="G162" s="18">
        <v>0</v>
      </c>
      <c r="H162" s="18">
        <f>297.81+12090.44</f>
        <v>12388.25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63419.519999999997</v>
      </c>
      <c r="H163" s="38">
        <f>SUM(H150:H162)</f>
        <v>68068.670000000013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63419.519999999997</v>
      </c>
      <c r="H170" s="38">
        <f>H147+H163+SUM(H164:H169)</f>
        <v>68068.670000000013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90000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90000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90000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5626573.0500000007</v>
      </c>
      <c r="G194" s="38">
        <f>G112+G140+G170+G193</f>
        <v>73881.549999999988</v>
      </c>
      <c r="H194" s="38">
        <f>H112+H140+H170+H193</f>
        <v>68068.670000000013</v>
      </c>
      <c r="I194" s="38">
        <f>I112+I140+I170+I193</f>
        <v>0</v>
      </c>
      <c r="J194" s="38">
        <f>J112+J140+J193</f>
        <v>90601.84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767651.68+46634.77+20758.32+20775.18</f>
        <v>855819.95000000007</v>
      </c>
      <c r="G198" s="18">
        <f>210037.74+4309.12+2997.37+1266.16+4430.7+518.35+52028.06+3567.64+1588.02+1592.04+137040.53+5077.93+2901.63+4637.04</f>
        <v>431992.32999999996</v>
      </c>
      <c r="H198" s="18">
        <f>24245+9636.34+85+7826.89+8179.19+17269.95+7949.86</f>
        <v>75192.23</v>
      </c>
      <c r="I198" s="18">
        <f>28243.65+1246.88+1772.74+735.29+48.71+609.2+124.92+4152.69+2122.68+1992.28+10811.71</f>
        <v>51860.750000000007</v>
      </c>
      <c r="J198" s="18">
        <f>355.25+26988.64+2855.99+917.45+285.98</f>
        <v>31403.309999999998</v>
      </c>
      <c r="K198" s="18">
        <v>0</v>
      </c>
      <c r="L198" s="13">
        <f>SUM(F198:K198)</f>
        <v>1446268.57</v>
      </c>
      <c r="M198" s="8"/>
      <c r="N198" s="165"/>
    </row>
    <row r="199" spans="1:14" s="3" customFormat="1" ht="12.2" customHeight="1" x14ac:dyDescent="0.15">
      <c r="A199" s="1" t="s">
        <v>439</v>
      </c>
      <c r="B199" s="2" t="s">
        <v>341</v>
      </c>
      <c r="C199" s="2" t="s">
        <v>291</v>
      </c>
      <c r="D199" s="2" t="s">
        <v>431</v>
      </c>
      <c r="E199" s="6">
        <v>1200</v>
      </c>
      <c r="F199" s="18">
        <f>93465.48+27878.3+189739.61+705.5</f>
        <v>311788.89</v>
      </c>
      <c r="G199" s="18">
        <f>4958+282.04+370.98+156.95+7098.9+2132.65+14287.62+568.87+53.97+19646.6+3756.69+23748.29+795.56</f>
        <v>77857.119999999995</v>
      </c>
      <c r="H199" s="18">
        <f>71543.09+3600</f>
        <v>75143.09</v>
      </c>
      <c r="I199" s="18">
        <f>1923.84+104.97+346.1</f>
        <v>2374.91</v>
      </c>
      <c r="J199" s="18">
        <v>0</v>
      </c>
      <c r="K199" s="18">
        <v>0</v>
      </c>
      <c r="L199" s="13">
        <f>SUM(F199:K199)</f>
        <v>467164.00999999995</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320</v>
      </c>
      <c r="G201" s="18">
        <f>24.48+67.26</f>
        <v>91.740000000000009</v>
      </c>
      <c r="H201" s="18">
        <v>0</v>
      </c>
      <c r="I201" s="18">
        <v>0</v>
      </c>
      <c r="J201" s="18">
        <v>0</v>
      </c>
      <c r="K201" s="18">
        <v>0</v>
      </c>
      <c r="L201" s="13">
        <f>SUM(F201:K201)</f>
        <v>411.74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60847.96+67865+70936</f>
        <v>199648.96</v>
      </c>
      <c r="G203" s="18">
        <f>22799.66+507.64+238.45+94.49+4148.56+12790.19+18760.96+564+263+105.96+4794.22+14265.26+9916+542+278.99+107+5418.03+14910.75</f>
        <v>110505.16</v>
      </c>
      <c r="H203" s="18">
        <f>637.12+38266.87</f>
        <v>38903.990000000005</v>
      </c>
      <c r="I203" s="18">
        <f>338.38+42.4+506.45</f>
        <v>887.23</v>
      </c>
      <c r="J203" s="18">
        <v>0</v>
      </c>
      <c r="K203" s="18">
        <v>0</v>
      </c>
      <c r="L203" s="13">
        <f t="shared" ref="L203:L209" si="0">SUM(F203:K203)</f>
        <v>349945.33999999997</v>
      </c>
      <c r="M203" s="8"/>
      <c r="N203" s="165"/>
    </row>
    <row r="204" spans="1:14" s="3" customFormat="1" ht="12.2" customHeight="1" x14ac:dyDescent="0.15">
      <c r="A204" s="1" t="s">
        <v>443</v>
      </c>
      <c r="B204" s="2" t="s">
        <v>341</v>
      </c>
      <c r="C204" s="2" t="s">
        <v>295</v>
      </c>
      <c r="D204" s="2" t="s">
        <v>431</v>
      </c>
      <c r="E204" s="6">
        <v>2200</v>
      </c>
      <c r="F204" s="18">
        <f>45399+10494.91</f>
        <v>55893.91</v>
      </c>
      <c r="G204" s="18">
        <f>960+112.5+92.9+3549.89+802.81</f>
        <v>5518.1</v>
      </c>
      <c r="H204" s="18">
        <f>1090.45</f>
        <v>1090.45</v>
      </c>
      <c r="I204" s="18">
        <f>1143.08+3456.87</f>
        <v>4599.95</v>
      </c>
      <c r="J204" s="18">
        <v>905.72</v>
      </c>
      <c r="K204" s="18">
        <v>1981.7</v>
      </c>
      <c r="L204" s="13">
        <f t="shared" si="0"/>
        <v>69989.83</v>
      </c>
      <c r="M204" s="8"/>
      <c r="N204" s="165"/>
    </row>
    <row r="205" spans="1:14" s="3" customFormat="1" ht="12.2" customHeight="1" x14ac:dyDescent="0.15">
      <c r="A205" s="1" t="s">
        <v>444</v>
      </c>
      <c r="B205" s="2" t="s">
        <v>341</v>
      </c>
      <c r="C205" s="2" t="s">
        <v>296</v>
      </c>
      <c r="D205" s="2" t="s">
        <v>431</v>
      </c>
      <c r="E205" s="6">
        <v>2300</v>
      </c>
      <c r="F205" s="18">
        <f>4860+1500+90</f>
        <v>6450</v>
      </c>
      <c r="G205" s="18">
        <f>367.2+107.75+210.81</f>
        <v>685.76</v>
      </c>
      <c r="H205" s="18">
        <f>291.26+2529.5+147.25+13275+20401.84+1430+207323-625</f>
        <v>244772.85</v>
      </c>
      <c r="I205" s="18">
        <v>2147.64</v>
      </c>
      <c r="J205" s="18">
        <v>0</v>
      </c>
      <c r="K205" s="18">
        <v>3259.3</v>
      </c>
      <c r="L205" s="13">
        <f t="shared" si="0"/>
        <v>257315.55000000002</v>
      </c>
      <c r="M205" s="8"/>
      <c r="N205" s="165"/>
    </row>
    <row r="206" spans="1:14" s="3" customFormat="1" ht="12.2" customHeight="1" x14ac:dyDescent="0.15">
      <c r="A206" s="1" t="s">
        <v>445</v>
      </c>
      <c r="B206" s="2" t="s">
        <v>341</v>
      </c>
      <c r="C206" s="2" t="s">
        <v>297</v>
      </c>
      <c r="D206" s="2" t="s">
        <v>431</v>
      </c>
      <c r="E206" s="6">
        <v>2400</v>
      </c>
      <c r="F206" s="18">
        <f>5000+36311+101624</f>
        <v>142935</v>
      </c>
      <c r="G206" s="18">
        <f>8576.4+23161.17+548.43+321.75+93+382.5+2619.69+7053.22+1051+5105.45+21361.34+2715.88</f>
        <v>72989.83</v>
      </c>
      <c r="H206" s="18">
        <f>2379.27+892.8+621.53</f>
        <v>3893.5999999999995</v>
      </c>
      <c r="I206" s="18">
        <f>77.38</f>
        <v>77.38</v>
      </c>
      <c r="J206" s="18">
        <f>2095+662.81</f>
        <v>2757.81</v>
      </c>
      <c r="K206" s="18">
        <v>1829</v>
      </c>
      <c r="L206" s="13">
        <f t="shared" si="0"/>
        <v>224482.62000000002</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f>42939.75+1914.25+58997.89</f>
        <v>103851.89</v>
      </c>
      <c r="G208" s="18">
        <f>19229.05+14294+909.09+574.5+65.97+160.38+74.52+77.22+2921.85+146.44+4195.45+6320.73+7713.12</f>
        <v>56682.32</v>
      </c>
      <c r="H208" s="18">
        <f>6515.37+401.52+8598.56+607.15+151983.06+7185.25</f>
        <v>175290.91</v>
      </c>
      <c r="I208" s="18">
        <f>14335.39+21828.3+23675.33+156.66</f>
        <v>59995.680000000008</v>
      </c>
      <c r="J208" s="18">
        <v>504.44</v>
      </c>
      <c r="K208" s="18">
        <v>0</v>
      </c>
      <c r="L208" s="13">
        <f t="shared" si="0"/>
        <v>396325.24</v>
      </c>
      <c r="M208" s="8"/>
      <c r="N208" s="165"/>
    </row>
    <row r="209" spans="1:14" s="3" customFormat="1" ht="12.2" customHeight="1" x14ac:dyDescent="0.15">
      <c r="A209" s="1" t="s">
        <v>448</v>
      </c>
      <c r="B209" s="2" t="s">
        <v>341</v>
      </c>
      <c r="C209" s="2" t="s">
        <v>300</v>
      </c>
      <c r="D209" s="2" t="s">
        <v>431</v>
      </c>
      <c r="E209" s="6">
        <v>2700</v>
      </c>
      <c r="F209" s="18">
        <v>0</v>
      </c>
      <c r="G209" s="18">
        <v>0</v>
      </c>
      <c r="H209" s="18">
        <f>111371.96+1733.11</f>
        <v>113105.07</v>
      </c>
      <c r="I209" s="18">
        <v>0</v>
      </c>
      <c r="J209" s="18">
        <v>0</v>
      </c>
      <c r="K209" s="18">
        <v>0</v>
      </c>
      <c r="L209" s="13">
        <f t="shared" si="0"/>
        <v>113105.07</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1676708.5999999999</v>
      </c>
      <c r="G212" s="38">
        <f t="shared" si="1"/>
        <v>756322.35999999987</v>
      </c>
      <c r="H212" s="38">
        <f t="shared" si="1"/>
        <v>727392.19</v>
      </c>
      <c r="I212" s="38">
        <f t="shared" si="1"/>
        <v>121943.54000000001</v>
      </c>
      <c r="J212" s="38">
        <f t="shared" si="1"/>
        <v>35571.279999999999</v>
      </c>
      <c r="K212" s="38">
        <f t="shared" si="1"/>
        <v>7070</v>
      </c>
      <c r="L212" s="38">
        <f t="shared" si="1"/>
        <v>3325007.97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430007.94</v>
      </c>
      <c r="I216" s="18">
        <v>0</v>
      </c>
      <c r="J216" s="18">
        <v>0</v>
      </c>
      <c r="K216" s="18">
        <v>0</v>
      </c>
      <c r="L216" s="13">
        <f>SUM(F216:K216)</f>
        <v>430007.94</v>
      </c>
      <c r="M216" s="8"/>
      <c r="N216" s="165"/>
    </row>
    <row r="217" spans="1:14" s="3" customFormat="1" ht="12.2" customHeight="1" x14ac:dyDescent="0.15">
      <c r="A217" s="1" t="s">
        <v>439</v>
      </c>
      <c r="B217" s="2" t="s">
        <v>346</v>
      </c>
      <c r="C217" s="2" t="s">
        <v>291</v>
      </c>
      <c r="D217" s="2" t="s">
        <v>431</v>
      </c>
      <c r="E217" s="6">
        <v>1200</v>
      </c>
      <c r="F217" s="18">
        <v>11264.76</v>
      </c>
      <c r="G217" s="18">
        <f>2479+140.98+45+25.02+828.16+2367.82</f>
        <v>5885.98</v>
      </c>
      <c r="H217" s="18">
        <v>190098.4</v>
      </c>
      <c r="I217" s="18">
        <v>0</v>
      </c>
      <c r="J217" s="18">
        <v>0</v>
      </c>
      <c r="K217" s="18">
        <v>0</v>
      </c>
      <c r="L217" s="13">
        <f>SUM(F217:K217)</f>
        <v>207249.13999999998</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3380.52</v>
      </c>
      <c r="G221" s="18">
        <f>1266.67+28.18+13.26+5.24+230.59+710.58</f>
        <v>2254.52</v>
      </c>
      <c r="H221" s="18">
        <v>0</v>
      </c>
      <c r="I221" s="18">
        <v>0</v>
      </c>
      <c r="J221" s="18">
        <v>0</v>
      </c>
      <c r="K221" s="18">
        <v>0</v>
      </c>
      <c r="L221" s="13">
        <f t="shared" ref="L221:L227" si="2">SUM(F221:K221)</f>
        <v>5635.04</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f>33411.57+215.74+4080</f>
        <v>37707.31</v>
      </c>
      <c r="I227" s="18">
        <v>0</v>
      </c>
      <c r="J227" s="18">
        <v>0</v>
      </c>
      <c r="K227" s="18">
        <v>0</v>
      </c>
      <c r="L227" s="13">
        <f t="shared" si="2"/>
        <v>37707.31</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14645.28</v>
      </c>
      <c r="G230" s="38">
        <f>SUM(G216:G229)</f>
        <v>8140.5</v>
      </c>
      <c r="H230" s="38">
        <f>SUM(H216:H229)</f>
        <v>657813.64999999991</v>
      </c>
      <c r="I230" s="38">
        <f>SUM(I216:I229)</f>
        <v>0</v>
      </c>
      <c r="J230" s="38">
        <f>SUM(J216:J229)</f>
        <v>0</v>
      </c>
      <c r="K230" s="38">
        <f t="shared" si="3"/>
        <v>0</v>
      </c>
      <c r="L230" s="38">
        <f t="shared" si="3"/>
        <v>680599.42999999993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960202.35</v>
      </c>
      <c r="I234" s="18">
        <v>0</v>
      </c>
      <c r="J234" s="18">
        <v>0</v>
      </c>
      <c r="K234" s="18">
        <v>0</v>
      </c>
      <c r="L234" s="13">
        <f>SUM(F234:K234)</f>
        <v>960202.35</v>
      </c>
      <c r="M234" s="8"/>
      <c r="N234" s="165"/>
    </row>
    <row r="235" spans="1:14" s="3" customFormat="1" ht="12.2" customHeight="1" x14ac:dyDescent="0.15">
      <c r="A235" s="1" t="s">
        <v>439</v>
      </c>
      <c r="B235" s="2" t="s">
        <v>350</v>
      </c>
      <c r="C235" s="2" t="s">
        <v>291</v>
      </c>
      <c r="D235" s="2" t="s">
        <v>431</v>
      </c>
      <c r="E235" s="6">
        <v>1200</v>
      </c>
      <c r="F235" s="18">
        <v>11264.76</v>
      </c>
      <c r="G235" s="18">
        <f>2479+140.98+45+25.02+828.16+2367.82</f>
        <v>5885.98</v>
      </c>
      <c r="H235" s="18">
        <f>292327.72+29950+4418.25</f>
        <v>326695.96999999997</v>
      </c>
      <c r="I235" s="18">
        <v>0</v>
      </c>
      <c r="J235" s="18">
        <v>0</v>
      </c>
      <c r="K235" s="18">
        <v>0</v>
      </c>
      <c r="L235" s="13">
        <f>SUM(F235:K235)</f>
        <v>343846.70999999996</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3380.52</v>
      </c>
      <c r="G239" s="18">
        <f>1266.67+28.18+13.26+5.24+230.59+710.58</f>
        <v>2254.52</v>
      </c>
      <c r="H239" s="18">
        <v>0</v>
      </c>
      <c r="I239" s="18">
        <v>0</v>
      </c>
      <c r="J239" s="18">
        <v>0</v>
      </c>
      <c r="K239" s="18">
        <v>0</v>
      </c>
      <c r="L239" s="13">
        <f t="shared" ref="L239:L245" si="4">SUM(F239:K239)</f>
        <v>5635.04</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f>77960.37+133419.55+4080</f>
        <v>215459.91999999998</v>
      </c>
      <c r="I245" s="18">
        <v>0</v>
      </c>
      <c r="J245" s="18">
        <v>0</v>
      </c>
      <c r="K245" s="18">
        <v>0</v>
      </c>
      <c r="L245" s="13">
        <f t="shared" si="4"/>
        <v>215459.91999999998</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14645.28</v>
      </c>
      <c r="G248" s="38">
        <f t="shared" si="5"/>
        <v>8140.5</v>
      </c>
      <c r="H248" s="38">
        <f t="shared" si="5"/>
        <v>1502358.2399999998</v>
      </c>
      <c r="I248" s="38">
        <f t="shared" si="5"/>
        <v>0</v>
      </c>
      <c r="J248" s="38">
        <f t="shared" si="5"/>
        <v>0</v>
      </c>
      <c r="K248" s="38">
        <f t="shared" si="5"/>
        <v>0</v>
      </c>
      <c r="L248" s="38">
        <f t="shared" si="5"/>
        <v>1525144.02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1705999.16</v>
      </c>
      <c r="G258" s="38">
        <f t="shared" si="8"/>
        <v>772603.35999999987</v>
      </c>
      <c r="H258" s="38">
        <f t="shared" si="8"/>
        <v>2887564.0799999996</v>
      </c>
      <c r="I258" s="38">
        <f t="shared" si="8"/>
        <v>121943.54000000001</v>
      </c>
      <c r="J258" s="38">
        <f t="shared" si="8"/>
        <v>35571.279999999999</v>
      </c>
      <c r="K258" s="38">
        <f t="shared" si="8"/>
        <v>7070</v>
      </c>
      <c r="L258" s="38">
        <f t="shared" si="8"/>
        <v>5530751.4199999999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90000</v>
      </c>
      <c r="L267" s="13">
        <f t="shared" si="9"/>
        <v>90000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90000</v>
      </c>
      <c r="L271" s="38">
        <f t="shared" si="9"/>
        <v>90000</v>
      </c>
      <c r="M271" s="8"/>
      <c r="N271" s="165"/>
    </row>
    <row r="272" spans="1:14" s="33" customFormat="1" ht="12.2" customHeight="1" thickTop="1" x14ac:dyDescent="0.2">
      <c r="A272" s="40" t="s">
        <v>464</v>
      </c>
      <c r="B272" s="37">
        <v>10</v>
      </c>
      <c r="C272" s="37">
        <v>18</v>
      </c>
      <c r="D272" s="36" t="s">
        <v>431</v>
      </c>
      <c r="E272" s="37"/>
      <c r="F272" s="39">
        <f t="shared" ref="F272:L272" si="11">F258+F271</f>
        <v>1705999.16</v>
      </c>
      <c r="G272" s="39">
        <f t="shared" si="11"/>
        <v>772603.35999999987</v>
      </c>
      <c r="H272" s="39">
        <f t="shared" si="11"/>
        <v>2887564.0799999996</v>
      </c>
      <c r="I272" s="39">
        <f t="shared" si="11"/>
        <v>121943.54000000001</v>
      </c>
      <c r="J272" s="39">
        <f t="shared" si="11"/>
        <v>35571.279999999999</v>
      </c>
      <c r="K272" s="39">
        <f t="shared" si="11"/>
        <v>97070</v>
      </c>
      <c r="L272" s="39">
        <f t="shared" si="11"/>
        <v>5620751.4199999999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0</v>
      </c>
      <c r="G277" s="18">
        <v>0</v>
      </c>
      <c r="H277" s="18">
        <v>0</v>
      </c>
      <c r="I277" s="18">
        <v>0</v>
      </c>
      <c r="J277" s="18">
        <v>0</v>
      </c>
      <c r="K277" s="18">
        <v>0</v>
      </c>
      <c r="L277" s="13">
        <f>SUM(F277:K277)</f>
        <v>0</v>
      </c>
      <c r="M277" s="8"/>
      <c r="N277" s="165"/>
    </row>
    <row r="278" spans="1:14" s="3" customFormat="1" ht="12.2" customHeight="1" x14ac:dyDescent="0.15">
      <c r="A278" s="1" t="s">
        <v>439</v>
      </c>
      <c r="B278" s="2" t="s">
        <v>357</v>
      </c>
      <c r="C278" s="2" t="s">
        <v>291</v>
      </c>
      <c r="D278" s="2" t="s">
        <v>431</v>
      </c>
      <c r="E278" s="6">
        <v>1200</v>
      </c>
      <c r="F278" s="18">
        <v>33263.93</v>
      </c>
      <c r="G278" s="18">
        <v>5822.49</v>
      </c>
      <c r="H278" s="18">
        <v>2560.61</v>
      </c>
      <c r="I278" s="18">
        <v>1680</v>
      </c>
      <c r="J278" s="18">
        <v>0</v>
      </c>
      <c r="K278" s="18">
        <v>591.89</v>
      </c>
      <c r="L278" s="13">
        <f>SUM(F278:K278)</f>
        <v>43918.92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8400</v>
      </c>
      <c r="G280" s="18">
        <v>2243.96</v>
      </c>
      <c r="H280" s="18">
        <v>0</v>
      </c>
      <c r="I280" s="18">
        <v>0</v>
      </c>
      <c r="J280" s="18">
        <v>0</v>
      </c>
      <c r="K280" s="18">
        <v>0</v>
      </c>
      <c r="L280" s="13">
        <f>SUM(F280:K280)</f>
        <v>10643.96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6468.47</v>
      </c>
      <c r="I282" s="18">
        <v>1446.48</v>
      </c>
      <c r="J282" s="18">
        <v>0</v>
      </c>
      <c r="K282" s="18">
        <v>0</v>
      </c>
      <c r="L282" s="13">
        <f t="shared" ref="L282:L288" si="12">SUM(F282:K282)</f>
        <v>7914.9500000000007</v>
      </c>
      <c r="M282" s="8"/>
      <c r="N282" s="165"/>
    </row>
    <row r="283" spans="1:14" s="3" customFormat="1" ht="12.2" customHeight="1" x14ac:dyDescent="0.15">
      <c r="A283" s="1" t="s">
        <v>443</v>
      </c>
      <c r="B283" s="2" t="s">
        <v>357</v>
      </c>
      <c r="C283" s="2" t="s">
        <v>295</v>
      </c>
      <c r="D283" s="2" t="s">
        <v>431</v>
      </c>
      <c r="E283" s="6">
        <v>2200</v>
      </c>
      <c r="F283" s="18">
        <v>0</v>
      </c>
      <c r="G283" s="18">
        <v>0</v>
      </c>
      <c r="H283" s="18">
        <v>2661</v>
      </c>
      <c r="I283" s="18">
        <v>1934.18</v>
      </c>
      <c r="J283" s="18">
        <v>0</v>
      </c>
      <c r="K283" s="18">
        <v>0</v>
      </c>
      <c r="L283" s="13">
        <f t="shared" si="12"/>
        <v>4595.18</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908.85</v>
      </c>
      <c r="L286" s="13">
        <f t="shared" si="12"/>
        <v>908.85</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297.81</v>
      </c>
      <c r="J287" s="18">
        <v>0</v>
      </c>
      <c r="K287" s="18">
        <v>0</v>
      </c>
      <c r="L287" s="13">
        <f t="shared" si="12"/>
        <v>297.81</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41663.93</v>
      </c>
      <c r="G291" s="39">
        <f t="shared" si="13"/>
        <v>8066.45</v>
      </c>
      <c r="H291" s="39">
        <f t="shared" si="13"/>
        <v>11690.08</v>
      </c>
      <c r="I291" s="39">
        <f t="shared" si="13"/>
        <v>5358.47</v>
      </c>
      <c r="J291" s="39">
        <f t="shared" si="13"/>
        <v>0</v>
      </c>
      <c r="K291" s="39">
        <f t="shared" si="13"/>
        <v>1500.74</v>
      </c>
      <c r="L291" s="38">
        <f t="shared" si="13"/>
        <v>68279.670000000013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41663.93</v>
      </c>
      <c r="G339" s="38">
        <f t="shared" si="20"/>
        <v>8066.45</v>
      </c>
      <c r="H339" s="38">
        <f t="shared" si="20"/>
        <v>11690.08</v>
      </c>
      <c r="I339" s="38">
        <f t="shared" si="20"/>
        <v>5358.47</v>
      </c>
      <c r="J339" s="38">
        <f t="shared" si="20"/>
        <v>0</v>
      </c>
      <c r="K339" s="38">
        <f t="shared" si="20"/>
        <v>1500.74</v>
      </c>
      <c r="L339" s="38">
        <f t="shared" si="20"/>
        <v>68279.670000000013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41663.93</v>
      </c>
      <c r="G353" s="38">
        <f>G339</f>
        <v>8066.45</v>
      </c>
      <c r="H353" s="38">
        <f>H339</f>
        <v>11690.08</v>
      </c>
      <c r="I353" s="38">
        <f>I339</f>
        <v>5358.47</v>
      </c>
      <c r="J353" s="38">
        <f>J339</f>
        <v>0</v>
      </c>
      <c r="K353" s="38">
        <f>K339+K352</f>
        <v>1500.74</v>
      </c>
      <c r="L353" s="38">
        <f>L339+L352</f>
        <v>68279.670000000013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v>46531</v>
      </c>
      <c r="I359" s="18">
        <v>2542.09</v>
      </c>
      <c r="J359" s="18">
        <v>0</v>
      </c>
      <c r="K359" s="18">
        <v>0</v>
      </c>
      <c r="L359" s="13">
        <f>SUM(F359:K359)</f>
        <v>49073.09</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46531</v>
      </c>
      <c r="I363" s="38">
        <f t="shared" si="22"/>
        <v>2542.09</v>
      </c>
      <c r="J363" s="38">
        <f t="shared" si="22"/>
        <v>0</v>
      </c>
      <c r="K363" s="38">
        <f t="shared" si="22"/>
        <v>0</v>
      </c>
      <c r="L363" s="38">
        <f t="shared" si="22"/>
        <v>49073.09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2542.09</v>
      </c>
      <c r="G369" s="53">
        <v>0</v>
      </c>
      <c r="H369" s="53">
        <v>0</v>
      </c>
      <c r="I369" s="13">
        <f>SUM(F369:H369)</f>
        <v>2542.09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2542.09</v>
      </c>
      <c r="G370" s="38">
        <f>SUM(G368:G369)</f>
        <v>0</v>
      </c>
      <c r="H370" s="38">
        <f>SUM(H368:H369)</f>
        <v>0</v>
      </c>
      <c r="I370" s="38">
        <f>SUM(I368:I369)</f>
        <v>2542.09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90000</v>
      </c>
      <c r="H393" s="18">
        <v>601.84</v>
      </c>
      <c r="I393" s="18">
        <v>0</v>
      </c>
      <c r="J393" s="23" t="s">
        <v>288</v>
      </c>
      <c r="K393" s="23" t="s">
        <v>288</v>
      </c>
      <c r="L393" s="13">
        <f t="shared" si="25"/>
        <v>90601.84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90000</v>
      </c>
      <c r="H394" s="97">
        <f>SUM(H388:H393)</f>
        <v>601.84</v>
      </c>
      <c r="I394" s="54">
        <f>SUM(I388:I393)</f>
        <v>0</v>
      </c>
      <c r="J394" s="42" t="s">
        <v>288</v>
      </c>
      <c r="K394" s="42" t="s">
        <v>288</v>
      </c>
      <c r="L394" s="38">
        <f>SUM(L388:L393)</f>
        <v>90601.84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90000</v>
      </c>
      <c r="H409" s="38">
        <f>H394+H402+H408</f>
        <v>601.84</v>
      </c>
      <c r="I409" s="38">
        <f>I394+I402+I408</f>
        <v>0</v>
      </c>
      <c r="J409" s="23" t="s">
        <v>288</v>
      </c>
      <c r="K409" s="23" t="s">
        <v>288</v>
      </c>
      <c r="L409" s="38">
        <f>L394+L402+L408</f>
        <v>90601.84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628890.57999999996</v>
      </c>
      <c r="G441" s="18">
        <v>0</v>
      </c>
      <c r="H441" s="18">
        <v>0</v>
      </c>
      <c r="I441" s="13">
        <f t="shared" si="33"/>
        <v>628890.57999999996</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628890.57999999996</v>
      </c>
      <c r="G447" s="13">
        <f>SUM(G440:G446)</f>
        <v>0</v>
      </c>
      <c r="H447" s="13">
        <f>SUM(H440:H446)</f>
        <v>0</v>
      </c>
      <c r="I447" s="13">
        <f>SUM(I440:I446)</f>
        <v>628890.57999999996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628890.57999999996</v>
      </c>
      <c r="G460" s="18">
        <v>0</v>
      </c>
      <c r="H460" s="18">
        <v>0</v>
      </c>
      <c r="I460" s="13">
        <f t="shared" si="34"/>
        <v>628890.57999999996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628890.57999999996</v>
      </c>
      <c r="G461" s="65">
        <f>SUM(G455:G460)</f>
        <v>0</v>
      </c>
      <c r="H461" s="65">
        <f>SUM(H455:H460)</f>
        <v>0</v>
      </c>
      <c r="I461" s="65">
        <f>SUM(I455:I460)</f>
        <v>628890.57999999996</v>
      </c>
      <c r="J461" s="23" t="s">
        <v>288</v>
      </c>
      <c r="K461" s="23" t="s">
        <v>288</v>
      </c>
      <c r="L461" s="23" t="s">
        <v>288</v>
      </c>
      <c r="N461" s="131"/>
    </row>
    <row r="462" spans="1:86" ht="12.2" customHeight="1" thickTop="1" x14ac:dyDescent="0.2">
      <c r="A462" s="40" t="s">
        <v>424</v>
      </c>
      <c r="B462" s="41">
        <v>18</v>
      </c>
      <c r="C462" s="64">
        <v>21</v>
      </c>
      <c r="D462" s="114" t="s">
        <v>432</v>
      </c>
      <c r="E462" s="64"/>
      <c r="F462" s="39">
        <f>F453+F461</f>
        <v>628890.57999999996</v>
      </c>
      <c r="G462" s="39">
        <f>G453+G461</f>
        <v>0</v>
      </c>
      <c r="H462" s="39">
        <f>H453+H461</f>
        <v>0</v>
      </c>
      <c r="I462" s="39">
        <f>I453+I461</f>
        <v>628890.57999999996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468656.38</v>
      </c>
      <c r="G466" s="18">
        <v>0.53</v>
      </c>
      <c r="H466" s="18">
        <v>268.74</v>
      </c>
      <c r="I466" s="18">
        <v>0</v>
      </c>
      <c r="J466" s="18">
        <v>538288.74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5626573.0499999998</v>
      </c>
      <c r="G469" s="18">
        <v>73881.55</v>
      </c>
      <c r="H469" s="18">
        <v>68068.67</v>
      </c>
      <c r="I469" s="18">
        <v>0</v>
      </c>
      <c r="J469" s="18">
        <v>90601.84</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5626573.0499999998</v>
      </c>
      <c r="G471" s="19">
        <f>SUM(G469:G470)</f>
        <v>73881.55</v>
      </c>
      <c r="H471" s="19">
        <f>SUM(H469:H470)</f>
        <v>68068.67</v>
      </c>
      <c r="I471" s="19">
        <f>SUM(I469:I470)</f>
        <v>0</v>
      </c>
      <c r="J471" s="19">
        <f>SUM(J469:J470)</f>
        <v>90601.84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5620594.76+156.66</f>
        <v>5620751.4199999999</v>
      </c>
      <c r="G473" s="18">
        <v>49073.09</v>
      </c>
      <c r="H473" s="18">
        <v>68279.67</v>
      </c>
      <c r="I473" s="18">
        <v>0</v>
      </c>
      <c r="J473" s="18">
        <v>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5620751.4199999999</v>
      </c>
      <c r="G475" s="19">
        <f>SUM(G473:G474)</f>
        <v>49073.09</v>
      </c>
      <c r="H475" s="19">
        <f>SUM(H473:H474)</f>
        <v>68279.67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474478.00999999978</v>
      </c>
      <c r="G477" s="19">
        <f>(G466+G471)- G475</f>
        <v>24808.990000000005</v>
      </c>
      <c r="H477" s="19">
        <f>(H466+H471)- H475</f>
        <v>57.740000000005239</v>
      </c>
      <c r="I477" s="19">
        <f>(I466+I471)- I475</f>
        <v>0</v>
      </c>
      <c r="J477" s="19">
        <f>(J466+J471)- J475</f>
        <v>628890.57999999996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31"/>
    </row>
    <row r="492" spans="1:14" ht="12.2" customHeight="1" x14ac:dyDescent="0.2">
      <c r="A492" s="21" t="s">
        <v>615</v>
      </c>
      <c r="B492" s="22">
        <v>20</v>
      </c>
      <c r="C492" s="22">
        <v>2</v>
      </c>
      <c r="D492" s="2" t="s">
        <v>432</v>
      </c>
      <c r="E492" s="22"/>
      <c r="F492" s="112" t="s">
        <v>1802</v>
      </c>
      <c r="G492" s="112" t="s">
        <v>1802</v>
      </c>
      <c r="H492" s="111">
        <v>0</v>
      </c>
      <c r="I492" s="111">
        <v>0</v>
      </c>
      <c r="J492" s="111">
        <v>0</v>
      </c>
      <c r="K492" s="23" t="s">
        <v>288</v>
      </c>
      <c r="L492" s="23" t="s">
        <v>288</v>
      </c>
      <c r="N492" s="131"/>
    </row>
    <row r="493" spans="1:14" ht="12.2" customHeight="1" x14ac:dyDescent="0.2">
      <c r="A493" s="21" t="s">
        <v>616</v>
      </c>
      <c r="B493" s="22">
        <v>20</v>
      </c>
      <c r="C493" s="22">
        <v>3</v>
      </c>
      <c r="D493" s="2" t="s">
        <v>432</v>
      </c>
      <c r="E493" s="22"/>
      <c r="F493" s="112" t="s">
        <v>1802</v>
      </c>
      <c r="G493" s="112" t="s">
        <v>1802</v>
      </c>
      <c r="H493" s="111">
        <v>0</v>
      </c>
      <c r="I493" s="111">
        <v>0</v>
      </c>
      <c r="J493" s="111">
        <v>0</v>
      </c>
      <c r="K493" s="23" t="s">
        <v>288</v>
      </c>
      <c r="L493" s="23" t="s">
        <v>288</v>
      </c>
      <c r="N493" s="131"/>
    </row>
    <row r="494" spans="1:14" ht="12.2" customHeight="1" x14ac:dyDescent="0.2">
      <c r="A494" s="21" t="s">
        <v>617</v>
      </c>
      <c r="B494" s="22">
        <v>20</v>
      </c>
      <c r="C494" s="22">
        <v>4</v>
      </c>
      <c r="D494" s="2" t="s">
        <v>432</v>
      </c>
      <c r="E494" s="22"/>
      <c r="F494" s="18">
        <v>0</v>
      </c>
      <c r="G494" s="18">
        <v>0</v>
      </c>
      <c r="H494" s="18">
        <v>0</v>
      </c>
      <c r="I494" s="18">
        <v>0</v>
      </c>
      <c r="J494" s="18">
        <v>0</v>
      </c>
      <c r="K494" s="23" t="s">
        <v>288</v>
      </c>
      <c r="L494" s="23" t="s">
        <v>288</v>
      </c>
      <c r="N494" s="131"/>
    </row>
    <row r="495" spans="1:14" ht="12.2" customHeight="1" x14ac:dyDescent="0.2">
      <c r="A495" s="21" t="s">
        <v>618</v>
      </c>
      <c r="B495" s="22">
        <v>20</v>
      </c>
      <c r="C495" s="22">
        <v>5</v>
      </c>
      <c r="D495" s="2" t="s">
        <v>432</v>
      </c>
      <c r="E495" s="22"/>
      <c r="F495" s="18">
        <v>0</v>
      </c>
      <c r="G495" s="18">
        <v>0</v>
      </c>
      <c r="H495" s="18">
        <v>0</v>
      </c>
      <c r="I495" s="18">
        <v>0</v>
      </c>
      <c r="J495" s="18">
        <v>0</v>
      </c>
      <c r="K495" s="23" t="s">
        <v>288</v>
      </c>
      <c r="L495" s="23" t="s">
        <v>288</v>
      </c>
      <c r="N495" s="131"/>
    </row>
    <row r="496" spans="1:14" ht="12.2" customHeight="1" x14ac:dyDescent="0.2">
      <c r="A496" s="21" t="s">
        <v>619</v>
      </c>
      <c r="B496" s="22">
        <v>20</v>
      </c>
      <c r="C496" s="22">
        <v>6</v>
      </c>
      <c r="D496" s="2" t="s">
        <v>432</v>
      </c>
      <c r="E496" s="22"/>
      <c r="F496" s="18">
        <v>0</v>
      </c>
      <c r="G496" s="18">
        <v>0</v>
      </c>
      <c r="H496" s="18">
        <v>0</v>
      </c>
      <c r="I496" s="18">
        <v>0</v>
      </c>
      <c r="J496" s="18">
        <v>0</v>
      </c>
      <c r="K496" s="19">
        <f>SUM(F496:J496)</f>
        <v>0</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1"/>
    </row>
    <row r="499" spans="1:14" ht="12.2" customHeight="1" x14ac:dyDescent="0.2">
      <c r="A499" s="144" t="s">
        <v>622</v>
      </c>
      <c r="B499" s="145">
        <v>20</v>
      </c>
      <c r="C499" s="145">
        <v>9</v>
      </c>
      <c r="D499" s="146" t="s">
        <v>432</v>
      </c>
      <c r="E499" s="145"/>
      <c r="F499" s="147">
        <v>0</v>
      </c>
      <c r="G499" s="147">
        <v>0</v>
      </c>
      <c r="H499" s="147">
        <v>0</v>
      </c>
      <c r="I499" s="147">
        <v>0</v>
      </c>
      <c r="J499" s="147">
        <v>0</v>
      </c>
      <c r="K499" s="148">
        <f t="shared" si="35"/>
        <v>0</v>
      </c>
      <c r="L499" s="149" t="s">
        <v>288</v>
      </c>
      <c r="N499" s="131"/>
    </row>
    <row r="500" spans="1:14" ht="12.2" customHeight="1" thickBot="1" x14ac:dyDescent="0.25">
      <c r="A500" s="21" t="s">
        <v>623</v>
      </c>
      <c r="B500" s="22">
        <v>20</v>
      </c>
      <c r="C500" s="22">
        <v>10</v>
      </c>
      <c r="D500" s="2" t="s">
        <v>432</v>
      </c>
      <c r="E500" s="22"/>
      <c r="F500" s="18">
        <v>0</v>
      </c>
      <c r="G500" s="18">
        <v>0</v>
      </c>
      <c r="H500" s="18">
        <v>0</v>
      </c>
      <c r="I500" s="18">
        <v>0</v>
      </c>
      <c r="J500" s="18">
        <v>0</v>
      </c>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v>0</v>
      </c>
      <c r="H502" s="147">
        <v>0</v>
      </c>
      <c r="I502" s="147">
        <v>0</v>
      </c>
      <c r="J502" s="147">
        <v>0</v>
      </c>
      <c r="K502" s="148">
        <f t="shared" si="35"/>
        <v>0</v>
      </c>
      <c r="L502" s="149" t="s">
        <v>288</v>
      </c>
      <c r="N502" s="131"/>
    </row>
    <row r="503" spans="1:14" ht="12.2" customHeight="1" thickBot="1" x14ac:dyDescent="0.25">
      <c r="A503" s="21" t="s">
        <v>625</v>
      </c>
      <c r="B503" s="22">
        <v>20</v>
      </c>
      <c r="C503" s="22">
        <v>13</v>
      </c>
      <c r="D503" s="2" t="s">
        <v>432</v>
      </c>
      <c r="E503" s="22"/>
      <c r="F503" s="18">
        <v>0</v>
      </c>
      <c r="G503" s="18">
        <v>0</v>
      </c>
      <c r="H503" s="18">
        <v>0</v>
      </c>
      <c r="I503" s="18">
        <v>0</v>
      </c>
      <c r="J503" s="18">
        <v>0</v>
      </c>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311788.89</v>
      </c>
      <c r="G522" s="18">
        <v>77856.52</v>
      </c>
      <c r="H522" s="18">
        <v>73143.09</v>
      </c>
      <c r="I522" s="18">
        <v>2267.7399999999998</v>
      </c>
      <c r="J522" s="18">
        <v>0</v>
      </c>
      <c r="K522" s="18">
        <v>0</v>
      </c>
      <c r="L522" s="69">
        <f>SUM(F522:K522)</f>
        <v>465056.24</v>
      </c>
      <c r="N522" s="131"/>
    </row>
    <row r="523" spans="1:14" ht="12.2" customHeight="1" x14ac:dyDescent="0.2">
      <c r="A523" s="21" t="s">
        <v>634</v>
      </c>
      <c r="B523" s="22">
        <v>21</v>
      </c>
      <c r="C523" s="22">
        <v>2</v>
      </c>
      <c r="D523" s="2" t="s">
        <v>432</v>
      </c>
      <c r="E523" s="22"/>
      <c r="F523" s="18">
        <v>11264.76</v>
      </c>
      <c r="G523" s="18">
        <v>5885.98</v>
      </c>
      <c r="H523" s="18">
        <v>183177.23</v>
      </c>
      <c r="I523" s="18">
        <v>0</v>
      </c>
      <c r="J523" s="18">
        <v>0</v>
      </c>
      <c r="K523" s="18">
        <v>0</v>
      </c>
      <c r="L523" s="69">
        <f>SUM(F523:K523)</f>
        <v>200327.97</v>
      </c>
      <c r="N523" s="131"/>
    </row>
    <row r="524" spans="1:14" ht="12.2" customHeight="1" thickBot="1" x14ac:dyDescent="0.25">
      <c r="A524" s="21" t="s">
        <v>635</v>
      </c>
      <c r="B524" s="22">
        <v>21</v>
      </c>
      <c r="C524" s="22">
        <v>3</v>
      </c>
      <c r="D524" s="2" t="s">
        <v>432</v>
      </c>
      <c r="E524" s="22"/>
      <c r="F524" s="18">
        <v>11264.76</v>
      </c>
      <c r="G524" s="18">
        <v>5885.98</v>
      </c>
      <c r="H524" s="18">
        <v>318957.77</v>
      </c>
      <c r="I524" s="18">
        <v>0</v>
      </c>
      <c r="J524" s="18">
        <v>0</v>
      </c>
      <c r="K524" s="18">
        <v>0</v>
      </c>
      <c r="L524" s="69">
        <f>SUM(F524:K524)</f>
        <v>336108.51</v>
      </c>
      <c r="N524" s="131"/>
    </row>
    <row r="525" spans="1:14" ht="12.2" customHeight="1" thickTop="1" x14ac:dyDescent="0.2">
      <c r="A525" s="97" t="s">
        <v>63</v>
      </c>
      <c r="B525" s="41">
        <v>21</v>
      </c>
      <c r="C525" s="41">
        <v>4</v>
      </c>
      <c r="D525" s="115" t="s">
        <v>432</v>
      </c>
      <c r="E525" s="41"/>
      <c r="F525" s="81">
        <f>SUM(F522:F524)</f>
        <v>334318.41000000003</v>
      </c>
      <c r="G525" s="81">
        <f t="shared" ref="G525:L525" si="36">SUM(G522:G524)</f>
        <v>89628.479999999996</v>
      </c>
      <c r="H525" s="81">
        <f t="shared" si="36"/>
        <v>575278.09000000008</v>
      </c>
      <c r="I525" s="81">
        <f t="shared" si="36"/>
        <v>2267.7399999999998</v>
      </c>
      <c r="J525" s="81">
        <f t="shared" si="36"/>
        <v>0</v>
      </c>
      <c r="K525" s="81">
        <f t="shared" si="36"/>
        <v>0</v>
      </c>
      <c r="L525" s="70">
        <f t="shared" si="36"/>
        <v>1001492.72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70936</v>
      </c>
      <c r="G527" s="18">
        <f>9916+542+279+107+5418+14911</f>
        <v>31173</v>
      </c>
      <c r="H527" s="18">
        <v>38773</v>
      </c>
      <c r="I527" s="18">
        <v>0</v>
      </c>
      <c r="J527" s="18">
        <v>0</v>
      </c>
      <c r="K527" s="18">
        <v>0</v>
      </c>
      <c r="L527" s="69">
        <f>SUM(F527:K527)</f>
        <v>140882</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70936</v>
      </c>
      <c r="G530" s="70">
        <f t="shared" ref="G530:L530" si="37">SUM(G527:G529)</f>
        <v>31173</v>
      </c>
      <c r="H530" s="70">
        <f t="shared" si="37"/>
        <v>38773</v>
      </c>
      <c r="I530" s="70">
        <f t="shared" si="37"/>
        <v>0</v>
      </c>
      <c r="J530" s="70">
        <f t="shared" si="37"/>
        <v>0</v>
      </c>
      <c r="K530" s="70">
        <f t="shared" si="37"/>
        <v>0</v>
      </c>
      <c r="L530" s="70">
        <f t="shared" si="37"/>
        <v>140882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38911</v>
      </c>
      <c r="G532" s="18">
        <v>21208</v>
      </c>
      <c r="H532" s="18">
        <v>0</v>
      </c>
      <c r="I532" s="18">
        <v>0</v>
      </c>
      <c r="J532" s="18">
        <v>0</v>
      </c>
      <c r="K532" s="18">
        <v>0</v>
      </c>
      <c r="L532" s="69">
        <f>SUM(F532:K532)</f>
        <v>60119</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38911</v>
      </c>
      <c r="G535" s="70">
        <f t="shared" ref="G535:L535" si="38">SUM(G532:G534)</f>
        <v>21208</v>
      </c>
      <c r="H535" s="70">
        <f t="shared" si="38"/>
        <v>0</v>
      </c>
      <c r="I535" s="70">
        <f t="shared" si="38"/>
        <v>0</v>
      </c>
      <c r="J535" s="70">
        <f t="shared" si="38"/>
        <v>0</v>
      </c>
      <c r="K535" s="70">
        <f t="shared" si="38"/>
        <v>0</v>
      </c>
      <c r="L535" s="70">
        <f t="shared" si="38"/>
        <v>60119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1430</v>
      </c>
      <c r="I537" s="18">
        <v>0</v>
      </c>
      <c r="J537" s="18">
        <v>0</v>
      </c>
      <c r="K537" s="18">
        <v>0</v>
      </c>
      <c r="L537" s="69">
        <f>SUM(F537:K537)</f>
        <v>1430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1430</v>
      </c>
      <c r="I540" s="70">
        <f t="shared" si="39"/>
        <v>0</v>
      </c>
      <c r="J540" s="70">
        <f t="shared" si="39"/>
        <v>0</v>
      </c>
      <c r="K540" s="70">
        <f t="shared" si="39"/>
        <v>0</v>
      </c>
      <c r="L540" s="70">
        <f t="shared" si="39"/>
        <v>1430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0</v>
      </c>
      <c r="I542" s="18">
        <v>0</v>
      </c>
      <c r="J542" s="18">
        <v>0</v>
      </c>
      <c r="K542" s="18">
        <v>0</v>
      </c>
      <c r="L542" s="69">
        <f>SUM(F542:K542)</f>
        <v>0</v>
      </c>
      <c r="M542" s="8"/>
      <c r="N542" s="165"/>
    </row>
    <row r="543" spans="1:14" s="3" customFormat="1" ht="12.2" customHeight="1" x14ac:dyDescent="0.15">
      <c r="A543" s="21" t="s">
        <v>634</v>
      </c>
      <c r="B543" s="22">
        <v>21</v>
      </c>
      <c r="C543" s="22">
        <v>18</v>
      </c>
      <c r="D543" s="2" t="s">
        <v>432</v>
      </c>
      <c r="E543" s="22"/>
      <c r="F543" s="18">
        <v>0</v>
      </c>
      <c r="G543" s="18">
        <v>0</v>
      </c>
      <c r="H543" s="18">
        <v>215.74</v>
      </c>
      <c r="I543" s="18">
        <v>0</v>
      </c>
      <c r="J543" s="18">
        <v>0</v>
      </c>
      <c r="K543" s="18">
        <v>0</v>
      </c>
      <c r="L543" s="69">
        <f>SUM(F543:K543)</f>
        <v>215.74</v>
      </c>
      <c r="M543" s="8"/>
      <c r="N543" s="165"/>
    </row>
    <row r="544" spans="1:14" s="3" customFormat="1" ht="12.2" customHeight="1" thickBot="1" x14ac:dyDescent="0.2">
      <c r="A544" s="21" t="s">
        <v>635</v>
      </c>
      <c r="B544" s="22">
        <v>21</v>
      </c>
      <c r="C544" s="22">
        <v>19</v>
      </c>
      <c r="D544" s="2" t="s">
        <v>432</v>
      </c>
      <c r="E544" s="22"/>
      <c r="F544" s="18">
        <v>0</v>
      </c>
      <c r="G544" s="18">
        <v>0</v>
      </c>
      <c r="H544" s="18">
        <v>133419.54999999999</v>
      </c>
      <c r="I544" s="18">
        <v>0</v>
      </c>
      <c r="J544" s="18">
        <v>0</v>
      </c>
      <c r="K544" s="18">
        <v>0</v>
      </c>
      <c r="L544" s="69">
        <f>SUM(F544:K544)</f>
        <v>133419.54999999999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133635.28999999998</v>
      </c>
      <c r="I545" s="141">
        <f t="shared" si="40"/>
        <v>0</v>
      </c>
      <c r="J545" s="141">
        <f t="shared" si="40"/>
        <v>0</v>
      </c>
      <c r="K545" s="141">
        <f t="shared" si="40"/>
        <v>0</v>
      </c>
      <c r="L545" s="141">
        <f t="shared" si="40"/>
        <v>133635.28999999998</v>
      </c>
      <c r="M545" s="8"/>
      <c r="N545" s="165"/>
    </row>
    <row r="546" spans="1:14" s="3" customFormat="1" ht="12.2" customHeight="1" thickTop="1" x14ac:dyDescent="0.15">
      <c r="A546" s="75" t="s">
        <v>72</v>
      </c>
      <c r="B546" s="41">
        <v>21</v>
      </c>
      <c r="C546" s="41">
        <v>21</v>
      </c>
      <c r="D546" s="115" t="s">
        <v>432</v>
      </c>
      <c r="E546" s="41"/>
      <c r="F546" s="70">
        <f>F525+F530+F535+F540+F545</f>
        <v>444165.41000000003</v>
      </c>
      <c r="G546" s="70">
        <f t="shared" ref="G546:L546" si="41">G525+G530+G535+G540+G545</f>
        <v>142009.47999999998</v>
      </c>
      <c r="H546" s="70">
        <f t="shared" si="41"/>
        <v>749116.38000000012</v>
      </c>
      <c r="I546" s="70">
        <f t="shared" si="41"/>
        <v>2267.7399999999998</v>
      </c>
      <c r="J546" s="70">
        <f t="shared" si="41"/>
        <v>0</v>
      </c>
      <c r="K546" s="70">
        <f t="shared" si="41"/>
        <v>0</v>
      </c>
      <c r="L546" s="70">
        <f t="shared" si="41"/>
        <v>1337559.01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465056.24</v>
      </c>
      <c r="G550" s="69">
        <f>L527</f>
        <v>140882</v>
      </c>
      <c r="H550" s="69">
        <f>L532</f>
        <v>60119</v>
      </c>
      <c r="I550" s="69">
        <f>L537</f>
        <v>1430</v>
      </c>
      <c r="J550" s="69">
        <f>L542</f>
        <v>0</v>
      </c>
      <c r="K550" s="69">
        <f>SUM(F550:J550)</f>
        <v>667487.24</v>
      </c>
      <c r="L550" s="23" t="s">
        <v>288</v>
      </c>
      <c r="M550" s="8"/>
      <c r="N550" s="165"/>
    </row>
    <row r="551" spans="1:14" s="3" customFormat="1" ht="12.2" customHeight="1" x14ac:dyDescent="0.15">
      <c r="A551" s="21" t="s">
        <v>634</v>
      </c>
      <c r="B551" s="22">
        <v>21</v>
      </c>
      <c r="C551" s="22">
        <v>23</v>
      </c>
      <c r="D551" s="2" t="s">
        <v>432</v>
      </c>
      <c r="E551" s="22"/>
      <c r="F551" s="69">
        <f>L523</f>
        <v>200327.97</v>
      </c>
      <c r="G551" s="69">
        <f>L528</f>
        <v>0</v>
      </c>
      <c r="H551" s="69">
        <f>L533</f>
        <v>0</v>
      </c>
      <c r="I551" s="69">
        <f>L538</f>
        <v>0</v>
      </c>
      <c r="J551" s="69">
        <f>L543</f>
        <v>215.74</v>
      </c>
      <c r="K551" s="69">
        <f>SUM(F551:J551)</f>
        <v>200543.71</v>
      </c>
      <c r="L551" s="23" t="s">
        <v>288</v>
      </c>
      <c r="M551" s="8"/>
      <c r="N551" s="165"/>
    </row>
    <row r="552" spans="1:14" s="3" customFormat="1" ht="12.2" customHeight="1" thickBot="1" x14ac:dyDescent="0.2">
      <c r="A552" s="21" t="s">
        <v>635</v>
      </c>
      <c r="B552" s="22">
        <v>21</v>
      </c>
      <c r="C552" s="22">
        <v>24</v>
      </c>
      <c r="D552" s="2" t="s">
        <v>432</v>
      </c>
      <c r="E552" s="22"/>
      <c r="F552" s="69">
        <f>L524</f>
        <v>336108.51</v>
      </c>
      <c r="G552" s="69">
        <f>L529</f>
        <v>0</v>
      </c>
      <c r="H552" s="69">
        <f>L534</f>
        <v>0</v>
      </c>
      <c r="I552" s="69">
        <f>L539</f>
        <v>0</v>
      </c>
      <c r="J552" s="69">
        <f>L544</f>
        <v>133419.54999999999</v>
      </c>
      <c r="K552" s="69">
        <f>SUM(F552:J552)</f>
        <v>469528.06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1001492.72</v>
      </c>
      <c r="G553" s="70">
        <f t="shared" si="42"/>
        <v>140882</v>
      </c>
      <c r="H553" s="70">
        <f t="shared" si="42"/>
        <v>60119</v>
      </c>
      <c r="I553" s="70">
        <f t="shared" si="42"/>
        <v>1430</v>
      </c>
      <c r="J553" s="70">
        <f t="shared" si="42"/>
        <v>133635.28999999998</v>
      </c>
      <c r="K553" s="70">
        <f t="shared" si="42"/>
        <v>1337559.01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3600</v>
      </c>
      <c r="G576" s="18">
        <v>0</v>
      </c>
      <c r="H576" s="18">
        <v>0</v>
      </c>
      <c r="I576" s="69">
        <f>SUM(F576:H576)</f>
        <v>3600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430007.94</v>
      </c>
      <c r="H577" s="18">
        <v>960202.35</v>
      </c>
      <c r="I577" s="69">
        <f t="shared" ref="I577:I588" si="47">SUM(F577:H577)</f>
        <v>1390210.29</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190098.4</v>
      </c>
      <c r="H581" s="18">
        <v>292327.71999999997</v>
      </c>
      <c r="I581" s="69">
        <f t="shared" si="47"/>
        <v>482426.12</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29950</v>
      </c>
      <c r="I583" s="69">
        <f t="shared" si="47"/>
        <v>29950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111371.96</v>
      </c>
      <c r="I592" s="18">
        <f>33411.57+4080</f>
        <v>37491.57</v>
      </c>
      <c r="J592" s="18">
        <f>77960.37+4080</f>
        <v>82040.37</v>
      </c>
      <c r="K592" s="80">
        <f t="shared" ref="K592:K598" si="48">SUM(H592:J592)</f>
        <v>230903.9</v>
      </c>
      <c r="L592" s="23" t="s">
        <v>288</v>
      </c>
      <c r="M592" s="8"/>
      <c r="N592" s="165"/>
    </row>
    <row r="593" spans="1:14" s="3" customFormat="1" ht="12.2" customHeight="1" x14ac:dyDescent="0.15">
      <c r="A593" s="3" t="s">
        <v>638</v>
      </c>
      <c r="B593" s="22">
        <v>23</v>
      </c>
      <c r="C593" s="22">
        <v>2</v>
      </c>
      <c r="D593" s="2" t="s">
        <v>432</v>
      </c>
      <c r="E593" s="22"/>
      <c r="F593" s="78">
        <v>2722</v>
      </c>
      <c r="G593" s="79" t="s">
        <v>97</v>
      </c>
      <c r="H593" s="18">
        <v>0</v>
      </c>
      <c r="I593" s="18">
        <v>215.74</v>
      </c>
      <c r="J593" s="18">
        <v>133419.54999999999</v>
      </c>
      <c r="K593" s="80">
        <f t="shared" si="48"/>
        <v>133635.28999999998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1733.11</v>
      </c>
      <c r="I596" s="18">
        <v>0</v>
      </c>
      <c r="J596" s="18">
        <v>0</v>
      </c>
      <c r="K596" s="80">
        <f t="shared" si="48"/>
        <v>1733.11</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113105.07</v>
      </c>
      <c r="I599" s="81">
        <f>SUM(I592:I598)</f>
        <v>37707.31</v>
      </c>
      <c r="J599" s="81">
        <f>SUM(J592:J598)</f>
        <v>215459.91999999998</v>
      </c>
      <c r="K599" s="81">
        <f>SUM(K592:K598)</f>
        <v>366272.29999999993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35571.279999999999</v>
      </c>
      <c r="I605" s="18">
        <v>0</v>
      </c>
      <c r="J605" s="18">
        <v>0</v>
      </c>
      <c r="K605" s="80">
        <f>SUM(H605:J605)</f>
        <v>35571.279999999999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35571.279999999999</v>
      </c>
      <c r="I606" s="81">
        <f>SUM(I603:I605)</f>
        <v>0</v>
      </c>
      <c r="J606" s="81">
        <f>SUM(J603:J605)</f>
        <v>0</v>
      </c>
      <c r="K606" s="81">
        <f>SUM(K603:K605)</f>
        <v>35571.279999999999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8400</v>
      </c>
      <c r="G612" s="18">
        <v>2243.96</v>
      </c>
      <c r="H612" s="18">
        <v>0</v>
      </c>
      <c r="I612" s="18">
        <v>0</v>
      </c>
      <c r="J612" s="18">
        <v>0</v>
      </c>
      <c r="K612" s="18">
        <v>0</v>
      </c>
      <c r="L612" s="69">
        <f>SUM(F612:K612)</f>
        <v>10643.96</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8400</v>
      </c>
      <c r="G615" s="81">
        <f t="shared" si="49"/>
        <v>2243.96</v>
      </c>
      <c r="H615" s="81">
        <f t="shared" si="49"/>
        <v>0</v>
      </c>
      <c r="I615" s="81">
        <f t="shared" si="49"/>
        <v>0</v>
      </c>
      <c r="J615" s="81">
        <f t="shared" si="49"/>
        <v>0</v>
      </c>
      <c r="K615" s="81">
        <f t="shared" si="49"/>
        <v>0</v>
      </c>
      <c r="L615" s="70">
        <f t="shared" si="49"/>
        <v>10643.96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2100445.56</v>
      </c>
      <c r="H618" s="80">
        <f>SUM(F52)</f>
        <v>2100445.5600000005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579582.41999999993</v>
      </c>
      <c r="H619" s="80">
        <f>SUM(G52)</f>
        <v>579582.42000000004</v>
      </c>
      <c r="I619" s="87" t="s">
        <v>876</v>
      </c>
      <c r="J619" s="80">
        <f>G619-H619</f>
        <v>0</v>
      </c>
      <c r="K619" s="80"/>
      <c r="L619" s="80"/>
      <c r="M619" s="8"/>
    </row>
    <row r="620" spans="1:14" s="3" customFormat="1" ht="12.2" customHeight="1" x14ac:dyDescent="0.15">
      <c r="A620" s="74"/>
      <c r="B620" s="22"/>
      <c r="C620" s="22"/>
      <c r="D620" s="22"/>
      <c r="E620" s="22"/>
      <c r="F620" s="87" t="s">
        <v>685</v>
      </c>
      <c r="G620" s="80">
        <f>SUM(H19)</f>
        <v>859369.9</v>
      </c>
      <c r="H620" s="80">
        <f>SUM(H52)</f>
        <v>859369.9</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628890.57999999996</v>
      </c>
      <c r="H622" s="80">
        <f>SUM(J52)</f>
        <v>628890.57999999996</v>
      </c>
      <c r="I622" s="87" t="s">
        <v>879</v>
      </c>
      <c r="J622" s="80">
        <f>G622-H622</f>
        <v>0</v>
      </c>
      <c r="K622" s="80"/>
      <c r="L622" s="80"/>
      <c r="M622" s="8"/>
    </row>
    <row r="623" spans="1:14" s="3" customFormat="1" ht="12.2" customHeight="1" x14ac:dyDescent="0.15">
      <c r="A623" s="74"/>
      <c r="B623" s="22"/>
      <c r="C623" s="22"/>
      <c r="D623" s="22"/>
      <c r="E623" s="22"/>
      <c r="F623" s="87" t="s">
        <v>865</v>
      </c>
      <c r="G623" s="80">
        <f>F51</f>
        <v>474478.01</v>
      </c>
      <c r="H623" s="80">
        <f>F477</f>
        <v>474478.00999999978</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24808.99</v>
      </c>
      <c r="H624" s="80">
        <f>G477</f>
        <v>24808.990000000005</v>
      </c>
      <c r="I624" s="87" t="s">
        <v>102</v>
      </c>
      <c r="J624" s="80">
        <f t="shared" si="50"/>
        <v>0</v>
      </c>
      <c r="K624" s="80"/>
      <c r="L624" s="80"/>
      <c r="M624" s="8"/>
    </row>
    <row r="625" spans="1:13" s="3" customFormat="1" ht="12.2" customHeight="1" x14ac:dyDescent="0.15">
      <c r="A625" s="74"/>
      <c r="B625" s="22"/>
      <c r="C625" s="22"/>
      <c r="D625" s="22"/>
      <c r="E625" s="22"/>
      <c r="F625" s="86" t="s">
        <v>867</v>
      </c>
      <c r="G625" s="80">
        <f>H51</f>
        <v>57.74</v>
      </c>
      <c r="H625" s="80">
        <f>H477</f>
        <v>57.740000000005239</v>
      </c>
      <c r="I625" s="87" t="s">
        <v>103</v>
      </c>
      <c r="J625" s="80">
        <f t="shared" si="50"/>
        <v>-5.2366999625519384E-12</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628890.57999999996</v>
      </c>
      <c r="H627" s="80">
        <f>J477</f>
        <v>628890.57999999996</v>
      </c>
      <c r="I627" s="87" t="s">
        <v>105</v>
      </c>
      <c r="J627" s="80">
        <f t="shared" si="50"/>
        <v>0</v>
      </c>
      <c r="K627" s="67"/>
      <c r="L627" s="69"/>
      <c r="M627" s="8"/>
    </row>
    <row r="628" spans="1:13" s="3" customFormat="1" ht="12.2" customHeight="1" x14ac:dyDescent="0.15">
      <c r="A628" s="21"/>
      <c r="B628" s="22"/>
      <c r="C628" s="22"/>
      <c r="D628" s="22"/>
      <c r="E628" s="22"/>
      <c r="F628" s="86" t="s">
        <v>658</v>
      </c>
      <c r="G628" s="80">
        <f>F194</f>
        <v>5626573.0500000007</v>
      </c>
      <c r="H628" s="80">
        <f>SUM(F469)</f>
        <v>5626573.0499999998</v>
      </c>
      <c r="I628" s="87" t="s">
        <v>106</v>
      </c>
      <c r="J628" s="80">
        <f>G628-H628</f>
        <v>0</v>
      </c>
      <c r="K628" s="67"/>
      <c r="L628" s="69"/>
      <c r="M628" s="8"/>
    </row>
    <row r="629" spans="1:13" s="3" customFormat="1" ht="12.2" customHeight="1" x14ac:dyDescent="0.15">
      <c r="A629" s="21"/>
      <c r="B629" s="22"/>
      <c r="C629" s="22"/>
      <c r="D629" s="22"/>
      <c r="E629" s="22"/>
      <c r="F629" s="86" t="s">
        <v>659</v>
      </c>
      <c r="G629" s="80">
        <f>G194</f>
        <v>73881.549999999988</v>
      </c>
      <c r="H629" s="80">
        <f>SUM(G469)</f>
        <v>73881.55</v>
      </c>
      <c r="I629" s="87" t="s">
        <v>107</v>
      </c>
      <c r="J629" s="80">
        <f>G629-H629</f>
        <v>0</v>
      </c>
      <c r="K629" s="67"/>
      <c r="L629" s="69"/>
      <c r="M629" s="8"/>
    </row>
    <row r="630" spans="1:13" s="3" customFormat="1" ht="12.2" customHeight="1" x14ac:dyDescent="0.15">
      <c r="A630" s="21"/>
      <c r="B630" s="22"/>
      <c r="C630" s="22"/>
      <c r="D630" s="22"/>
      <c r="E630" s="22"/>
      <c r="F630" s="86" t="s">
        <v>660</v>
      </c>
      <c r="G630" s="80">
        <f>H194</f>
        <v>68068.670000000013</v>
      </c>
      <c r="H630" s="80">
        <f>SUM(H469)</f>
        <v>68068.67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90601.84</v>
      </c>
      <c r="H632" s="80">
        <f>SUM(J469)</f>
        <v>90601.84</v>
      </c>
      <c r="I632" s="87" t="s">
        <v>110</v>
      </c>
      <c r="J632" s="80">
        <f>G632-H632</f>
        <v>0</v>
      </c>
      <c r="K632" s="67"/>
      <c r="L632" s="69"/>
      <c r="M632" s="8"/>
    </row>
    <row r="633" spans="1:13" s="3" customFormat="1" ht="12.2" customHeight="1" x14ac:dyDescent="0.15">
      <c r="A633" s="21"/>
      <c r="B633" s="22"/>
      <c r="C633" s="22"/>
      <c r="D633" s="22"/>
      <c r="E633" s="22"/>
      <c r="F633" s="86" t="s">
        <v>394</v>
      </c>
      <c r="G633" s="80">
        <f>SUM(L272)</f>
        <v>5620751.4199999999</v>
      </c>
      <c r="H633" s="80">
        <f>SUM(F473)</f>
        <v>5620751.4199999999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68279.670000000013</v>
      </c>
      <c r="H634" s="80">
        <f>SUM(H473)</f>
        <v>68279.67</v>
      </c>
      <c r="I634" s="87" t="s">
        <v>112</v>
      </c>
      <c r="J634" s="80">
        <f>G634-H634</f>
        <v>0</v>
      </c>
      <c r="K634" s="67"/>
      <c r="L634" s="69"/>
      <c r="M634" s="8"/>
    </row>
    <row r="635" spans="1:13" s="124" customFormat="1" ht="12.2" customHeight="1" x14ac:dyDescent="0.15">
      <c r="A635" s="21"/>
      <c r="B635" s="22"/>
      <c r="C635" s="22"/>
      <c r="D635" s="22"/>
      <c r="E635" s="22"/>
      <c r="F635" s="99" t="s">
        <v>247</v>
      </c>
      <c r="G635" s="80">
        <f>I363</f>
        <v>2542.09</v>
      </c>
      <c r="H635" s="80">
        <f>I370</f>
        <v>2542.09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49073.09</v>
      </c>
      <c r="H636" s="80">
        <f>SUM(G473)</f>
        <v>49073.09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90601.84</v>
      </c>
      <c r="H638" s="108">
        <f>SUM(J469)</f>
        <v>90601.84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628890.57999999996</v>
      </c>
      <c r="H640" s="80">
        <f>SUM(F462)</f>
        <v>628890.57999999996</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628890.57999999996</v>
      </c>
      <c r="H643" s="80">
        <f>SUM(I462)</f>
        <v>628890.57999999996</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601.84</v>
      </c>
      <c r="H645" s="80">
        <f>H409</f>
        <v>601.84</v>
      </c>
      <c r="I645" s="87" t="s">
        <v>480</v>
      </c>
      <c r="J645" s="80">
        <f t="shared" si="50"/>
        <v>0</v>
      </c>
      <c r="K645" s="67"/>
      <c r="L645" s="69"/>
      <c r="M645" s="8"/>
    </row>
    <row r="646" spans="1:13" s="3" customFormat="1" ht="12.2" customHeight="1" x14ac:dyDescent="0.15">
      <c r="A646" s="21"/>
      <c r="B646" s="22"/>
      <c r="C646" s="22"/>
      <c r="D646" s="22"/>
      <c r="E646" s="22"/>
      <c r="F646" s="86" t="s">
        <v>664</v>
      </c>
      <c r="G646" s="80">
        <f>J184</f>
        <v>90000</v>
      </c>
      <c r="H646" s="80">
        <f>G409</f>
        <v>90000</v>
      </c>
      <c r="I646" s="87" t="s">
        <v>481</v>
      </c>
      <c r="J646" s="80">
        <f t="shared" si="50"/>
        <v>0</v>
      </c>
      <c r="K646" s="67"/>
      <c r="L646" s="69"/>
      <c r="M646" s="8"/>
    </row>
    <row r="647" spans="1:13" s="3" customFormat="1" ht="12.2" customHeight="1" x14ac:dyDescent="0.15">
      <c r="A647" s="21"/>
      <c r="B647" s="22"/>
      <c r="C647" s="22"/>
      <c r="D647" s="22"/>
      <c r="E647" s="22"/>
      <c r="F647" s="86" t="s">
        <v>662</v>
      </c>
      <c r="G647" s="80">
        <f>J194</f>
        <v>90601.84</v>
      </c>
      <c r="H647" s="80">
        <f>L409</f>
        <v>90601.84</v>
      </c>
      <c r="I647" s="87" t="s">
        <v>477</v>
      </c>
      <c r="J647" s="80">
        <f t="shared" si="50"/>
        <v>0</v>
      </c>
      <c r="K647" s="67"/>
      <c r="L647" s="69"/>
      <c r="M647" s="8"/>
    </row>
    <row r="648" spans="1:13" s="3" customFormat="1" ht="12.2" customHeight="1" x14ac:dyDescent="0.15">
      <c r="A648" s="21"/>
      <c r="B648" s="22"/>
      <c r="C648" s="22"/>
      <c r="D648" s="22"/>
      <c r="E648" s="22"/>
      <c r="F648" s="86" t="s">
        <v>51</v>
      </c>
      <c r="G648" s="80">
        <f>K599</f>
        <v>366272.29999999993</v>
      </c>
      <c r="H648" s="80">
        <f>L209+L227+L245</f>
        <v>366272.3</v>
      </c>
      <c r="I648" s="87" t="s">
        <v>396</v>
      </c>
      <c r="J648" s="80">
        <f t="shared" si="50"/>
        <v>0</v>
      </c>
      <c r="K648" s="67"/>
      <c r="L648" s="69"/>
      <c r="M648" s="8"/>
    </row>
    <row r="649" spans="1:13" s="3" customFormat="1" ht="12.2" customHeight="1" x14ac:dyDescent="0.15">
      <c r="A649" s="21"/>
      <c r="B649" s="22"/>
      <c r="C649" s="22"/>
      <c r="D649" s="22"/>
      <c r="E649" s="22"/>
      <c r="F649" s="86" t="s">
        <v>52</v>
      </c>
      <c r="G649" s="80">
        <f>K606</f>
        <v>35571.279999999999</v>
      </c>
      <c r="H649" s="80">
        <f>(J258+J339)-(J256+J337)</f>
        <v>35571.279999999999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113105.07</v>
      </c>
      <c r="H650" s="80">
        <f>H599</f>
        <v>113105.07</v>
      </c>
      <c r="I650" s="87" t="s">
        <v>388</v>
      </c>
      <c r="J650" s="80">
        <f t="shared" si="50"/>
        <v>0</v>
      </c>
      <c r="K650" s="67"/>
      <c r="L650" s="69"/>
      <c r="M650" s="8"/>
    </row>
    <row r="651" spans="1:13" s="3" customFormat="1" ht="12.2" customHeight="1" x14ac:dyDescent="0.15">
      <c r="A651" s="21"/>
      <c r="B651" s="22"/>
      <c r="C651" s="22"/>
      <c r="D651" s="22"/>
      <c r="E651" s="22"/>
      <c r="F651" s="86" t="s">
        <v>392</v>
      </c>
      <c r="G651" s="80">
        <f>L227</f>
        <v>37707.31</v>
      </c>
      <c r="H651" s="80">
        <f>I599</f>
        <v>37707.31</v>
      </c>
      <c r="I651" s="87" t="s">
        <v>389</v>
      </c>
      <c r="J651" s="80">
        <f t="shared" si="50"/>
        <v>0</v>
      </c>
      <c r="K651" s="67"/>
      <c r="L651" s="69"/>
      <c r="M651" s="8"/>
    </row>
    <row r="652" spans="1:13" s="3" customFormat="1" ht="12.2" customHeight="1" x14ac:dyDescent="0.15">
      <c r="A652" s="21"/>
      <c r="B652" s="22"/>
      <c r="C652" s="22"/>
      <c r="D652" s="22"/>
      <c r="E652" s="22"/>
      <c r="F652" s="86" t="s">
        <v>393</v>
      </c>
      <c r="G652" s="80">
        <f>L245</f>
        <v>215459.91999999998</v>
      </c>
      <c r="H652" s="80">
        <f>J599</f>
        <v>215459.91999999998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90000</v>
      </c>
      <c r="H656" s="80">
        <f>K267+K348</f>
        <v>90000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3442360.73</v>
      </c>
      <c r="G661" s="13">
        <f>(L230+L310+L360)</f>
        <v>680599.42999999993</v>
      </c>
      <c r="H661" s="13">
        <f>(L248+L329+L361)</f>
        <v>1525144.02</v>
      </c>
      <c r="I661" s="13">
        <f>SUM(F661:H661)</f>
        <v>5648104.1799999997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113105.07</v>
      </c>
      <c r="G663" s="13">
        <f>(L227+L307)-(J227+J307)</f>
        <v>37707.31</v>
      </c>
      <c r="H663" s="13">
        <f>(L245+L326)-(J245+J326)</f>
        <v>215459.91999999998</v>
      </c>
      <c r="I663" s="13">
        <f>SUM(F663:H663)</f>
        <v>366272.3</v>
      </c>
      <c r="J663"/>
      <c r="K663" s="13"/>
      <c r="L663" s="13"/>
      <c r="M663" s="9"/>
    </row>
    <row r="664" spans="1:13" s="3" customFormat="1" ht="12.2" customHeight="1" x14ac:dyDescent="0.15">
      <c r="A664" s="142" t="s">
        <v>129</v>
      </c>
      <c r="B664" s="124"/>
      <c r="C664" s="124"/>
      <c r="D664" s="124"/>
      <c r="E664" s="124"/>
      <c r="F664" s="143">
        <f>SUM(F576:F588)+SUM(H603:H605)+SUM(L612)</f>
        <v>49815.24</v>
      </c>
      <c r="G664" s="143">
        <f>SUM(G576:G588)+SUM(I603:I605)+L613</f>
        <v>620106.34</v>
      </c>
      <c r="H664" s="143">
        <f>SUM(H576:H588)+SUM(J603:J605)+L614</f>
        <v>1282480.0699999998</v>
      </c>
      <c r="I664" s="13">
        <f>SUM(F664:H664)</f>
        <v>1952401.65</v>
      </c>
      <c r="J664" s="13"/>
      <c r="K664" s="13"/>
      <c r="L664" s="13"/>
      <c r="M664" s="9"/>
    </row>
    <row r="665" spans="1:13" s="3" customFormat="1" ht="12.2" customHeight="1" x14ac:dyDescent="0.15">
      <c r="A665" s="1" t="s">
        <v>130</v>
      </c>
      <c r="F665" s="13">
        <f>F661-SUM(F662:F664)</f>
        <v>3279440.42</v>
      </c>
      <c r="G665" s="13">
        <f>G661-SUM(G662:G664)</f>
        <v>22785.780000000028</v>
      </c>
      <c r="H665" s="13">
        <f>H661-SUM(H662:H664)</f>
        <v>27204.030000000261</v>
      </c>
      <c r="I665" s="13">
        <f>I661-SUM(I662:I664)</f>
        <v>3329430.23</v>
      </c>
      <c r="J665" s="13"/>
      <c r="K665" s="13"/>
      <c r="L665" s="13"/>
      <c r="M665" s="8"/>
    </row>
    <row r="666" spans="1:13" s="3" customFormat="1" ht="12.2" customHeight="1" x14ac:dyDescent="0.2">
      <c r="A666" s="1" t="s">
        <v>131</v>
      </c>
      <c r="F666" s="183">
        <v>133.31</v>
      </c>
      <c r="G666" s="184"/>
      <c r="H666" s="184"/>
      <c r="I666" s="13">
        <f>SUM(F666:H666)</f>
        <v>133.31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24600.11</v>
      </c>
      <c r="G668" s="13" t="e">
        <f>ROUND(G665/G666,2)</f>
        <v>#DIV/0!</v>
      </c>
      <c r="H668" s="13" t="e">
        <f>ROUND(H665/H666,2)</f>
        <v>#DIV/0!</v>
      </c>
      <c r="I668" s="13">
        <f>ROUND(I665/I666,2)</f>
        <v>24975.1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-22785.78</v>
      </c>
      <c r="H670" s="18">
        <v>-27204.03</v>
      </c>
      <c r="I670" s="13">
        <f>SUM(F670:H670)</f>
        <v>-49989.81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24600.11</v>
      </c>
      <c r="G673" s="13" t="e">
        <f>ROUND((G665+G670)/(G666+G671),2)</f>
        <v>#DIV/0!</v>
      </c>
      <c r="H673" s="13" t="e">
        <f>ROUND((H665+H670)/(H666+H671),2)</f>
        <v>#DIV/0!</v>
      </c>
      <c r="I673" s="13">
        <f>ROUND((I665+I670)/(I666+I671),2)</f>
        <v>24600.11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4479.79</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2348.17+2131.62</f>
        <v>4479.79</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0</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Rollinsford</v>
      </c>
      <c r="C5" s="302"/>
      <c r="D5" s="302"/>
      <c r="E5" s="302"/>
      <c r="F5" s="302"/>
    </row>
    <row r="8" spans="1:9" ht="18" x14ac:dyDescent="0.25">
      <c r="A8" s="240" t="s">
        <v>1568</v>
      </c>
      <c r="F8" s="247" t="s">
        <v>1586</v>
      </c>
    </row>
    <row r="9" spans="1:9" ht="15" x14ac:dyDescent="0.2">
      <c r="A9" s="238" t="s">
        <v>1569</v>
      </c>
      <c r="B9" s="241">
        <f>'DOE25'!G97</f>
        <v>0</v>
      </c>
      <c r="F9" s="238" t="s">
        <v>1582</v>
      </c>
    </row>
    <row r="10" spans="1:9" ht="15" x14ac:dyDescent="0.2">
      <c r="A10" s="238" t="s">
        <v>1570</v>
      </c>
      <c r="B10" s="241">
        <f>'DOE25'!G112-'DOE25'!G97</f>
        <v>0</v>
      </c>
      <c r="F10" s="238" t="s">
        <v>1583</v>
      </c>
    </row>
    <row r="11" spans="1:9" ht="15" x14ac:dyDescent="0.2">
      <c r="A11" s="238" t="s">
        <v>1571</v>
      </c>
      <c r="B11" s="241">
        <f>'DOE25'!G140</f>
        <v>10462.029999999999</v>
      </c>
      <c r="F11" s="238" t="s">
        <v>1584</v>
      </c>
    </row>
    <row r="12" spans="1:9" ht="15" x14ac:dyDescent="0.2">
      <c r="A12" s="238" t="s">
        <v>1572</v>
      </c>
      <c r="B12" s="241">
        <f>'DOE25'!G170</f>
        <v>63419.519999999997</v>
      </c>
      <c r="F12" s="238" t="s">
        <v>1585</v>
      </c>
    </row>
    <row r="13" spans="1:9" ht="15" x14ac:dyDescent="0.2">
      <c r="A13" s="238" t="s">
        <v>1573</v>
      </c>
      <c r="B13" s="241">
        <f>'DOE25'!G193-'DOE25'!G180</f>
        <v>0</v>
      </c>
      <c r="F13" s="238" t="s">
        <v>1595</v>
      </c>
    </row>
    <row r="14" spans="1:9" ht="18" x14ac:dyDescent="0.25">
      <c r="A14" s="240" t="s">
        <v>732</v>
      </c>
      <c r="B14" s="242">
        <f>SUM(B9:B13)</f>
        <v>73881.549999999988</v>
      </c>
    </row>
    <row r="16" spans="1:9" ht="18" x14ac:dyDescent="0.25">
      <c r="A16" s="240" t="s">
        <v>786</v>
      </c>
      <c r="F16" s="247" t="s">
        <v>1587</v>
      </c>
    </row>
    <row r="17" spans="1:6" ht="15" x14ac:dyDescent="0.2">
      <c r="A17" s="238" t="s">
        <v>1574</v>
      </c>
      <c r="B17" s="241">
        <f>'DOE25'!L363-'DOE25'!L362</f>
        <v>49073.09</v>
      </c>
      <c r="F17" s="238" t="s">
        <v>1588</v>
      </c>
    </row>
    <row r="18" spans="1:6" ht="15" x14ac:dyDescent="0.2">
      <c r="A18" s="238" t="s">
        <v>1575</v>
      </c>
      <c r="B18" s="251">
        <v>0</v>
      </c>
      <c r="F18" s="247" t="s">
        <v>1612</v>
      </c>
    </row>
    <row r="19" spans="1:6" ht="18" x14ac:dyDescent="0.25">
      <c r="A19" s="240" t="s">
        <v>725</v>
      </c>
      <c r="B19" s="242">
        <f>SUM(B17:B18)</f>
        <v>49073.09</v>
      </c>
    </row>
    <row r="21" spans="1:6" ht="18.75" thickBot="1" x14ac:dyDescent="0.3">
      <c r="A21" s="240" t="s">
        <v>1576</v>
      </c>
    </row>
    <row r="22" spans="1:6" ht="18.75" thickTop="1" x14ac:dyDescent="0.25">
      <c r="A22" s="240" t="s">
        <v>1577</v>
      </c>
      <c r="B22" s="246">
        <f>B14-B19</f>
        <v>24808.459999999992</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0.53</v>
      </c>
      <c r="F31" s="238" t="s">
        <v>1592</v>
      </c>
    </row>
    <row r="33" spans="1:6" ht="15" x14ac:dyDescent="0.2">
      <c r="A33" s="238" t="s">
        <v>1635</v>
      </c>
      <c r="B33" s="241">
        <f>'DOE25'!G477</f>
        <v>24808.990000000005</v>
      </c>
      <c r="F33" s="238" t="s">
        <v>1593</v>
      </c>
    </row>
    <row r="36" spans="1:6" ht="15" x14ac:dyDescent="0.2">
      <c r="A36" s="238" t="s">
        <v>1579</v>
      </c>
      <c r="B36" s="252">
        <v>3012.54</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Rollinsford</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855819.95000000007</v>
      </c>
      <c r="C9" s="167">
        <f>'DOE25'!G198+'DOE25'!G216+'DOE25'!G234+'DOE25'!G277+'DOE25'!G296+'DOE25'!G315</f>
        <v>431992.32999999996</v>
      </c>
    </row>
    <row r="10" spans="1:3" x14ac:dyDescent="0.2">
      <c r="A10" t="s">
        <v>775</v>
      </c>
      <c r="B10" s="177">
        <f>767651.68</f>
        <v>767651.68</v>
      </c>
      <c r="C10" s="177">
        <f>210037.74+4309.12+2997.37+1266.16+4430.7+518.35+52028.06+137040.53+4637.04</f>
        <v>417265.07</v>
      </c>
    </row>
    <row r="11" spans="1:3" x14ac:dyDescent="0.2">
      <c r="A11" t="s">
        <v>776</v>
      </c>
      <c r="B11" s="177">
        <f>46634.77+20758.32</f>
        <v>67393.09</v>
      </c>
      <c r="C11" s="177">
        <f>3567.64+1588.02+5077.93+2901.63</f>
        <v>13135.220000000001</v>
      </c>
    </row>
    <row r="12" spans="1:3" x14ac:dyDescent="0.2">
      <c r="A12" t="s">
        <v>777</v>
      </c>
      <c r="B12" s="177">
        <v>20775.18</v>
      </c>
      <c r="C12" s="177">
        <v>1592.04</v>
      </c>
    </row>
    <row r="13" spans="1:3" x14ac:dyDescent="0.2">
      <c r="A13" t="str">
        <f>IF(B9=B13,IF(C9=C13,"Check Total OK","Check Total Error"),"Check Total Error")</f>
        <v>Check Total OK</v>
      </c>
      <c r="B13" s="169">
        <f>SUM(B10:B12)</f>
        <v>855819.95000000007</v>
      </c>
      <c r="C13" s="169">
        <f>SUM(C10:C12)</f>
        <v>431992.33</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367582.34</v>
      </c>
      <c r="C18" s="167">
        <f>'DOE25'!G199+'DOE25'!G217+'DOE25'!G235+'DOE25'!G278+'DOE25'!G297+'DOE25'!G316</f>
        <v>95451.569999999992</v>
      </c>
    </row>
    <row r="19" spans="1:3" x14ac:dyDescent="0.2">
      <c r="A19" t="s">
        <v>775</v>
      </c>
      <c r="B19" s="177">
        <f>93465.48+11264.76+11264.76</f>
        <v>115994.99999999999</v>
      </c>
      <c r="C19" s="177">
        <f>89629.08-2132.65-14287.62-568.87-53.97-3756.69-23748.29</f>
        <v>45080.990000000013</v>
      </c>
    </row>
    <row r="20" spans="1:3" x14ac:dyDescent="0.2">
      <c r="A20" t="s">
        <v>776</v>
      </c>
      <c r="B20" s="177">
        <f>27878.3+189739.61+705.5</f>
        <v>218323.40999999997</v>
      </c>
      <c r="C20" s="177">
        <f>2132.65+14287.62+568.87+53.97+3756.69+23748.29</f>
        <v>44548.09</v>
      </c>
    </row>
    <row r="21" spans="1:3" x14ac:dyDescent="0.2">
      <c r="A21" t="s">
        <v>777</v>
      </c>
      <c r="B21" s="177">
        <v>33263.93</v>
      </c>
      <c r="C21" s="177">
        <v>5822.49</v>
      </c>
    </row>
    <row r="22" spans="1:3" x14ac:dyDescent="0.2">
      <c r="A22" t="str">
        <f>IF(B18=B22,IF(C18=C22,"Check Total OK","Check Total Error"),"Check Total Error")</f>
        <v>Check Total OK</v>
      </c>
      <c r="B22" s="169">
        <f>SUM(B19:B21)</f>
        <v>367582.33999999997</v>
      </c>
      <c r="C22" s="169">
        <f>SUM(C19:C21)</f>
        <v>95451.570000000022</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8720</v>
      </c>
      <c r="C36" s="173">
        <f>'DOE25'!G201+'DOE25'!G219+'DOE25'!G237+'DOE25'!G280+'DOE25'!G299+'DOE25'!G318</f>
        <v>2335.6999999999998</v>
      </c>
    </row>
    <row r="37" spans="1:3" x14ac:dyDescent="0.2">
      <c r="A37" t="s">
        <v>775</v>
      </c>
      <c r="B37" s="177">
        <v>320</v>
      </c>
      <c r="C37" s="177">
        <f>91.74</f>
        <v>91.74</v>
      </c>
    </row>
    <row r="38" spans="1:3" x14ac:dyDescent="0.2">
      <c r="A38" t="s">
        <v>776</v>
      </c>
      <c r="B38" s="177">
        <v>0</v>
      </c>
      <c r="C38" s="177">
        <v>0</v>
      </c>
    </row>
    <row r="39" spans="1:3" x14ac:dyDescent="0.2">
      <c r="A39" t="s">
        <v>777</v>
      </c>
      <c r="B39" s="177">
        <v>8400</v>
      </c>
      <c r="C39" s="177">
        <v>2243.96</v>
      </c>
    </row>
    <row r="40" spans="1:3" x14ac:dyDescent="0.2">
      <c r="A40" t="str">
        <f>IF(B36=B40,IF(C36=C40,"Check Total OK","Check Total Error"),"Check Total Error")</f>
        <v>Check Total OK</v>
      </c>
      <c r="B40" s="169">
        <f>SUM(B37:B39)</f>
        <v>8720</v>
      </c>
      <c r="C40" s="169">
        <f>SUM(C37:C39)</f>
        <v>2335.6999999999998</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Rollinsford</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3855150.46</v>
      </c>
      <c r="D5" s="19">
        <f>SUM('DOE25'!L198:L201)+SUM('DOE25'!L216:L219)+SUM('DOE25'!L234:L237)-F5-G5-H5</f>
        <v>3823747.15</v>
      </c>
      <c r="E5" s="180"/>
      <c r="F5" s="181">
        <v>0</v>
      </c>
      <c r="G5" s="19">
        <f>SUM('DOE25'!J198:J201)+SUM('DOE25'!J216:J219)+SUM('DOE25'!J234:J237)</f>
        <v>31403.309999999998</v>
      </c>
      <c r="H5" s="19">
        <f>SUM('DOE25'!K198:K201)+SUM('DOE25'!K216:K219)+SUM('DOE25'!K234:K237)</f>
        <v>0</v>
      </c>
      <c r="I5" s="192"/>
    </row>
    <row r="6" spans="1:9" x14ac:dyDescent="0.2">
      <c r="A6" s="31">
        <v>2100</v>
      </c>
      <c r="B6" t="s">
        <v>796</v>
      </c>
      <c r="C6" s="206">
        <f t="shared" si="0"/>
        <v>361215.41999999993</v>
      </c>
      <c r="D6" s="19">
        <f>'DOE25'!L203+'DOE25'!L221+'DOE25'!L239-F6-G6-H6</f>
        <v>349256.85999999993</v>
      </c>
      <c r="E6" s="180"/>
      <c r="F6" s="181">
        <v>11958.56</v>
      </c>
      <c r="G6" s="19">
        <f>'DOE25'!J203+'DOE25'!J221+'DOE25'!J239</f>
        <v>0</v>
      </c>
      <c r="H6" s="19">
        <f>'DOE25'!K203+'DOE25'!K221+'DOE25'!K239</f>
        <v>0</v>
      </c>
      <c r="I6" s="192"/>
    </row>
    <row r="7" spans="1:9" x14ac:dyDescent="0.2">
      <c r="A7" s="31">
        <v>2200</v>
      </c>
      <c r="B7" t="s">
        <v>821</v>
      </c>
      <c r="C7" s="206">
        <f t="shared" si="0"/>
        <v>69989.83</v>
      </c>
      <c r="D7" s="19">
        <f>'DOE25'!L204+'DOE25'!L222+'DOE25'!L240-F7-G7-H7</f>
        <v>67102.41</v>
      </c>
      <c r="E7" s="180"/>
      <c r="F7" s="181">
        <v>0</v>
      </c>
      <c r="G7" s="19">
        <f>'DOE25'!J204+'DOE25'!J222+'DOE25'!J240</f>
        <v>905.72</v>
      </c>
      <c r="H7" s="19">
        <f>'DOE25'!K204+'DOE25'!K222+'DOE25'!K240</f>
        <v>1981.7</v>
      </c>
      <c r="I7" s="192"/>
    </row>
    <row r="8" spans="1:9" x14ac:dyDescent="0.2">
      <c r="A8" s="31">
        <v>2300</v>
      </c>
      <c r="B8" t="s">
        <v>797</v>
      </c>
      <c r="C8" s="206">
        <f t="shared" si="0"/>
        <v>199066.38000000003</v>
      </c>
      <c r="D8" s="180"/>
      <c r="E8" s="19">
        <f>'DOE25'!L205+'DOE25'!L223+'DOE25'!L241-F8-G8-H8-D9-D11</f>
        <v>195807.08000000005</v>
      </c>
      <c r="F8" s="181">
        <v>0</v>
      </c>
      <c r="G8" s="19">
        <f>'DOE25'!J205+'DOE25'!J223+'DOE25'!J241</f>
        <v>0</v>
      </c>
      <c r="H8" s="19">
        <f>'DOE25'!K205+'DOE25'!K223+'DOE25'!K241</f>
        <v>3259.3</v>
      </c>
      <c r="I8" s="192"/>
    </row>
    <row r="9" spans="1:9" ht="14.25" x14ac:dyDescent="0.2">
      <c r="A9" s="31">
        <v>2310</v>
      </c>
      <c r="B9" s="71" t="s">
        <v>888</v>
      </c>
      <c r="C9" s="206">
        <f t="shared" si="0"/>
        <v>15510.710000000001</v>
      </c>
      <c r="D9" s="181">
        <f>3259.3+10342.85+1818.56+90</f>
        <v>15510.710000000001</v>
      </c>
      <c r="E9" s="180"/>
      <c r="F9" s="180"/>
      <c r="G9" s="180"/>
      <c r="H9" s="180"/>
      <c r="I9" s="192"/>
    </row>
    <row r="10" spans="1:9" ht="14.25" x14ac:dyDescent="0.2">
      <c r="A10" s="31">
        <v>2317</v>
      </c>
      <c r="B10" s="71" t="s">
        <v>889</v>
      </c>
      <c r="C10" s="206">
        <f t="shared" si="0"/>
        <v>13275</v>
      </c>
      <c r="D10" s="180"/>
      <c r="E10" s="181">
        <v>13275</v>
      </c>
      <c r="F10" s="180"/>
      <c r="G10" s="180"/>
      <c r="H10" s="180"/>
      <c r="I10" s="192"/>
    </row>
    <row r="11" spans="1:9" ht="14.25" x14ac:dyDescent="0.2">
      <c r="A11" s="31">
        <v>2321</v>
      </c>
      <c r="B11" s="71" t="s">
        <v>890</v>
      </c>
      <c r="C11" s="206">
        <f t="shared" si="0"/>
        <v>42738.46</v>
      </c>
      <c r="D11" s="181">
        <v>42738.46</v>
      </c>
      <c r="E11" s="180"/>
      <c r="F11" s="180"/>
      <c r="G11" s="180"/>
      <c r="H11" s="180"/>
      <c r="I11" s="192"/>
    </row>
    <row r="12" spans="1:9" x14ac:dyDescent="0.2">
      <c r="A12" s="31">
        <v>2400</v>
      </c>
      <c r="B12" t="s">
        <v>711</v>
      </c>
      <c r="C12" s="206">
        <f t="shared" si="0"/>
        <v>224482.62000000002</v>
      </c>
      <c r="D12" s="19">
        <f>'DOE25'!L206+'DOE25'!L224+'DOE25'!L242-F12-G12-H12</f>
        <v>219895.81000000003</v>
      </c>
      <c r="E12" s="180"/>
      <c r="F12" s="181">
        <v>0</v>
      </c>
      <c r="G12" s="19">
        <f>'DOE25'!J206+'DOE25'!J224+'DOE25'!J242</f>
        <v>2757.81</v>
      </c>
      <c r="H12" s="19">
        <f>'DOE25'!K206+'DOE25'!K224+'DOE25'!K242</f>
        <v>1829</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819</v>
      </c>
      <c r="C14" s="206">
        <f t="shared" si="0"/>
        <v>396325.24</v>
      </c>
      <c r="D14" s="19">
        <f>'DOE25'!L208+'DOE25'!L226+'DOE25'!L244-F14-G14-H14</f>
        <v>395820.79999999999</v>
      </c>
      <c r="E14" s="180"/>
      <c r="F14" s="181">
        <v>0</v>
      </c>
      <c r="G14" s="19">
        <f>'DOE25'!J208+'DOE25'!J226+'DOE25'!J244</f>
        <v>504.44</v>
      </c>
      <c r="H14" s="19">
        <f>'DOE25'!K208+'DOE25'!K226+'DOE25'!K244</f>
        <v>0</v>
      </c>
      <c r="I14" s="192"/>
    </row>
    <row r="15" spans="1:9" x14ac:dyDescent="0.2">
      <c r="A15" s="31">
        <v>2700</v>
      </c>
      <c r="B15" t="s">
        <v>799</v>
      </c>
      <c r="C15" s="206">
        <f t="shared" si="0"/>
        <v>366272.3</v>
      </c>
      <c r="D15" s="19">
        <f>'DOE25'!L209+'DOE25'!L227+'DOE25'!L245-F15-G15-H15</f>
        <v>77112.649999999965</v>
      </c>
      <c r="E15" s="180"/>
      <c r="F15" s="181">
        <f>197743.9+91415.75</f>
        <v>289159.65000000002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49073.09</v>
      </c>
      <c r="D29" s="212">
        <f>'DOE25'!L359+'DOE25'!L360+'DOE25'!L361-'DOE25'!I368-F29-G29-H29</f>
        <v>27542.089999999997</v>
      </c>
      <c r="E29" s="180"/>
      <c r="F29" s="181">
        <v>21531</v>
      </c>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68279.670000000013</v>
      </c>
      <c r="D31" s="19">
        <f>'DOE25'!L291+'DOE25'!L310+'DOE25'!L329+'DOE25'!L334+'DOE25'!L335+'DOE25'!L336-F31-G31-H31</f>
        <v>66778.930000000008</v>
      </c>
      <c r="E31" s="180"/>
      <c r="F31" s="181">
        <v>0</v>
      </c>
      <c r="G31" s="19">
        <f>'DOE25'!J291+'DOE25'!J310+'DOE25'!J329+'DOE25'!J334+'DOE25'!J335+'DOE25'!J336</f>
        <v>0</v>
      </c>
      <c r="H31" s="19">
        <f>'DOE25'!K291+'DOE25'!K310+'DOE25'!K329+'DOE25'!K334+'DOE25'!K335+'DOE25'!K336</f>
        <v>1500.74</v>
      </c>
      <c r="I31" s="192"/>
    </row>
    <row r="32" spans="1:9" ht="12" thickBot="1" x14ac:dyDescent="0.25">
      <c r="C32" s="207"/>
      <c r="G32" s="188"/>
      <c r="H32" s="188"/>
      <c r="I32" s="194"/>
    </row>
    <row r="33" spans="1:9" ht="12" thickTop="1" x14ac:dyDescent="0.2">
      <c r="B33" t="s">
        <v>809</v>
      </c>
      <c r="D33" s="182">
        <f t="shared" ref="D33:I33" si="1">SUM(D5:D31)</f>
        <v>5085505.8699999992</v>
      </c>
      <c r="E33" s="182">
        <f t="shared" si="1"/>
        <v>209082.08000000005</v>
      </c>
      <c r="F33" s="182">
        <f t="shared" si="1"/>
        <v>322649.21000000002</v>
      </c>
      <c r="G33" s="182">
        <f t="shared" si="1"/>
        <v>35571.279999999999</v>
      </c>
      <c r="H33" s="182">
        <f t="shared" si="1"/>
        <v>8570.74</v>
      </c>
      <c r="I33" s="182">
        <f t="shared" si="1"/>
        <v>0</v>
      </c>
    </row>
    <row r="35" spans="1:9" ht="12" thickBot="1" x14ac:dyDescent="0.25">
      <c r="B35" s="188" t="s">
        <v>831</v>
      </c>
      <c r="D35" s="189">
        <f>E33</f>
        <v>209082.08000000005</v>
      </c>
      <c r="E35" s="185"/>
      <c r="F35" s="255" t="s">
        <v>1617</v>
      </c>
      <c r="G35" s="256"/>
      <c r="H35" s="256"/>
      <c r="I35" s="256"/>
    </row>
    <row r="36" spans="1:9" ht="12" thickTop="1" x14ac:dyDescent="0.2">
      <c r="B36" t="s">
        <v>810</v>
      </c>
      <c r="D36" s="19">
        <f>D33</f>
        <v>5085505.8699999992</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Rollinsford</v>
      </c>
      <c r="B2">
        <f>'DOE25'!B2</f>
        <v>463</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3393287.64</v>
      </c>
      <c r="G4" s="229">
        <f>'DOE25'!L212+'DOE25'!L291</f>
        <v>3393287.64</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Rollinsford Grade School</v>
      </c>
      <c r="B6" s="230">
        <f>IFERROR(VLOOKUP(A6,'School Tables'!$C$3:$D$365,2,FALSE),"")</f>
        <v>22810</v>
      </c>
      <c r="C6" s="223" t="str">
        <f>IFERROR(INDEX('School Tables'!$B$3:$B$365,MATCH('School Level Expenditures'!B6,'School Tables'!$D$3:$D$365,0)),"")</f>
        <v>Rollinsford</v>
      </c>
      <c r="D6" s="220">
        <f>3414851.31+156.66-90000</f>
        <v>3325007.97</v>
      </c>
      <c r="E6" s="220">
        <v>68279.67</v>
      </c>
      <c r="F6" s="232">
        <f t="shared" ref="F6:F20" si="0">D6+E6</f>
        <v>3393287.64</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3325007.97</v>
      </c>
      <c r="E21" s="265">
        <f>SUM(E5:E20)</f>
        <v>68279.67</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680599.43</v>
      </c>
      <c r="G24" s="229">
        <f>'DOE25'!L230+'DOE25'!L310</f>
        <v>680599.42999999993</v>
      </c>
      <c r="H24" s="267">
        <f>F24-G24</f>
        <v>0</v>
      </c>
      <c r="I24" s="310" t="str">
        <f>IF(H24=0,"","ISSUES!! Please review page 8 and 12 totals in comparison with total on this page")</f>
        <v/>
      </c>
      <c r="N24"/>
    </row>
    <row r="25" spans="1:14" x14ac:dyDescent="0.2">
      <c r="A25" t="s">
        <v>1548</v>
      </c>
      <c r="B25" s="230">
        <v>99999</v>
      </c>
      <c r="C25" s="223" t="s">
        <v>1548</v>
      </c>
      <c r="D25" s="220">
        <f>676519.43+4080</f>
        <v>680599.43</v>
      </c>
      <c r="E25" s="220">
        <v>0</v>
      </c>
      <c r="F25" s="232">
        <f>D25+E25</f>
        <v>680599.43</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680599.43</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1525144.02</v>
      </c>
      <c r="G36" s="229">
        <f>'DOE25'!L248+'DOE25'!L329</f>
        <v>1525144.02</v>
      </c>
      <c r="H36" s="267">
        <f>F36-G36</f>
        <v>0</v>
      </c>
      <c r="I36" s="310" t="str">
        <f>IF(H36=0,"","ISSUES!! Please review page 9 and 13 totals in comparison with total on this page")</f>
        <v/>
      </c>
      <c r="N36"/>
    </row>
    <row r="37" spans="1:14" x14ac:dyDescent="0.2">
      <c r="A37" t="s">
        <v>1548</v>
      </c>
      <c r="B37" s="230">
        <v>99999</v>
      </c>
      <c r="C37" s="223" t="s">
        <v>1548</v>
      </c>
      <c r="D37" s="220">
        <f>1521064.02+4080</f>
        <v>1525144.02</v>
      </c>
      <c r="E37" s="220">
        <v>0</v>
      </c>
      <c r="F37" s="232">
        <f t="shared" ref="F37:F42" si="2">D37+E37</f>
        <v>1525144.02</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1525144.02</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C43" sqref="C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Rollinsford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682063.84</v>
      </c>
      <c r="D8" s="73">
        <f>'DOE25'!G9</f>
        <v>0</v>
      </c>
      <c r="E8" s="73">
        <f>'DOE25'!H9</f>
        <v>0</v>
      </c>
      <c r="F8" s="73">
        <f>'DOE25'!I9</f>
        <v>0</v>
      </c>
      <c r="G8" s="73">
        <f>'DOE25'!J9</f>
        <v>0</v>
      </c>
      <c r="H8" s="90">
        <f>SUM(C8:G8)</f>
        <v>682063.84</v>
      </c>
      <c r="I8" s="90"/>
    </row>
    <row r="9" spans="1:9" x14ac:dyDescent="0.2">
      <c r="A9" s="1" t="s">
        <v>140</v>
      </c>
      <c r="B9" s="6">
        <v>110</v>
      </c>
      <c r="C9" s="73">
        <f>'DOE25'!F10</f>
        <v>0</v>
      </c>
      <c r="D9" s="73">
        <f>'DOE25'!G10</f>
        <v>0</v>
      </c>
      <c r="E9" s="73">
        <f>'DOE25'!H10</f>
        <v>0</v>
      </c>
      <c r="F9" s="73">
        <f>'DOE25'!I10</f>
        <v>0</v>
      </c>
      <c r="G9" s="73">
        <f>'DOE25'!J10</f>
        <v>628890.57999999996</v>
      </c>
      <c r="H9" s="90">
        <f t="shared" ref="H9:H18" si="0">SUM(C9:G9)</f>
        <v>628890.57999999996</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1410608.72</v>
      </c>
      <c r="D11" s="73">
        <f>'DOE25'!G12</f>
        <v>564253.96</v>
      </c>
      <c r="E11" s="73">
        <f>'DOE25'!H12</f>
        <v>811215.3</v>
      </c>
      <c r="F11" s="73">
        <f>'DOE25'!I12</f>
        <v>0</v>
      </c>
      <c r="G11" s="73">
        <f>'DOE25'!J12</f>
        <v>0</v>
      </c>
      <c r="H11" s="90">
        <f t="shared" si="0"/>
        <v>2786077.98</v>
      </c>
      <c r="I11" s="90"/>
    </row>
    <row r="12" spans="1:9" x14ac:dyDescent="0.2">
      <c r="A12" s="1" t="s">
        <v>143</v>
      </c>
      <c r="B12" s="6">
        <v>140</v>
      </c>
      <c r="C12" s="73">
        <f>'DOE25'!F13</f>
        <v>7773</v>
      </c>
      <c r="D12" s="73">
        <f>'DOE25'!G13</f>
        <v>15328.46</v>
      </c>
      <c r="E12" s="73">
        <f>'DOE25'!H13</f>
        <v>0</v>
      </c>
      <c r="F12" s="73">
        <f>'DOE25'!I13</f>
        <v>0</v>
      </c>
      <c r="G12" s="73">
        <f>'DOE25'!J13</f>
        <v>0</v>
      </c>
      <c r="H12" s="90">
        <f t="shared" si="0"/>
        <v>23101.46</v>
      </c>
      <c r="I12" s="90"/>
    </row>
    <row r="13" spans="1:9" x14ac:dyDescent="0.2">
      <c r="A13" s="1" t="s">
        <v>144</v>
      </c>
      <c r="B13" s="6">
        <v>150</v>
      </c>
      <c r="C13" s="73">
        <f>'DOE25'!F14</f>
        <v>0</v>
      </c>
      <c r="D13" s="73">
        <f>'DOE25'!G14</f>
        <v>0</v>
      </c>
      <c r="E13" s="73">
        <f>'DOE25'!H14</f>
        <v>48154.6</v>
      </c>
      <c r="F13" s="73">
        <f>'DOE25'!I14</f>
        <v>0</v>
      </c>
      <c r="G13" s="73">
        <f>'DOE25'!J14</f>
        <v>0</v>
      </c>
      <c r="H13" s="90">
        <f t="shared" si="0"/>
        <v>48154.6</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2100445.56</v>
      </c>
      <c r="D18" s="38">
        <f>SUM(D8:D17)</f>
        <v>579582.41999999993</v>
      </c>
      <c r="E18" s="38">
        <f>SUM(E8:E17)</f>
        <v>859369.9</v>
      </c>
      <c r="F18" s="38">
        <f>SUM(F8:F17)</f>
        <v>0</v>
      </c>
      <c r="G18" s="38">
        <f>SUM(G8:G17)</f>
        <v>628890.57999999996</v>
      </c>
      <c r="H18" s="38">
        <f t="shared" si="0"/>
        <v>4168288.46</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1375469.2000000002</v>
      </c>
      <c r="D21" s="73">
        <f>'DOE25'!G22</f>
        <v>551428.28</v>
      </c>
      <c r="E21" s="73">
        <f>'DOE25'!H22</f>
        <v>859180.65</v>
      </c>
      <c r="F21" s="73">
        <f>'DOE25'!I22</f>
        <v>0</v>
      </c>
      <c r="G21" s="73">
        <f>'DOE25'!J22</f>
        <v>0</v>
      </c>
      <c r="H21" s="90">
        <f t="shared" ref="H21:H31" si="1">SUM(C21:G21)</f>
        <v>2786078.1300000004</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250498.35000000003</v>
      </c>
      <c r="D23" s="73">
        <f>'DOE25'!G24</f>
        <v>0</v>
      </c>
      <c r="E23" s="73">
        <f>'DOE25'!H24</f>
        <v>131.51</v>
      </c>
      <c r="F23" s="73">
        <f>'DOE25'!I24</f>
        <v>0</v>
      </c>
      <c r="G23" s="73">
        <f>'DOE25'!J24</f>
        <v>0</v>
      </c>
      <c r="H23" s="90">
        <f t="shared" si="1"/>
        <v>250629.86000000004</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3345.15</v>
      </c>
      <c r="E29" s="73">
        <f>'DOE25'!H30</f>
        <v>0</v>
      </c>
      <c r="F29" s="73">
        <f>'DOE25'!I30</f>
        <v>0</v>
      </c>
      <c r="G29" s="23" t="s">
        <v>288</v>
      </c>
      <c r="H29" s="90">
        <f t="shared" si="1"/>
        <v>3345.15</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1625967.5500000003</v>
      </c>
      <c r="D31" s="38">
        <f>SUM(D21:D30)</f>
        <v>554773.43000000005</v>
      </c>
      <c r="E31" s="38">
        <f>SUM(E21:E30)</f>
        <v>859312.16</v>
      </c>
      <c r="F31" s="38">
        <f>SUM(F21:F30)</f>
        <v>0</v>
      </c>
      <c r="G31" s="38">
        <f>SUM(G21:G30)</f>
        <v>0</v>
      </c>
      <c r="H31" s="38">
        <f t="shared" si="1"/>
        <v>3040053.1400000006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24808.99</v>
      </c>
      <c r="E39" s="23" t="s">
        <v>288</v>
      </c>
      <c r="F39" s="23" t="s">
        <v>288</v>
      </c>
      <c r="G39" s="23" t="s">
        <v>288</v>
      </c>
      <c r="H39" s="90">
        <f t="shared" si="2"/>
        <v>24808.99</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75000</v>
      </c>
      <c r="D43" s="73">
        <f>'DOE25'!G44</f>
        <v>0</v>
      </c>
      <c r="E43" s="73">
        <f>'DOE25'!H44</f>
        <v>0</v>
      </c>
      <c r="F43" s="73">
        <f>'DOE25'!I44</f>
        <v>0</v>
      </c>
      <c r="G43" s="23" t="s">
        <v>288</v>
      </c>
      <c r="H43" s="90">
        <f t="shared" si="2"/>
        <v>75000</v>
      </c>
      <c r="I43" s="90"/>
    </row>
    <row r="44" spans="1:9" x14ac:dyDescent="0.2">
      <c r="A44" s="1" t="s">
        <v>864</v>
      </c>
      <c r="B44" s="6">
        <v>753</v>
      </c>
      <c r="C44" s="73">
        <f>'DOE25'!F45</f>
        <v>0</v>
      </c>
      <c r="D44" s="73">
        <f>'DOE25'!G45</f>
        <v>0</v>
      </c>
      <c r="E44" s="73">
        <f>'DOE25'!H45</f>
        <v>57.74</v>
      </c>
      <c r="F44" s="73">
        <f>'DOE25'!I45</f>
        <v>0</v>
      </c>
      <c r="G44" s="73">
        <f>'DOE25'!J45</f>
        <v>0</v>
      </c>
      <c r="H44" s="90">
        <f t="shared" si="2"/>
        <v>57.74</v>
      </c>
      <c r="I44" s="90"/>
    </row>
    <row r="45" spans="1:9" x14ac:dyDescent="0.2">
      <c r="A45" s="1" t="s">
        <v>880</v>
      </c>
      <c r="B45" s="6"/>
      <c r="C45" s="73">
        <f>'DOE25'!F46</f>
        <v>121581</v>
      </c>
      <c r="D45" s="23" t="s">
        <v>288</v>
      </c>
      <c r="E45" s="23" t="s">
        <v>288</v>
      </c>
      <c r="F45" s="23" t="s">
        <v>288</v>
      </c>
      <c r="G45" s="23" t="s">
        <v>288</v>
      </c>
      <c r="H45" s="90">
        <f t="shared" si="2"/>
        <v>121581</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628890.57999999996</v>
      </c>
      <c r="H47" s="90">
        <f t="shared" si="2"/>
        <v>628890.57999999996</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277897.01</v>
      </c>
      <c r="D49" s="23" t="s">
        <v>288</v>
      </c>
      <c r="E49" s="23" t="s">
        <v>288</v>
      </c>
      <c r="F49" s="23" t="s">
        <v>288</v>
      </c>
      <c r="G49" s="23" t="s">
        <v>288</v>
      </c>
      <c r="H49" s="90">
        <f t="shared" si="2"/>
        <v>277897.01</v>
      </c>
      <c r="I49" s="90"/>
    </row>
    <row r="50" spans="1:9" ht="12.75" thickTop="1" thickBot="1" x14ac:dyDescent="0.25">
      <c r="A50" s="35" t="s">
        <v>884</v>
      </c>
      <c r="B50" s="44"/>
      <c r="C50" s="38">
        <f>SUM(C34:C49)</f>
        <v>474478.01</v>
      </c>
      <c r="D50" s="38">
        <f>SUM(D34:D49)</f>
        <v>24808.99</v>
      </c>
      <c r="E50" s="38">
        <f>SUM(E34:E49)</f>
        <v>57.74</v>
      </c>
      <c r="F50" s="38">
        <f>SUM(F34:F49)</f>
        <v>0</v>
      </c>
      <c r="G50" s="38">
        <f>SUM(G34:G49)</f>
        <v>628890.57999999996</v>
      </c>
      <c r="H50" s="38">
        <f t="shared" si="2"/>
        <v>1128235.3199999998</v>
      </c>
      <c r="I50" s="90"/>
    </row>
    <row r="51" spans="1:9" ht="12" thickTop="1" x14ac:dyDescent="0.2">
      <c r="A51" s="35" t="s">
        <v>885</v>
      </c>
      <c r="B51" s="2"/>
      <c r="C51" s="38">
        <f>C50+C31</f>
        <v>2100445.5600000005</v>
      </c>
      <c r="D51" s="38">
        <f>D50+D31</f>
        <v>579582.42000000004</v>
      </c>
      <c r="E51" s="38">
        <f>E50+E31</f>
        <v>859369.9</v>
      </c>
      <c r="F51" s="38">
        <f>F50+F31</f>
        <v>0</v>
      </c>
      <c r="G51" s="38">
        <f>G50+G31</f>
        <v>628890.57999999996</v>
      </c>
      <c r="H51" s="38">
        <f t="shared" si="2"/>
        <v>4168288.4600000004</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4271809</v>
      </c>
      <c r="D56" s="73">
        <f>'DOE25'!G60</f>
        <v>0</v>
      </c>
      <c r="E56" s="73">
        <f>'DOE25'!H60</f>
        <v>0</v>
      </c>
      <c r="F56" s="73">
        <f>'DOE25'!I60</f>
        <v>0</v>
      </c>
      <c r="G56" s="73">
        <f>'DOE25'!J60</f>
        <v>0</v>
      </c>
      <c r="H56" s="90">
        <f t="shared" ref="H56:H63" si="3">SUM(C56:G56)</f>
        <v>4271809</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118.23</v>
      </c>
      <c r="D59" s="73">
        <f>'DOE25'!G96</f>
        <v>0</v>
      </c>
      <c r="E59" s="73">
        <f>'DOE25'!H96</f>
        <v>0</v>
      </c>
      <c r="F59" s="73">
        <f>'DOE25'!I96</f>
        <v>0</v>
      </c>
      <c r="G59" s="73">
        <f>'DOE25'!J96</f>
        <v>601.84</v>
      </c>
      <c r="H59" s="90">
        <f t="shared" si="3"/>
        <v>720.07</v>
      </c>
      <c r="I59"/>
    </row>
    <row r="60" spans="1:9" x14ac:dyDescent="0.2">
      <c r="A60" s="1" t="s">
        <v>170</v>
      </c>
      <c r="B60" s="22" t="s">
        <v>171</v>
      </c>
      <c r="C60" s="23" t="s">
        <v>288</v>
      </c>
      <c r="D60" s="73">
        <f>'DOE25'!G97</f>
        <v>0</v>
      </c>
      <c r="E60" s="23" t="s">
        <v>288</v>
      </c>
      <c r="F60" s="23" t="s">
        <v>288</v>
      </c>
      <c r="G60" s="23" t="s">
        <v>288</v>
      </c>
      <c r="H60" s="90">
        <f t="shared" si="3"/>
        <v>0</v>
      </c>
      <c r="I60"/>
    </row>
    <row r="61" spans="1:9" ht="12" thickBot="1" x14ac:dyDescent="0.25">
      <c r="A61" s="1" t="s">
        <v>172</v>
      </c>
      <c r="B61" s="22" t="s">
        <v>173</v>
      </c>
      <c r="C61" s="73">
        <f>SUM('DOE25'!F98:F110)</f>
        <v>2005</v>
      </c>
      <c r="D61" s="73">
        <f>SUM('DOE25'!G98:G110)</f>
        <v>0</v>
      </c>
      <c r="E61" s="73">
        <f>SUM('DOE25'!H98:H110)</f>
        <v>0</v>
      </c>
      <c r="F61" s="73">
        <f>SUM('DOE25'!I98:I110)</f>
        <v>0</v>
      </c>
      <c r="G61" s="73">
        <f>SUM('DOE25'!J98:J110)</f>
        <v>0</v>
      </c>
      <c r="H61" s="90">
        <f t="shared" si="3"/>
        <v>2005</v>
      </c>
      <c r="I61"/>
    </row>
    <row r="62" spans="1:9" ht="12.75" thickTop="1" thickBot="1" x14ac:dyDescent="0.25">
      <c r="A62" s="28" t="s">
        <v>174</v>
      </c>
      <c r="B62" s="6"/>
      <c r="C62" s="93">
        <f>SUM(C57:C61)</f>
        <v>2123.23</v>
      </c>
      <c r="D62" s="93">
        <f>SUM(D57:D61)</f>
        <v>0</v>
      </c>
      <c r="E62" s="93">
        <f>SUM(E57:E61)</f>
        <v>0</v>
      </c>
      <c r="F62" s="93">
        <f>SUM(F57:F61)</f>
        <v>0</v>
      </c>
      <c r="G62" s="93">
        <f>SUM(G57:G61)</f>
        <v>601.84</v>
      </c>
      <c r="H62" s="90">
        <f t="shared" si="3"/>
        <v>2725.07</v>
      </c>
      <c r="I62"/>
    </row>
    <row r="63" spans="1:9" ht="12" thickTop="1" x14ac:dyDescent="0.2">
      <c r="A63" s="28" t="s">
        <v>175</v>
      </c>
      <c r="B63" s="6"/>
      <c r="C63" s="21">
        <f>C56+C62</f>
        <v>4273932.2300000004</v>
      </c>
      <c r="D63" s="21">
        <f>D56+D62</f>
        <v>0</v>
      </c>
      <c r="E63" s="21">
        <f>E56+E62</f>
        <v>0</v>
      </c>
      <c r="F63" s="21">
        <f>F56+F62</f>
        <v>0</v>
      </c>
      <c r="G63" s="21">
        <f>G56+G62</f>
        <v>601.84</v>
      </c>
      <c r="H63" s="90">
        <f t="shared" si="3"/>
        <v>4274534.07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759216.61</v>
      </c>
      <c r="D66" s="23" t="s">
        <v>288</v>
      </c>
      <c r="E66" s="23" t="s">
        <v>288</v>
      </c>
      <c r="F66" s="23" t="s">
        <v>288</v>
      </c>
      <c r="G66" s="23" t="s">
        <v>288</v>
      </c>
      <c r="H66" s="90">
        <f t="shared" ref="H66:H81" si="4">SUM(C66:G66)</f>
        <v>759216.61</v>
      </c>
      <c r="I66"/>
    </row>
    <row r="67" spans="1:9" x14ac:dyDescent="0.2">
      <c r="A67" s="1" t="s">
        <v>770</v>
      </c>
      <c r="B67" s="6">
        <v>3112</v>
      </c>
      <c r="C67" s="73">
        <f>'DOE25'!F118</f>
        <v>591429</v>
      </c>
      <c r="D67" s="23"/>
      <c r="E67" s="23"/>
      <c r="F67" s="23"/>
      <c r="G67" s="23"/>
      <c r="H67" s="90">
        <f t="shared" si="4"/>
        <v>591429</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1995.21</v>
      </c>
      <c r="D69" s="73">
        <f>'DOE25'!G120</f>
        <v>9794.14</v>
      </c>
      <c r="E69" s="73">
        <f>'DOE25'!H120</f>
        <v>0</v>
      </c>
      <c r="F69" s="73">
        <f>'DOE25'!I120</f>
        <v>0</v>
      </c>
      <c r="G69" s="73">
        <f>'DOE25'!J120</f>
        <v>0</v>
      </c>
      <c r="H69" s="90">
        <f t="shared" si="4"/>
        <v>11789.349999999999</v>
      </c>
      <c r="I69"/>
    </row>
    <row r="70" spans="1:9" ht="12" thickTop="1" x14ac:dyDescent="0.2">
      <c r="A70" s="28" t="s">
        <v>252</v>
      </c>
      <c r="B70" s="2"/>
      <c r="C70" s="97">
        <f>SUM(C66:C69)</f>
        <v>1352640.8199999998</v>
      </c>
      <c r="D70" s="97">
        <f>D69</f>
        <v>9794.14</v>
      </c>
      <c r="E70" s="97">
        <f>E69</f>
        <v>0</v>
      </c>
      <c r="F70" s="97">
        <f>F69</f>
        <v>0</v>
      </c>
      <c r="G70" s="97">
        <f>G69</f>
        <v>0</v>
      </c>
      <c r="H70" s="90">
        <f t="shared" si="4"/>
        <v>1362434.9599999997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667.89</v>
      </c>
      <c r="E77" s="73">
        <f>SUM('DOE25'!H131:H135)</f>
        <v>0</v>
      </c>
      <c r="F77" s="73">
        <f>SUM('DOE25'!I131:I135)</f>
        <v>0</v>
      </c>
      <c r="G77" s="73">
        <f>SUM('DOE25'!J131:J135)</f>
        <v>0</v>
      </c>
      <c r="H77" s="90">
        <f t="shared" si="4"/>
        <v>667.89</v>
      </c>
      <c r="I77"/>
    </row>
    <row r="78" spans="1:9" ht="12.75" thickTop="1" thickBot="1" x14ac:dyDescent="0.25">
      <c r="A78" s="28" t="s">
        <v>259</v>
      </c>
      <c r="B78" s="6"/>
      <c r="C78" s="93">
        <f>SUM(C72:C77)</f>
        <v>0</v>
      </c>
      <c r="D78" s="93">
        <f>SUM(D72:D77)</f>
        <v>667.89</v>
      </c>
      <c r="E78" s="93">
        <f>SUM(E72:E77)</f>
        <v>0</v>
      </c>
      <c r="F78" s="93">
        <f>SUM(F72:F77)</f>
        <v>0</v>
      </c>
      <c r="G78" s="93">
        <f>SUM(G72:G77)</f>
        <v>0</v>
      </c>
      <c r="H78" s="90">
        <f t="shared" si="4"/>
        <v>667.89</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1352640.8199999998</v>
      </c>
      <c r="D81" s="93">
        <f>SUM(D79:D80)+D78+D70</f>
        <v>10462.029999999999</v>
      </c>
      <c r="E81" s="93">
        <f>SUM(E79:E80)+E78+E70</f>
        <v>0</v>
      </c>
      <c r="F81" s="93">
        <f>SUM(F79:F80)+F78+F70</f>
        <v>0</v>
      </c>
      <c r="G81" s="93">
        <f>SUM(G79:G80)+G78+G70</f>
        <v>0</v>
      </c>
      <c r="H81" s="93">
        <f t="shared" si="4"/>
        <v>1363102.8499999999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0</v>
      </c>
      <c r="D88" s="253">
        <f>SUM('DOE25'!G153:G162)</f>
        <v>63419.519999999997</v>
      </c>
      <c r="E88" s="253">
        <f>SUM('DOE25'!H153:H162)</f>
        <v>68068.670000000013</v>
      </c>
      <c r="F88" s="253">
        <f>SUM('DOE25'!I153:I162)</f>
        <v>0</v>
      </c>
      <c r="G88" s="23" t="s">
        <v>288</v>
      </c>
      <c r="H88" s="90">
        <f t="shared" si="5"/>
        <v>131488.19</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0</v>
      </c>
      <c r="D91" s="94">
        <f>SUM(D85:D90)</f>
        <v>63419.519999999997</v>
      </c>
      <c r="E91" s="94">
        <f>SUM(E85:E90)</f>
        <v>68068.670000000013</v>
      </c>
      <c r="F91" s="94">
        <f>SUM(F85:F90)</f>
        <v>0</v>
      </c>
      <c r="G91" s="23" t="s">
        <v>288</v>
      </c>
      <c r="H91" s="90">
        <f t="shared" si="5"/>
        <v>131488.19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90000</v>
      </c>
      <c r="H96" s="90">
        <f t="shared" si="5"/>
        <v>90000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90000</v>
      </c>
      <c r="H103" s="68">
        <f t="shared" si="5"/>
        <v>90000</v>
      </c>
    </row>
    <row r="104" spans="1:8" ht="12.75" thickTop="1" thickBot="1" x14ac:dyDescent="0.25">
      <c r="A104" s="32" t="s">
        <v>761</v>
      </c>
      <c r="C104" s="68">
        <f>C63+C81+C91+C103</f>
        <v>5626573.0500000007</v>
      </c>
      <c r="D104" s="68">
        <f>D63+D81+D91+D103</f>
        <v>73881.549999999988</v>
      </c>
      <c r="E104" s="68">
        <f>E63+E81+E91+E103</f>
        <v>68068.670000000013</v>
      </c>
      <c r="F104" s="68">
        <f>F63+F81+F91+F103</f>
        <v>0</v>
      </c>
      <c r="G104" s="68">
        <f>G63+G81+G103</f>
        <v>90601.84</v>
      </c>
      <c r="H104" s="68">
        <f t="shared" si="5"/>
        <v>5859125.1100000003</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2836478.86</v>
      </c>
      <c r="D109" s="23" t="s">
        <v>288</v>
      </c>
      <c r="E109" s="73">
        <f>('DOE25'!L277)+('DOE25'!L296)+('DOE25'!L315)</f>
        <v>0</v>
      </c>
      <c r="F109" s="23" t="s">
        <v>288</v>
      </c>
      <c r="G109" s="23" t="s">
        <v>288</v>
      </c>
      <c r="H109" s="90">
        <f t="shared" ref="H109:H115" si="6">SUM(C109:G109)</f>
        <v>2836478.86</v>
      </c>
    </row>
    <row r="110" spans="1:8" x14ac:dyDescent="0.2">
      <c r="A110" t="s">
        <v>198</v>
      </c>
      <c r="B110" s="31" t="s">
        <v>199</v>
      </c>
      <c r="C110" s="73">
        <f>('DOE25'!L199)+('DOE25'!L217)+('DOE25'!L235)</f>
        <v>1018259.8599999999</v>
      </c>
      <c r="D110" s="23" t="s">
        <v>288</v>
      </c>
      <c r="E110" s="73">
        <f>('DOE25'!L278)+('DOE25'!L297)+('DOE25'!L316)</f>
        <v>43918.92</v>
      </c>
      <c r="F110" s="23" t="s">
        <v>288</v>
      </c>
      <c r="G110" s="23" t="s">
        <v>288</v>
      </c>
      <c r="H110" s="90">
        <f t="shared" si="6"/>
        <v>1062178.7799999998</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411.74</v>
      </c>
      <c r="D112" s="23" t="s">
        <v>288</v>
      </c>
      <c r="E112" s="73">
        <f>+('DOE25'!L280)+('DOE25'!L299)+('DOE25'!L318)</f>
        <v>10643.96</v>
      </c>
      <c r="F112" s="23" t="s">
        <v>288</v>
      </c>
      <c r="G112" s="23" t="s">
        <v>288</v>
      </c>
      <c r="H112" s="90">
        <f t="shared" si="6"/>
        <v>11055.699999999999</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3855150.46</v>
      </c>
      <c r="D115" s="68">
        <f>SUM(D109:D114)</f>
        <v>0</v>
      </c>
      <c r="E115" s="68">
        <f>SUM(E109:E114)</f>
        <v>54562.879999999997</v>
      </c>
      <c r="F115" s="68">
        <f>SUM(F109:F114)</f>
        <v>0</v>
      </c>
      <c r="G115" s="68">
        <f>SUM(G109:G114)</f>
        <v>0</v>
      </c>
      <c r="H115" s="68">
        <f t="shared" si="6"/>
        <v>3909713.34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361215.41999999993</v>
      </c>
      <c r="D118" s="23" t="s">
        <v>288</v>
      </c>
      <c r="E118" s="73">
        <f>+('DOE25'!L282)+('DOE25'!L301)+('DOE25'!L320)</f>
        <v>7914.9500000000007</v>
      </c>
      <c r="F118" s="23" t="s">
        <v>288</v>
      </c>
      <c r="G118" s="23" t="s">
        <v>288</v>
      </c>
      <c r="H118" s="90">
        <f t="shared" ref="H118:H145" si="7">SUM(C118:G118)</f>
        <v>369130.36999999994</v>
      </c>
    </row>
    <row r="119" spans="1:8" x14ac:dyDescent="0.2">
      <c r="A119" t="s">
        <v>208</v>
      </c>
      <c r="B119" s="31" t="s">
        <v>209</v>
      </c>
      <c r="C119" s="73">
        <f>('DOE25'!L204)+('DOE25'!L222)+('DOE25'!L240)</f>
        <v>69989.83</v>
      </c>
      <c r="D119" s="23" t="s">
        <v>288</v>
      </c>
      <c r="E119" s="73">
        <f>+('DOE25'!L283)+('DOE25'!L302)+('DOE25'!L321)</f>
        <v>4595.18</v>
      </c>
      <c r="F119" s="23" t="s">
        <v>288</v>
      </c>
      <c r="G119" s="23" t="s">
        <v>288</v>
      </c>
      <c r="H119" s="90">
        <f t="shared" si="7"/>
        <v>74585.010000000009</v>
      </c>
    </row>
    <row r="120" spans="1:8" x14ac:dyDescent="0.2">
      <c r="A120" t="s">
        <v>210</v>
      </c>
      <c r="B120" s="31" t="s">
        <v>211</v>
      </c>
      <c r="C120" s="73">
        <f>('DOE25'!L205)+('DOE25'!L223)+('DOE25'!L241)</f>
        <v>257315.55000000002</v>
      </c>
      <c r="D120" s="23" t="s">
        <v>288</v>
      </c>
      <c r="E120" s="73">
        <f>+('DOE25'!L284)+('DOE25'!L303)+('DOE25'!L322)</f>
        <v>0</v>
      </c>
      <c r="F120" s="23" t="s">
        <v>288</v>
      </c>
      <c r="G120" s="23" t="s">
        <v>288</v>
      </c>
      <c r="H120" s="90">
        <f t="shared" si="7"/>
        <v>257315.55000000002</v>
      </c>
    </row>
    <row r="121" spans="1:8" x14ac:dyDescent="0.2">
      <c r="A121" t="s">
        <v>212</v>
      </c>
      <c r="B121" s="31" t="s">
        <v>213</v>
      </c>
      <c r="C121" s="73">
        <f>('DOE25'!L206)+('DOE25'!L224)+('DOE25'!L242)</f>
        <v>224482.62000000002</v>
      </c>
      <c r="D121" s="23" t="s">
        <v>288</v>
      </c>
      <c r="E121" s="73">
        <f>+('DOE25'!L285)+('DOE25'!L304)+('DOE25'!L323)</f>
        <v>0</v>
      </c>
      <c r="F121" s="23" t="s">
        <v>288</v>
      </c>
      <c r="G121" s="23" t="s">
        <v>288</v>
      </c>
      <c r="H121" s="90">
        <f t="shared" si="7"/>
        <v>224482.62000000002</v>
      </c>
    </row>
    <row r="122" spans="1:8" x14ac:dyDescent="0.2">
      <c r="A122" t="s">
        <v>214</v>
      </c>
      <c r="B122" s="31" t="s">
        <v>215</v>
      </c>
      <c r="C122" s="73">
        <f>('DOE25'!L207)+('DOE25'!L225)+('DOE25'!L243)</f>
        <v>0</v>
      </c>
      <c r="D122" s="23" t="s">
        <v>288</v>
      </c>
      <c r="E122" s="73">
        <f>+('DOE25'!L286)+('DOE25'!L305)+('DOE25'!L324)</f>
        <v>908.85</v>
      </c>
      <c r="F122" s="23" t="s">
        <v>288</v>
      </c>
      <c r="G122" s="23" t="s">
        <v>288</v>
      </c>
      <c r="H122" s="90">
        <f t="shared" si="7"/>
        <v>908.85</v>
      </c>
    </row>
    <row r="123" spans="1:8" x14ac:dyDescent="0.2">
      <c r="A123" t="s">
        <v>216</v>
      </c>
      <c r="B123" s="31" t="s">
        <v>217</v>
      </c>
      <c r="C123" s="73">
        <f>('DOE25'!L208)+('DOE25'!L226)+('DOE25'!L244)</f>
        <v>396325.24</v>
      </c>
      <c r="D123" s="23" t="s">
        <v>288</v>
      </c>
      <c r="E123" s="73">
        <f>+('DOE25'!L287)+('DOE25'!L306)+('DOE25'!L325)</f>
        <v>297.81</v>
      </c>
      <c r="F123" s="23" t="s">
        <v>288</v>
      </c>
      <c r="G123" s="23" t="s">
        <v>288</v>
      </c>
      <c r="H123" s="90">
        <f t="shared" si="7"/>
        <v>396623.05</v>
      </c>
    </row>
    <row r="124" spans="1:8" x14ac:dyDescent="0.2">
      <c r="A124" t="s">
        <v>218</v>
      </c>
      <c r="B124" s="31" t="s">
        <v>219</v>
      </c>
      <c r="C124" s="73">
        <f>('DOE25'!L209)+('DOE25'!L227)+('DOE25'!L245+'DOE25'!L255)</f>
        <v>366272.3</v>
      </c>
      <c r="D124" s="23" t="s">
        <v>288</v>
      </c>
      <c r="E124" s="73">
        <f>+('DOE25'!L288)+('DOE25'!L307)+('DOE25'!L326)</f>
        <v>0</v>
      </c>
      <c r="F124" s="23" t="s">
        <v>288</v>
      </c>
      <c r="G124" s="23" t="s">
        <v>288</v>
      </c>
      <c r="H124" s="90">
        <f t="shared" si="7"/>
        <v>366272.3</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49073.09</v>
      </c>
      <c r="E127" s="23" t="s">
        <v>288</v>
      </c>
      <c r="F127" s="23" t="s">
        <v>288</v>
      </c>
      <c r="G127" s="23" t="s">
        <v>288</v>
      </c>
      <c r="H127" s="90">
        <f t="shared" si="7"/>
        <v>49073.09</v>
      </c>
    </row>
    <row r="128" spans="1:8" ht="12.75" thickTop="1" thickBot="1" x14ac:dyDescent="0.25">
      <c r="A128" s="32" t="s">
        <v>226</v>
      </c>
      <c r="C128" s="68">
        <f>SUM(C118:C127)</f>
        <v>1675600.96</v>
      </c>
      <c r="D128" s="68">
        <f>SUM(D118:D127)</f>
        <v>49073.09</v>
      </c>
      <c r="E128" s="68">
        <f>SUM(E118:E127)</f>
        <v>13716.79</v>
      </c>
      <c r="F128" s="68">
        <f>SUM(F118:F127)</f>
        <v>0</v>
      </c>
      <c r="G128" s="68">
        <f>SUM(G118:G127)</f>
        <v>0</v>
      </c>
      <c r="H128" s="68">
        <f t="shared" si="7"/>
        <v>1738390.84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90601.84</v>
      </c>
      <c r="D138" s="23" t="s">
        <v>288</v>
      </c>
      <c r="E138" s="23" t="s">
        <v>288</v>
      </c>
      <c r="F138" s="23" t="s">
        <v>288</v>
      </c>
      <c r="G138" s="23" t="s">
        <v>288</v>
      </c>
      <c r="H138" s="90">
        <f t="shared" si="7"/>
        <v>90601.84</v>
      </c>
    </row>
    <row r="139" spans="1:8" x14ac:dyDescent="0.2">
      <c r="A139" t="s">
        <v>239</v>
      </c>
      <c r="B139" s="31">
        <v>5252</v>
      </c>
      <c r="C139" s="73">
        <f>'DOE25'!L402</f>
        <v>0</v>
      </c>
      <c r="D139" s="23" t="s">
        <v>288</v>
      </c>
      <c r="E139" s="23" t="s">
        <v>288</v>
      </c>
      <c r="F139" s="23" t="s">
        <v>288</v>
      </c>
      <c r="G139" s="23" t="s">
        <v>288</v>
      </c>
      <c r="H139" s="90">
        <f t="shared" si="7"/>
        <v>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-601.83999999999651</v>
      </c>
      <c r="D141" s="23" t="s">
        <v>288</v>
      </c>
      <c r="E141" s="23" t="s">
        <v>288</v>
      </c>
      <c r="F141" s="23" t="s">
        <v>288</v>
      </c>
      <c r="G141" s="23" t="s">
        <v>288</v>
      </c>
      <c r="H141" s="90">
        <f t="shared" si="7"/>
        <v>-601.83999999999651</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90000</v>
      </c>
      <c r="D144" s="98">
        <f>SUM(D130:D143)</f>
        <v>0</v>
      </c>
      <c r="E144" s="98">
        <f>SUM(E130:E143)</f>
        <v>0</v>
      </c>
      <c r="F144" s="98">
        <f>SUM(F130:F143)</f>
        <v>0</v>
      </c>
      <c r="G144" s="98">
        <f>SUM(G130:G143)</f>
        <v>0</v>
      </c>
      <c r="H144" s="98">
        <f t="shared" si="7"/>
        <v>90000</v>
      </c>
    </row>
    <row r="145" spans="1:9" ht="12.75" thickTop="1" thickBot="1" x14ac:dyDescent="0.25">
      <c r="A145" s="32" t="s">
        <v>244</v>
      </c>
      <c r="C145" s="68">
        <f>(C115+C128+C144)</f>
        <v>5620751.4199999999</v>
      </c>
      <c r="D145" s="68">
        <f>(D115+D128+D144)</f>
        <v>49073.09</v>
      </c>
      <c r="E145" s="68">
        <f>(E115+E128+E144)</f>
        <v>68279.67</v>
      </c>
      <c r="F145" s="68">
        <f>(F115+F128+F144)</f>
        <v>0</v>
      </c>
      <c r="G145" s="68">
        <f>(G115+G128+G144)</f>
        <v>0</v>
      </c>
      <c r="H145" s="68">
        <f t="shared" si="7"/>
        <v>5738104.1799999997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t="str">
        <f>'DOE25'!F492</f>
        <v>0</v>
      </c>
      <c r="C152" s="109" t="str">
        <f>'DOE25'!G492</f>
        <v>0</v>
      </c>
      <c r="D152" s="109">
        <f>'DOE25'!H492</f>
        <v>0</v>
      </c>
      <c r="E152" s="109">
        <f>'DOE25'!I492</f>
        <v>0</v>
      </c>
      <c r="F152" s="109">
        <f>'DOE25'!J492</f>
        <v>0</v>
      </c>
      <c r="G152" s="23" t="s">
        <v>288</v>
      </c>
    </row>
    <row r="153" spans="1:9" x14ac:dyDescent="0.2">
      <c r="A153" s="21" t="s">
        <v>29</v>
      </c>
      <c r="B153" s="109" t="str">
        <f>'DOE25'!F493</f>
        <v>0</v>
      </c>
      <c r="C153" s="109" t="str">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Rollinsford</v>
      </c>
    </row>
    <row r="3" spans="1:4" x14ac:dyDescent="0.2">
      <c r="B3" s="137" t="s">
        <v>1799</v>
      </c>
    </row>
    <row r="4" spans="1:4" x14ac:dyDescent="0.2">
      <c r="B4" t="s">
        <v>61</v>
      </c>
      <c r="C4" s="129">
        <f>IF('DOE25'!F666+'DOE25'!F671=0,0,ROUND('DOE25'!F673,0))</f>
        <v>24600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24600</v>
      </c>
    </row>
    <row r="9" spans="1:4" x14ac:dyDescent="0.2">
      <c r="A9" s="136" t="s">
        <v>94</v>
      </c>
      <c r="B9" s="137" t="s">
        <v>1800</v>
      </c>
      <c r="C9" s="131" t="s">
        <v>720</v>
      </c>
      <c r="D9" s="131" t="s">
        <v>721</v>
      </c>
    </row>
    <row r="10" spans="1:4" x14ac:dyDescent="0.2">
      <c r="A10">
        <v>1100</v>
      </c>
      <c r="B10" t="s">
        <v>702</v>
      </c>
      <c r="C10" s="129">
        <f>ROUND('DOE25'!L198+'DOE25'!L216+'DOE25'!L234+'DOE25'!L277+'DOE25'!L296+'DOE25'!L315,0)</f>
        <v>2836479</v>
      </c>
      <c r="D10" s="132">
        <f>ROUND((C10/$C$28)*100,1)</f>
        <v>50.2</v>
      </c>
    </row>
    <row r="11" spans="1:4" x14ac:dyDescent="0.2">
      <c r="A11">
        <v>1200</v>
      </c>
      <c r="B11" t="s">
        <v>703</v>
      </c>
      <c r="C11" s="129">
        <f>ROUND('DOE25'!L199+'DOE25'!L217+'DOE25'!L235+'DOE25'!L278+'DOE25'!L297+'DOE25'!L316,0)</f>
        <v>1062179</v>
      </c>
      <c r="D11" s="132">
        <f>ROUND((C11/$C$28)*100,1)</f>
        <v>18.8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11056</v>
      </c>
      <c r="D13" s="132">
        <f>ROUND((C13/$C$28)*100,1)</f>
        <v>0.2</v>
      </c>
    </row>
    <row r="14" spans="1:4" x14ac:dyDescent="0.2">
      <c r="D14" s="132"/>
    </row>
    <row r="15" spans="1:4" x14ac:dyDescent="0.2">
      <c r="A15">
        <v>2100</v>
      </c>
      <c r="B15" t="s">
        <v>706</v>
      </c>
      <c r="C15" s="129">
        <f>ROUND('DOE25'!L203+'DOE25'!L221+'DOE25'!L239+'DOE25'!L282+'DOE25'!L301+'DOE25'!L320,0)</f>
        <v>369130</v>
      </c>
      <c r="D15" s="132">
        <f t="shared" ref="D15:D27" si="0">ROUND((C15/$C$28)*100,1)</f>
        <v>6.5</v>
      </c>
    </row>
    <row r="16" spans="1:4" x14ac:dyDescent="0.2">
      <c r="A16">
        <v>2200</v>
      </c>
      <c r="B16" t="s">
        <v>707</v>
      </c>
      <c r="C16" s="129">
        <f>ROUND('DOE25'!L204+'DOE25'!L222+'DOE25'!L240+'DOE25'!L283+'DOE25'!L302+'DOE25'!L321,0)</f>
        <v>74585</v>
      </c>
      <c r="D16" s="132">
        <f t="shared" si="0"/>
        <v>1.3</v>
      </c>
    </row>
    <row r="17" spans="1:4" x14ac:dyDescent="0.2">
      <c r="A17" s="133" t="s">
        <v>723</v>
      </c>
      <c r="B17" t="s">
        <v>738</v>
      </c>
      <c r="C17" s="129">
        <f>ROUND('DOE25'!L205+'DOE25'!L210+'DOE25'!L223+'DOE25'!L228+'DOE25'!L241+'DOE25'!L246+'DOE25'!L284+'DOE25'!L289+'DOE25'!L303+'DOE25'!L308+'DOE25'!L322+'DOE25'!L327,0)</f>
        <v>257316</v>
      </c>
      <c r="D17" s="132">
        <f t="shared" si="0"/>
        <v>4.5999999999999996</v>
      </c>
    </row>
    <row r="18" spans="1:4" x14ac:dyDescent="0.2">
      <c r="A18">
        <v>2400</v>
      </c>
      <c r="B18" t="s">
        <v>711</v>
      </c>
      <c r="C18" s="129">
        <f>ROUND('DOE25'!L206+'DOE25'!L224+'DOE25'!L242+'DOE25'!L285+'DOE25'!L304+'DOE25'!L323,0)</f>
        <v>224483</v>
      </c>
      <c r="D18" s="132">
        <f t="shared" si="0"/>
        <v>4</v>
      </c>
    </row>
    <row r="19" spans="1:4" x14ac:dyDescent="0.2">
      <c r="A19">
        <v>2500</v>
      </c>
      <c r="B19" t="s">
        <v>708</v>
      </c>
      <c r="C19" s="129">
        <f>ROUND('DOE25'!L207+'DOE25'!L225+'DOE25'!L243+'DOE25'!L286+'DOE25'!L305+'DOE25'!L324,0)</f>
        <v>909</v>
      </c>
      <c r="D19" s="132">
        <f t="shared" si="0"/>
        <v>0</v>
      </c>
    </row>
    <row r="20" spans="1:4" x14ac:dyDescent="0.2">
      <c r="A20">
        <v>2600</v>
      </c>
      <c r="B20" t="s">
        <v>709</v>
      </c>
      <c r="C20" s="129">
        <f>ROUND('DOE25'!L208+'DOE25'!L226+'DOE25'!L244+'DOE25'!L287+'DOE25'!L306+'DOE25'!L325,0)</f>
        <v>396623</v>
      </c>
      <c r="D20" s="132">
        <f t="shared" si="0"/>
        <v>7</v>
      </c>
    </row>
    <row r="21" spans="1:4" x14ac:dyDescent="0.2">
      <c r="A21">
        <v>2700</v>
      </c>
      <c r="B21" t="s">
        <v>710</v>
      </c>
      <c r="C21" s="129">
        <f>ROUND('DOE25'!L209+'DOE25'!L227+'DOE25'!L245+'DOE25'!L288+'DOE25'!L307+'DOE25'!L326,0)</f>
        <v>366272</v>
      </c>
      <c r="D21" s="132">
        <f t="shared" si="0"/>
        <v>6.5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49073</v>
      </c>
      <c r="D27" s="132">
        <f t="shared" si="0"/>
        <v>0.9</v>
      </c>
    </row>
    <row r="28" spans="1:4" x14ac:dyDescent="0.2">
      <c r="B28" s="136" t="s">
        <v>719</v>
      </c>
      <c r="C28" s="130">
        <f>SUM(C10:C27)</f>
        <v>5648105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5648105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4271809</v>
      </c>
      <c r="D35" s="132">
        <f t="shared" ref="D35:D40" si="1">ROUND((C35/$C$41)*100,1)</f>
        <v>74</v>
      </c>
    </row>
    <row r="36" spans="1:4" x14ac:dyDescent="0.2">
      <c r="B36" s="71" t="s">
        <v>739</v>
      </c>
      <c r="C36" s="129">
        <f>SUM('DOE25'!F112:J112)-SUM('DOE25'!G97:G110)+('DOE25'!F175+'DOE25'!F176+'DOE25'!I175+'DOE25'!I176)-C35</f>
        <v>2725.070000000298</v>
      </c>
      <c r="D36" s="132">
        <f t="shared" si="1"/>
        <v>0</v>
      </c>
    </row>
    <row r="37" spans="1:4" x14ac:dyDescent="0.2">
      <c r="A37" s="133" t="s">
        <v>835</v>
      </c>
      <c r="B37" s="71" t="s">
        <v>728</v>
      </c>
      <c r="C37" s="129">
        <f>ROUND('DOE25'!F117+'DOE25'!F118,0)</f>
        <v>1350646</v>
      </c>
      <c r="D37" s="132">
        <f t="shared" si="1"/>
        <v>23.4</v>
      </c>
    </row>
    <row r="38" spans="1:4" x14ac:dyDescent="0.2">
      <c r="A38" s="133" t="s">
        <v>734</v>
      </c>
      <c r="B38" s="71" t="s">
        <v>729</v>
      </c>
      <c r="C38" s="129">
        <f>ROUND(SUM('DOE25'!F140:J140)-SUM('DOE25'!F117:F119),0)</f>
        <v>12457</v>
      </c>
      <c r="D38" s="132">
        <f t="shared" si="1"/>
        <v>0.2</v>
      </c>
    </row>
    <row r="39" spans="1:4" x14ac:dyDescent="0.2">
      <c r="A39">
        <v>4000</v>
      </c>
      <c r="B39" s="71" t="s">
        <v>730</v>
      </c>
      <c r="C39" s="129">
        <f>ROUND('DOE25'!F170+'DOE25'!G170+'DOE25'!H170+'DOE25'!I170,0)</f>
        <v>131488</v>
      </c>
      <c r="D39" s="132">
        <f t="shared" si="1"/>
        <v>2.2999999999999998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5769125.0700000003</v>
      </c>
      <c r="D41" s="134">
        <f>SUM(D35:D40)</f>
        <v>99.9</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Rollinsford</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255</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f>IF('School Level Expenditures'!$B$2=A258,'School Tables'!H258,"")</f>
        <v>255</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2022-08-30T18:50:42Z</cp:lastPrinted>
  <dcterms:created xsi:type="dcterms:W3CDTF">1997-12-04T19:04:30Z</dcterms:created>
  <dcterms:modified xsi:type="dcterms:W3CDTF">2022-12-20T16:13:46Z</dcterms:modified>
</cp:coreProperties>
</file>