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34655CA-49E8-4405-AC83-B8543C97765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12" l="1"/>
  <c r="C21" i="12"/>
  <c r="B20" i="12"/>
  <c r="B19" i="12"/>
  <c r="C11" i="12"/>
  <c r="C12" i="12"/>
  <c r="B12" i="12"/>
  <c r="B11" i="12"/>
  <c r="B10" i="12"/>
  <c r="H605" i="1"/>
  <c r="H596" i="1"/>
  <c r="H592" i="1"/>
  <c r="H524" i="1"/>
  <c r="I527" i="1"/>
  <c r="H527" i="1"/>
  <c r="G527" i="1"/>
  <c r="J522" i="1"/>
  <c r="I522" i="1"/>
  <c r="H522" i="1"/>
  <c r="F369" i="1"/>
  <c r="F368" i="1"/>
  <c r="J360" i="1"/>
  <c r="I359" i="1"/>
  <c r="H359" i="1"/>
  <c r="G359" i="1"/>
  <c r="F359" i="1"/>
  <c r="H162" i="1"/>
  <c r="H282" i="1"/>
  <c r="H283" i="1"/>
  <c r="I283" i="1"/>
  <c r="I282" i="1"/>
  <c r="G280" i="1"/>
  <c r="I278" i="1"/>
  <c r="H278" i="1"/>
  <c r="G278" i="1"/>
  <c r="H159" i="1"/>
  <c r="H155" i="1"/>
  <c r="H235" i="1"/>
  <c r="G205" i="1"/>
  <c r="G208" i="1"/>
  <c r="G206" i="1"/>
  <c r="G204" i="1"/>
  <c r="G203" i="1"/>
  <c r="G201" i="1"/>
  <c r="G199" i="1"/>
  <c r="G198" i="1"/>
  <c r="G40" i="1"/>
  <c r="F50" i="1"/>
  <c r="H135" i="2"/>
  <c r="H136" i="2"/>
  <c r="H137" i="2"/>
  <c r="H138" i="2"/>
  <c r="H140" i="2"/>
  <c r="H142" i="2"/>
  <c r="H143" i="2"/>
  <c r="H132" i="2"/>
  <c r="H131" i="2"/>
  <c r="H122" i="2"/>
  <c r="H111" i="2"/>
  <c r="H113" i="2"/>
  <c r="H114" i="2"/>
  <c r="H97" i="2"/>
  <c r="H98" i="2"/>
  <c r="H99" i="2"/>
  <c r="H101" i="2"/>
  <c r="H102" i="2"/>
  <c r="H94" i="2"/>
  <c r="H93" i="2"/>
  <c r="H89" i="2"/>
  <c r="H90" i="2"/>
  <c r="H87" i="2"/>
  <c r="H85" i="2"/>
  <c r="H73" i="2"/>
  <c r="H74" i="2"/>
  <c r="H75" i="2"/>
  <c r="H76" i="2"/>
  <c r="H79" i="2"/>
  <c r="H80" i="2"/>
  <c r="H72" i="2"/>
  <c r="H69" i="2"/>
  <c r="H66" i="2"/>
  <c r="H58" i="2"/>
  <c r="H48" i="2"/>
  <c r="H44" i="2"/>
  <c r="H42" i="2"/>
  <c r="H40" i="2"/>
  <c r="H38" i="2"/>
  <c r="H36" i="2"/>
  <c r="H35" i="2"/>
  <c r="H25" i="2"/>
  <c r="H26" i="2"/>
  <c r="H28" i="2"/>
  <c r="H9" i="2"/>
  <c r="H10" i="2"/>
  <c r="H11" i="2"/>
  <c r="H14"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H125" i="2" s="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C13" i="10"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H24" i="2" s="1"/>
  <c r="E24" i="2"/>
  <c r="F24" i="2"/>
  <c r="C25" i="2"/>
  <c r="F25" i="2"/>
  <c r="C26" i="2"/>
  <c r="F26" i="2"/>
  <c r="C27" i="2"/>
  <c r="H27" i="2" s="1"/>
  <c r="D27" i="2"/>
  <c r="E27" i="2"/>
  <c r="F27" i="2"/>
  <c r="C28" i="2"/>
  <c r="D28" i="2"/>
  <c r="E28" i="2"/>
  <c r="F28" i="2"/>
  <c r="C29" i="2"/>
  <c r="H29" i="2" s="1"/>
  <c r="D29" i="2"/>
  <c r="E29" i="2"/>
  <c r="F29" i="2"/>
  <c r="C30" i="2"/>
  <c r="H30" i="2" s="1"/>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C67" i="2"/>
  <c r="H67" i="2" s="1"/>
  <c r="C69" i="2"/>
  <c r="D69" i="2"/>
  <c r="D70" i="2" s="1"/>
  <c r="E69" i="2"/>
  <c r="E70" i="2" s="1"/>
  <c r="F69" i="2"/>
  <c r="F70" i="2" s="1"/>
  <c r="G69" i="2"/>
  <c r="G70" i="2" s="1"/>
  <c r="C72" i="2"/>
  <c r="F72" i="2"/>
  <c r="C73" i="2"/>
  <c r="F73" i="2"/>
  <c r="C74" i="2"/>
  <c r="C75" i="2"/>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E112" i="2"/>
  <c r="D115" i="2"/>
  <c r="F115" i="2"/>
  <c r="G115" i="2"/>
  <c r="E120" i="2"/>
  <c r="E124"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J652" i="1" l="1"/>
  <c r="H477" i="1"/>
  <c r="H625" i="1" s="1"/>
  <c r="J625" i="1" s="1"/>
  <c r="G477" i="1"/>
  <c r="H624" i="1" s="1"/>
  <c r="J624" i="1" s="1"/>
  <c r="G409" i="1"/>
  <c r="H646" i="1" s="1"/>
  <c r="J646" i="1" s="1"/>
  <c r="G662" i="1"/>
  <c r="A40" i="12"/>
  <c r="H112" i="2"/>
  <c r="C110" i="2"/>
  <c r="C121" i="2"/>
  <c r="H121" i="2" s="1"/>
  <c r="C120" i="2"/>
  <c r="H120" i="2" s="1"/>
  <c r="D78" i="2"/>
  <c r="H78" i="2" s="1"/>
  <c r="H77" i="2"/>
  <c r="H22" i="2"/>
  <c r="H23" i="2"/>
  <c r="H13" i="2"/>
  <c r="H12" i="2"/>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144" i="2" l="1"/>
  <c r="G145" i="2" s="1"/>
  <c r="H134" i="2"/>
  <c r="B33" i="16"/>
  <c r="H21" i="2"/>
  <c r="D128" i="2"/>
  <c r="D145" i="2" s="1"/>
  <c r="H127" i="2"/>
  <c r="H118" i="2"/>
  <c r="H109" i="2"/>
  <c r="E128" i="2"/>
  <c r="F661" i="1"/>
  <c r="F665" i="1" s="1"/>
  <c r="F668" i="1" s="1"/>
  <c r="E115" i="2"/>
  <c r="H110" i="2"/>
  <c r="H91" i="2"/>
  <c r="F194" i="1"/>
  <c r="C81" i="2"/>
  <c r="H81" i="2" s="1"/>
  <c r="E51" i="2"/>
  <c r="H50"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115" i="2"/>
  <c r="E145" i="2"/>
  <c r="H673" i="1"/>
  <c r="C6" i="10" s="1"/>
  <c r="C144" i="2"/>
  <c r="H144" i="2" s="1"/>
  <c r="H141"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<sst xmlns="http://schemas.openxmlformats.org/spreadsheetml/2006/main" count="6532" uniqueCount="1802">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</sst>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1392</v>
      </c>
      <c r="B2" s="126">
        <f>INDEX('School Tables'!$AH$3:$AH$208,MATCH('DOE25'!A2,'School Tables'!$AJ$3:$AJ$208,0))</f>
        <v>471</v>
      </c>
      <c r="C2" s="126">
        <f>INDEX('School Tables'!$AI$3:$AI$208,MATCH('DOE25'!A2,'School Tables'!$AJ$3:$AJ$208,0))</f>
        <v>471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1476386.05</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83446.100000000006</v>
      </c>
      <c r="G13" s="18">
        <v>22730.38</v>
      </c>
      <c r="H13" s="18">
        <v>16587.990000000002</v>
      </c>
      <c r="I13" s="18"/>
      <c r="J13" s="67">
        <f>SUM(I443)</f>
        <v>549586.55000000005</v>
      </c>
      <c r="K13" s="24" t="s">
        <v>288</v>
      </c>
      <c r="L13" s="24" t="s">
        <v>288</v>
      </c>
      <c r="M13" s="8"/>
      <c r="N13" s="265"/>
    </row>
    <row r="14" spans="1:14" s="3" customFormat="1" ht="12.2" customHeight="1" x14ac:dyDescent="0.15">
      <c r="A14" s="1" t="s">
        <v>565</v>
      </c>
      <c r="B14" s="2" t="s">
        <v>289</v>
      </c>
      <c r="C14" s="6">
        <v>6</v>
      </c>
      <c r="D14" s="2" t="s">
        <v>428</v>
      </c>
      <c r="E14" s="6">
        <v>150</v>
      </c>
      <c r="F14" s="18">
        <v>1594.14</v>
      </c>
      <c r="G14" s="18">
        <v>158</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1031.48</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1561426.29</v>
      </c>
      <c r="G19" s="41">
        <f>SUM(G9:G18)</f>
        <v>23919.86</v>
      </c>
      <c r="H19" s="41">
        <f>SUM(H9:H18)</f>
        <v>16587.990000000002</v>
      </c>
      <c r="I19" s="41">
        <f>SUM(I9:I18)</f>
        <v>0</v>
      </c>
      <c r="J19" s="41">
        <f>SUM(J9:J18)</f>
        <v>549586.55000000005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-20118.73</v>
      </c>
      <c r="G22" s="18">
        <v>257.89999999999998</v>
      </c>
      <c r="H22" s="18">
        <v>10273.540000000001</v>
      </c>
      <c r="I22" s="18"/>
      <c r="J22" s="67">
        <f>SUM(I449)</f>
        <v>9587.2900000000009</v>
      </c>
      <c r="K22" s="24" t="s">
        <v>288</v>
      </c>
      <c r="L22" s="24" t="s">
        <v>288</v>
      </c>
      <c r="M22" s="8"/>
      <c r="N22" s="265"/>
    </row>
    <row r="23" spans="1:14" s="3" customFormat="1" ht="12.2" customHeight="1" x14ac:dyDescent="0.15">
      <c r="A23" s="1" t="s">
        <v>607</v>
      </c>
      <c r="B23" s="2" t="s">
        <v>289</v>
      </c>
      <c r="C23" s="6">
        <v>13</v>
      </c>
      <c r="D23" s="2" t="s">
        <v>429</v>
      </c>
      <c r="E23" s="6">
        <v>410</v>
      </c>
      <c r="F23" s="18">
        <v>2788.27</v>
      </c>
      <c r="G23" s="18"/>
      <c r="H23" s="18">
        <v>887.38</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15857.24</v>
      </c>
      <c r="G24" s="18">
        <v>799.25</v>
      </c>
      <c r="H24" s="18">
        <v>5427.07</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v>10168.629999999999</v>
      </c>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462184.45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6850.59</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467561.82000000007</v>
      </c>
      <c r="G32" s="41">
        <f>SUM(G22:G31)</f>
        <v>11225.779999999999</v>
      </c>
      <c r="H32" s="41">
        <f>SUM(H22:H31)</f>
        <v>16587.989999999998</v>
      </c>
      <c r="I32" s="41">
        <f>SUM(I22:I31)</f>
        <v>0</v>
      </c>
      <c r="J32" s="41">
        <f>SUM(J22:J31)</f>
        <v>9587.2900000000009</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1031.48</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443.09+12250.99-1031.48</f>
        <v>11662.6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170000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709401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539999.26</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284955.45-70491.98</f>
        <v>214463.47000000003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1093864.47</v>
      </c>
      <c r="G51" s="41">
        <f>SUM(G35:G50)</f>
        <v>12694.08</v>
      </c>
      <c r="H51" s="41">
        <f>SUM(H35:H50)</f>
        <v>0</v>
      </c>
      <c r="I51" s="41">
        <f>SUM(I35:I50)</f>
        <v>0</v>
      </c>
      <c r="J51" s="41">
        <f>SUM(J35:J50)</f>
        <v>539999.26</v>
      </c>
      <c r="K51" s="45" t="s">
        <v>288</v>
      </c>
      <c r="L51" s="45" t="s">
        <v>288</v>
      </c>
      <c r="N51" s="263"/>
    </row>
    <row r="52" spans="1:14" s="3" customFormat="1" ht="12.2" customHeight="1" thickTop="1" x14ac:dyDescent="0.15">
      <c r="A52" s="38" t="s">
        <v>455</v>
      </c>
      <c r="B52" s="39" t="s">
        <v>289</v>
      </c>
      <c r="C52" s="6">
        <v>37</v>
      </c>
      <c r="D52" s="39" t="s">
        <v>653</v>
      </c>
      <c r="E52" s="39"/>
      <c r="F52" s="41">
        <f>F51+F32</f>
        <v>1561426.29</v>
      </c>
      <c r="G52" s="41">
        <f>G51+G32</f>
        <v>23919.86</v>
      </c>
      <c r="H52" s="41">
        <f>H51+H32</f>
        <v>16587.989999999998</v>
      </c>
      <c r="I52" s="41">
        <f>I51+I32</f>
        <v>0</v>
      </c>
      <c r="J52" s="41">
        <f>J51+J32</f>
        <v>549586.55000000005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9576182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9576182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49425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158521.60999999999</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207946.61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3319.59</v>
      </c>
      <c r="G96" s="18"/>
      <c r="H96" s="18"/>
      <c r="I96" s="18"/>
      <c r="J96" s="18">
        <v>829.03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24001.96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450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61594.32</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106896.16</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172260.07</v>
      </c>
      <c r="G111" s="41">
        <f>SUM(G96:G110)</f>
        <v>24001.96</v>
      </c>
      <c r="H111" s="41">
        <f>SUM(H96:H110)</f>
        <v>0</v>
      </c>
      <c r="I111" s="41">
        <f>SUM(I96:I110)</f>
        <v>0</v>
      </c>
      <c r="J111" s="41">
        <f>SUM(J96:J110)</f>
        <v>829.03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9956388.6799999997</v>
      </c>
      <c r="G112" s="41">
        <f>G60+G111</f>
        <v>24001.96</v>
      </c>
      <c r="H112" s="41">
        <f>H60+H79+H94+H111</f>
        <v>0</v>
      </c>
      <c r="I112" s="41">
        <f>I60+I111</f>
        <v>0</v>
      </c>
      <c r="J112" s="41">
        <f>J60+J111</f>
        <v>829.03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4611845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4611845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3578.71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3578.71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4611845</v>
      </c>
      <c r="G140" s="41">
        <f>G121+SUM(G136:G137)</f>
        <v>3578.71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9915.27+5250</f>
        <v>15165.27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130984.53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92675.56+5794.72</f>
        <v>98470.28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31.09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21094.36</v>
      </c>
      <c r="H161" s="18" t="s">
        <v>286</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24986.13+568.89</f>
        <v>25555.02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31.09</v>
      </c>
      <c r="G163" s="41">
        <f>SUM(G150:G162)</f>
        <v>152078.89000000001</v>
      </c>
      <c r="H163" s="41">
        <f>SUM(H150:H162)</f>
        <v>139190.57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31.09</v>
      </c>
      <c r="G170" s="41">
        <f>G147+G163+SUM(G164:G169)</f>
        <v>152078.89000000001</v>
      </c>
      <c r="H170" s="41">
        <f>H147+H163+SUM(H164:H169)</f>
        <v>139190.57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9587.2900000000009</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9587.2900000000009</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9587.2900000000009</v>
      </c>
      <c r="G193" s="41">
        <f>G184+SUM(G189:G192)</f>
        <v>0</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14577852.059999999</v>
      </c>
      <c r="G194" s="47">
        <f>G112+G140+G170+G193</f>
        <v>179659.56</v>
      </c>
      <c r="H194" s="47">
        <f>H112+H140+H170+H193</f>
        <v>139190.57</v>
      </c>
      <c r="I194" s="47">
        <f>I112+I140+I170+I193</f>
        <v>0</v>
      </c>
      <c r="J194" s="47">
        <f>J112+J140+J193</f>
        <v>50829.03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3168796.79</v>
      </c>
      <c r="G198" s="18">
        <f>315802.77+1207173.66</f>
        <v>1522976.43</v>
      </c>
      <c r="H198" s="18">
        <v>15568</v>
      </c>
      <c r="I198" s="18">
        <v>128372.27</v>
      </c>
      <c r="J198" s="18">
        <v>68362.22</v>
      </c>
      <c r="K198" s="18"/>
      <c r="L198" s="19">
        <f>SUM(F198:K198)</f>
        <v>4904075.709999999</v>
      </c>
      <c r="M198" s="8"/>
      <c r="N198" s="265"/>
    </row>
    <row r="199" spans="1:14" s="3" customFormat="1" ht="12.2" customHeight="1" x14ac:dyDescent="0.15">
      <c r="A199" s="1" t="s">
        <v>439</v>
      </c>
      <c r="B199" s="2" t="s">
        <v>341</v>
      </c>
      <c r="C199" s="2" t="s">
        <v>291</v>
      </c>
      <c r="D199" s="2" t="s">
        <v>431</v>
      </c>
      <c r="E199" s="6">
        <v>1200</v>
      </c>
      <c r="F199" s="18">
        <v>796715.84</v>
      </c>
      <c r="G199" s="18">
        <f>66505.9+357977.84</f>
        <v>424483.74</v>
      </c>
      <c r="H199" s="18">
        <v>263185.42</v>
      </c>
      <c r="I199" s="18">
        <v>12213.52</v>
      </c>
      <c r="J199" s="18">
        <v>3001.02</v>
      </c>
      <c r="K199" s="18"/>
      <c r="L199" s="19">
        <f>SUM(F199:K199)</f>
        <v>1499599.54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93506.99</v>
      </c>
      <c r="G201" s="18">
        <f>7036.25+14070.99</f>
        <v>21107.239999999998</v>
      </c>
      <c r="H201" s="18">
        <v>52014.080000000002</v>
      </c>
      <c r="I201" s="18">
        <v>2963.42</v>
      </c>
      <c r="J201" s="18"/>
      <c r="K201" s="18">
        <v>32805.279999999999</v>
      </c>
      <c r="L201" s="19">
        <f>SUM(F201:K201)</f>
        <v>202397.01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434407.58</v>
      </c>
      <c r="G203" s="18">
        <f>47306.46+214936.01</f>
        <v>262242.47000000003</v>
      </c>
      <c r="H203" s="18">
        <v>68978.42</v>
      </c>
      <c r="I203" s="18">
        <v>10116.86</v>
      </c>
      <c r="J203" s="18"/>
      <c r="K203" s="18"/>
      <c r="L203" s="19">
        <f t="shared" ref="L203:L209" si="0">SUM(F203:K203)</f>
        <v>775745.33000000007</v>
      </c>
      <c r="M203" s="8"/>
      <c r="N203" s="265"/>
    </row>
    <row r="204" spans="1:14" s="3" customFormat="1" ht="12.2" customHeight="1" x14ac:dyDescent="0.15">
      <c r="A204" s="1" t="s">
        <v>443</v>
      </c>
      <c r="B204" s="2" t="s">
        <v>341</v>
      </c>
      <c r="C204" s="2" t="s">
        <v>295</v>
      </c>
      <c r="D204" s="2" t="s">
        <v>431</v>
      </c>
      <c r="E204" s="6">
        <v>2200</v>
      </c>
      <c r="F204" s="18">
        <v>302376.52</v>
      </c>
      <c r="G204" s="18">
        <f>114266.14+86161.03</f>
        <v>200427.16999999998</v>
      </c>
      <c r="H204" s="18">
        <v>33279.21</v>
      </c>
      <c r="I204" s="18">
        <v>81069.820000000007</v>
      </c>
      <c r="J204" s="18">
        <v>180600.4</v>
      </c>
      <c r="K204" s="18">
        <v>564</v>
      </c>
      <c r="L204" s="19">
        <f t="shared" si="0"/>
        <v>798317.12</v>
      </c>
      <c r="M204" s="8"/>
      <c r="N204" s="265"/>
    </row>
    <row r="205" spans="1:14" s="3" customFormat="1" ht="12.2" customHeight="1" x14ac:dyDescent="0.15">
      <c r="A205" s="1" t="s">
        <v>444</v>
      </c>
      <c r="B205" s="2" t="s">
        <v>341</v>
      </c>
      <c r="C205" s="2" t="s">
        <v>296</v>
      </c>
      <c r="D205" s="2" t="s">
        <v>431</v>
      </c>
      <c r="E205" s="6">
        <v>2300</v>
      </c>
      <c r="F205" s="18">
        <v>9324</v>
      </c>
      <c r="G205" s="18">
        <f>147.28+621.01</f>
        <v>768.29</v>
      </c>
      <c r="H205" s="18">
        <v>871981.25</v>
      </c>
      <c r="I205" s="18">
        <v>14.99</v>
      </c>
      <c r="J205" s="18"/>
      <c r="K205" s="18">
        <v>7735.2</v>
      </c>
      <c r="L205" s="19">
        <f t="shared" si="0"/>
        <v>889823.73</v>
      </c>
      <c r="M205" s="8"/>
      <c r="N205" s="265"/>
    </row>
    <row r="206" spans="1:14" s="3" customFormat="1" ht="12.2" customHeight="1" x14ac:dyDescent="0.15">
      <c r="A206" s="1" t="s">
        <v>445</v>
      </c>
      <c r="B206" s="2" t="s">
        <v>341</v>
      </c>
      <c r="C206" s="2" t="s">
        <v>297</v>
      </c>
      <c r="D206" s="2" t="s">
        <v>431</v>
      </c>
      <c r="E206" s="6">
        <v>2400</v>
      </c>
      <c r="F206" s="18">
        <v>371059.28</v>
      </c>
      <c r="G206" s="18">
        <f>26530.84+177024.51</f>
        <v>203555.35</v>
      </c>
      <c r="H206" s="18">
        <v>16766.43</v>
      </c>
      <c r="I206" s="18">
        <v>29842.78</v>
      </c>
      <c r="J206" s="18"/>
      <c r="K206" s="18">
        <v>869.98</v>
      </c>
      <c r="L206" s="19">
        <f t="shared" si="0"/>
        <v>622093.82000000007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273213.65999999997</v>
      </c>
      <c r="G208" s="18">
        <f>13568.3+70267.55</f>
        <v>83835.850000000006</v>
      </c>
      <c r="H208" s="18">
        <v>293078.81</v>
      </c>
      <c r="I208" s="18">
        <v>222142.45</v>
      </c>
      <c r="J208" s="18">
        <v>6475.75</v>
      </c>
      <c r="K208" s="18"/>
      <c r="L208" s="19">
        <f t="shared" si="0"/>
        <v>878746.52</v>
      </c>
      <c r="M208" s="8"/>
      <c r="N208" s="265"/>
    </row>
    <row r="209" spans="1:14" s="3" customFormat="1" ht="12.2" customHeight="1" x14ac:dyDescent="0.15">
      <c r="A209" s="1" t="s">
        <v>448</v>
      </c>
      <c r="B209" s="2" t="s">
        <v>341</v>
      </c>
      <c r="C209" s="2" t="s">
        <v>300</v>
      </c>
      <c r="D209" s="2" t="s">
        <v>431</v>
      </c>
      <c r="E209" s="6">
        <v>2700</v>
      </c>
      <c r="F209" s="18"/>
      <c r="G209" s="18"/>
      <c r="H209" s="18">
        <v>338487.94</v>
      </c>
      <c r="I209" s="18"/>
      <c r="J209" s="18"/>
      <c r="K209" s="18"/>
      <c r="L209" s="19">
        <f t="shared" si="0"/>
        <v>338487.94</v>
      </c>
      <c r="M209" s="8"/>
      <c r="N209" s="265"/>
    </row>
    <row r="210" spans="1:14" s="3" customFormat="1" ht="12.2" customHeight="1" x14ac:dyDescent="0.15">
      <c r="A210" s="1" t="s">
        <v>449</v>
      </c>
      <c r="B210" s="2" t="s">
        <v>341</v>
      </c>
      <c r="C210" s="2" t="s">
        <v>343</v>
      </c>
      <c r="D210" s="2" t="s">
        <v>431</v>
      </c>
      <c r="E210" s="6">
        <v>2800</v>
      </c>
      <c r="F210" s="18"/>
      <c r="G210" s="18">
        <v>800</v>
      </c>
      <c r="H210" s="18">
        <v>16882.419999999998</v>
      </c>
      <c r="I210" s="18"/>
      <c r="J210" s="18"/>
      <c r="K210" s="18"/>
      <c r="L210" s="19">
        <f>SUM(F210:K210)</f>
        <v>17682.419999999998</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5449400.6600000011</v>
      </c>
      <c r="G212" s="41">
        <f t="shared" si="1"/>
        <v>2720196.54</v>
      </c>
      <c r="H212" s="41">
        <f t="shared" si="1"/>
        <v>1970221.9799999997</v>
      </c>
      <c r="I212" s="41">
        <f t="shared" si="1"/>
        <v>486736.11000000004</v>
      </c>
      <c r="J212" s="41">
        <f t="shared" si="1"/>
        <v>258439.39</v>
      </c>
      <c r="K212" s="41">
        <f t="shared" si="1"/>
        <v>41974.46</v>
      </c>
      <c r="L212" s="41">
        <f t="shared" si="1"/>
        <v>10926969.139999999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3101841.31</v>
      </c>
      <c r="I234" s="18"/>
      <c r="J234" s="18"/>
      <c r="K234" s="18"/>
      <c r="L234" s="19">
        <f>SUM(F234:K234)</f>
        <v>3101841.31</v>
      </c>
      <c r="M234" s="8"/>
      <c r="N234" s="265"/>
    </row>
    <row r="235" spans="1:14" s="3" customFormat="1" ht="12.2" customHeight="1" x14ac:dyDescent="0.15">
      <c r="A235" s="1" t="s">
        <v>439</v>
      </c>
      <c r="B235" s="2" t="s">
        <v>350</v>
      </c>
      <c r="C235" s="2" t="s">
        <v>291</v>
      </c>
      <c r="D235" s="2" t="s">
        <v>431</v>
      </c>
      <c r="E235" s="6">
        <v>1200</v>
      </c>
      <c r="F235" s="18"/>
      <c r="G235" s="18"/>
      <c r="H235" s="18">
        <f>9240+100+52857</f>
        <v>62197</v>
      </c>
      <c r="I235" s="18"/>
      <c r="J235" s="18"/>
      <c r="K235" s="18"/>
      <c r="L235" s="19">
        <f>SUM(F235:K235)</f>
        <v>62197</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v>6300</v>
      </c>
      <c r="I237" s="18"/>
      <c r="J237" s="18"/>
      <c r="K237" s="18"/>
      <c r="L237" s="19">
        <f>SUM(F237:K237)</f>
        <v>6300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84554.14</v>
      </c>
      <c r="I245" s="18"/>
      <c r="J245" s="18"/>
      <c r="K245" s="18"/>
      <c r="L245" s="19">
        <f t="shared" si="4"/>
        <v>84554.14</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3254892.45</v>
      </c>
      <c r="I248" s="41">
        <f t="shared" si="5"/>
        <v>0</v>
      </c>
      <c r="J248" s="41">
        <f t="shared" si="5"/>
        <v>0</v>
      </c>
      <c r="K248" s="41">
        <f t="shared" si="5"/>
        <v>0</v>
      </c>
      <c r="L248" s="41">
        <f t="shared" si="5"/>
        <v>3254892.45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61035.02</v>
      </c>
      <c r="I256" s="18"/>
      <c r="J256" s="18"/>
      <c r="K256" s="18"/>
      <c r="L256" s="19">
        <f t="shared" si="6"/>
        <v>61035.02</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61035.02</v>
      </c>
      <c r="I257" s="41">
        <f t="shared" si="7"/>
        <v>0</v>
      </c>
      <c r="J257" s="41">
        <f t="shared" si="7"/>
        <v>0</v>
      </c>
      <c r="K257" s="41">
        <f t="shared" si="7"/>
        <v>0</v>
      </c>
      <c r="L257" s="41">
        <f>SUM(F257:K257)</f>
        <v>61035.02</v>
      </c>
      <c r="M257" s="8"/>
      <c r="N257" s="265"/>
    </row>
    <row r="258" spans="1:14" s="3" customFormat="1" ht="12.2" customHeight="1" thickTop="1" x14ac:dyDescent="0.15">
      <c r="A258" s="38" t="s">
        <v>462</v>
      </c>
      <c r="B258" s="40">
        <v>10</v>
      </c>
      <c r="C258" s="40">
        <v>8</v>
      </c>
      <c r="D258" s="39" t="s">
        <v>431</v>
      </c>
      <c r="E258" s="40"/>
      <c r="F258" s="41">
        <f t="shared" ref="F258:L258" si="8">F212+F230+F248+F257</f>
        <v>5449400.6600000011</v>
      </c>
      <c r="G258" s="41">
        <f t="shared" si="8"/>
        <v>2720196.54</v>
      </c>
      <c r="H258" s="41">
        <f t="shared" si="8"/>
        <v>5286149.4499999993</v>
      </c>
      <c r="I258" s="41">
        <f t="shared" si="8"/>
        <v>486736.11000000004</v>
      </c>
      <c r="J258" s="41">
        <f t="shared" si="8"/>
        <v>258439.39</v>
      </c>
      <c r="K258" s="41">
        <f t="shared" si="8"/>
        <v>41974.46</v>
      </c>
      <c r="L258" s="41">
        <f t="shared" si="8"/>
        <v>14242896.609999999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50000</v>
      </c>
      <c r="L271" s="41">
        <f t="shared" si="9"/>
        <v>50000</v>
      </c>
      <c r="M271" s="8"/>
      <c r="N271" s="265"/>
    </row>
    <row r="272" spans="1:14" s="34" customFormat="1" ht="12.2" customHeight="1" thickTop="1" x14ac:dyDescent="0.2">
      <c r="A272" s="43" t="s">
        <v>464</v>
      </c>
      <c r="B272" s="40">
        <v>10</v>
      </c>
      <c r="C272" s="40">
        <v>18</v>
      </c>
      <c r="D272" s="39" t="s">
        <v>431</v>
      </c>
      <c r="E272" s="40"/>
      <c r="F272" s="42">
        <f t="shared" ref="F272:L272" si="11">F258+F271</f>
        <v>5449400.6600000011</v>
      </c>
      <c r="G272" s="42">
        <f t="shared" si="11"/>
        <v>2720196.54</v>
      </c>
      <c r="H272" s="42">
        <f t="shared" si="11"/>
        <v>5286149.4499999993</v>
      </c>
      <c r="I272" s="42">
        <f t="shared" si="11"/>
        <v>486736.11000000004</v>
      </c>
      <c r="J272" s="42">
        <f t="shared" si="11"/>
        <v>258439.39</v>
      </c>
      <c r="K272" s="42">
        <f t="shared" si="11"/>
        <v>91974.459999999992</v>
      </c>
      <c r="L272" s="42">
        <f t="shared" si="11"/>
        <v>14292896.609999999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1300</v>
      </c>
      <c r="G277" s="18">
        <v>330.85</v>
      </c>
      <c r="H277" s="18"/>
      <c r="I277" s="18"/>
      <c r="J277" s="18"/>
      <c r="K277" s="18"/>
      <c r="L277" s="19">
        <f>SUM(F277:K277)</f>
        <v>1630.85</v>
      </c>
      <c r="M277" s="8"/>
      <c r="N277" s="265"/>
    </row>
    <row r="278" spans="1:14" s="3" customFormat="1" ht="12.2" customHeight="1" x14ac:dyDescent="0.15">
      <c r="A278" s="1" t="s">
        <v>439</v>
      </c>
      <c r="B278" s="2" t="s">
        <v>357</v>
      </c>
      <c r="C278" s="2" t="s">
        <v>291</v>
      </c>
      <c r="D278" s="2" t="s">
        <v>431</v>
      </c>
      <c r="E278" s="6">
        <v>1200</v>
      </c>
      <c r="F278" s="18">
        <v>25587.72</v>
      </c>
      <c r="G278" s="18">
        <f>7633.1+603</f>
        <v>8236.1</v>
      </c>
      <c r="H278" s="18">
        <f>56443.09+4498.17</f>
        <v>60941.259999999995</v>
      </c>
      <c r="I278" s="18">
        <f>833.77+1296.55</f>
        <v>2130.3199999999997</v>
      </c>
      <c r="J278" s="18">
        <v>619.67999999999995</v>
      </c>
      <c r="K278" s="18"/>
      <c r="L278" s="19">
        <f>SUM(F278:K278)</f>
        <v>97515.079999999987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1500</v>
      </c>
      <c r="G280" s="18">
        <f>286.71+142.15</f>
        <v>428.86</v>
      </c>
      <c r="H280" s="18"/>
      <c r="I280" s="18"/>
      <c r="J280" s="18"/>
      <c r="K280" s="18"/>
      <c r="L280" s="19">
        <f>SUM(F280:K280)</f>
        <v>1928.8600000000001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f>8873.8-887.38</f>
        <v>7986.4199999999992</v>
      </c>
      <c r="I282" s="18">
        <f>568.89+4616.35+197.6</f>
        <v>5382.8400000000011</v>
      </c>
      <c r="J282" s="18"/>
      <c r="K282" s="18"/>
      <c r="L282" s="19">
        <f t="shared" ref="L282:L288" si="12">SUM(F282:K282)</f>
        <v>13369.26</v>
      </c>
      <c r="M282" s="8"/>
      <c r="N282" s="265"/>
    </row>
    <row r="283" spans="1:14" s="3" customFormat="1" ht="12.2" customHeight="1" x14ac:dyDescent="0.15">
      <c r="A283" s="1" t="s">
        <v>443</v>
      </c>
      <c r="B283" s="2" t="s">
        <v>357</v>
      </c>
      <c r="C283" s="2" t="s">
        <v>295</v>
      </c>
      <c r="D283" s="2" t="s">
        <v>431</v>
      </c>
      <c r="E283" s="6">
        <v>2200</v>
      </c>
      <c r="F283" s="18"/>
      <c r="G283" s="18"/>
      <c r="H283" s="18">
        <f>6355.56+1465+1395+890+1500+500</f>
        <v>12105.560000000001</v>
      </c>
      <c r="I283" s="18">
        <f>209.6+3200+8276.16</f>
        <v>11685.76</v>
      </c>
      <c r="J283" s="18">
        <v>955.2</v>
      </c>
      <c r="K283" s="18"/>
      <c r="L283" s="19">
        <f t="shared" si="12"/>
        <v>24746.52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28387.72</v>
      </c>
      <c r="G291" s="42">
        <f t="shared" si="13"/>
        <v>8995.8100000000013</v>
      </c>
      <c r="H291" s="42">
        <f t="shared" si="13"/>
        <v>81033.239999999991</v>
      </c>
      <c r="I291" s="42">
        <f t="shared" si="13"/>
        <v>19198.920000000002</v>
      </c>
      <c r="J291" s="42">
        <f t="shared" si="13"/>
        <v>1574.88</v>
      </c>
      <c r="K291" s="42">
        <f t="shared" si="13"/>
        <v>0</v>
      </c>
      <c r="L291" s="41">
        <f t="shared" si="13"/>
        <v>139190.56999999998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28387.72</v>
      </c>
      <c r="G339" s="41">
        <f t="shared" si="20"/>
        <v>8995.8100000000013</v>
      </c>
      <c r="H339" s="41">
        <f t="shared" si="20"/>
        <v>81033.239999999991</v>
      </c>
      <c r="I339" s="41">
        <f t="shared" si="20"/>
        <v>19198.920000000002</v>
      </c>
      <c r="J339" s="41">
        <f t="shared" si="20"/>
        <v>1574.88</v>
      </c>
      <c r="K339" s="41">
        <f t="shared" si="20"/>
        <v>0</v>
      </c>
      <c r="L339" s="41">
        <f t="shared" si="20"/>
        <v>139190.56999999998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28387.72</v>
      </c>
      <c r="G353" s="41">
        <f>G339</f>
        <v>8995.8100000000013</v>
      </c>
      <c r="H353" s="41">
        <f>H339</f>
        <v>81033.239999999991</v>
      </c>
      <c r="I353" s="41">
        <f>I339</f>
        <v>19198.920000000002</v>
      </c>
      <c r="J353" s="41">
        <f>J339</f>
        <v>1574.88</v>
      </c>
      <c r="K353" s="47">
        <f>K339+K352</f>
        <v>0</v>
      </c>
      <c r="L353" s="41">
        <f>L339+L352</f>
        <v>139190.56999999998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43017.09+15957.08+29758.56+1378+325</f>
        <v>90435.73</v>
      </c>
      <c r="G359" s="18">
        <f>1020.78+503.05+697.35+2276.9+135</f>
        <v>4633.08</v>
      </c>
      <c r="H359" s="18">
        <f>2753.28</f>
        <v>2753.28</v>
      </c>
      <c r="I359" s="18">
        <f>3836.57+4206.65+32692.27+25235.15+867.5+867.5</f>
        <v>67705.64</v>
      </c>
      <c r="J359" s="18"/>
      <c r="K359" s="18"/>
      <c r="L359" s="13">
        <f>SUM(F359:K359)</f>
        <v>165527.72999999998</v>
      </c>
      <c r="M359" s="8"/>
      <c r="N359" s="265"/>
    </row>
    <row r="360" spans="1:22" s="3" customFormat="1" ht="12.2" customHeight="1" x14ac:dyDescent="0.15">
      <c r="A360" s="1" t="s">
        <v>542</v>
      </c>
      <c r="B360" s="2" t="s">
        <v>366</v>
      </c>
      <c r="C360" s="6">
        <v>2</v>
      </c>
      <c r="D360" s="2" t="s">
        <v>431</v>
      </c>
      <c r="E360" s="6"/>
      <c r="F360" s="18"/>
      <c r="G360" s="18"/>
      <c r="H360" s="18"/>
      <c r="I360" s="18"/>
      <c r="J360" s="18">
        <f>295+940.42+645.42</f>
        <v>1880.8400000000001</v>
      </c>
      <c r="K360" s="18"/>
      <c r="L360" s="19">
        <f>SUM(F360:K360)</f>
        <v>1880.8400000000001</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90435.73</v>
      </c>
      <c r="G363" s="47">
        <f t="shared" si="22"/>
        <v>4633.08</v>
      </c>
      <c r="H363" s="47">
        <f t="shared" si="22"/>
        <v>2753.28</v>
      </c>
      <c r="I363" s="47">
        <f t="shared" si="22"/>
        <v>67705.64</v>
      </c>
      <c r="J363" s="47">
        <f t="shared" si="22"/>
        <v>1880.8400000000001</v>
      </c>
      <c r="K363" s="47">
        <f t="shared" si="22"/>
        <v>0</v>
      </c>
      <c r="L363" s="47">
        <f t="shared" si="22"/>
        <v>167408.56999999998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32692.27+25235.15</f>
        <v>57927.42</v>
      </c>
      <c r="G368" s="18"/>
      <c r="H368" s="18"/>
      <c r="I368" s="56">
        <f>SUM(F368:H368)</f>
        <v>57927.42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3836.57+4206.65+867.5+867.5</f>
        <v>9778.2199999999993</v>
      </c>
      <c r="G369" s="63"/>
      <c r="H369" s="63"/>
      <c r="I369" s="56">
        <f>SUM(F369:H369)</f>
        <v>9778.2199999999993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67705.64</v>
      </c>
      <c r="G370" s="47">
        <f>SUM(G368:G369)</f>
        <v>0</v>
      </c>
      <c r="H370" s="47">
        <f>SUM(H368:H369)</f>
        <v>0</v>
      </c>
      <c r="I370" s="47">
        <f>SUM(I368:I369)</f>
        <v>67705.64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581.86</v>
      </c>
      <c r="I397" s="18"/>
      <c r="J397" s="24" t="s">
        <v>288</v>
      </c>
      <c r="K397" s="24" t="s">
        <v>288</v>
      </c>
      <c r="L397" s="56">
        <f t="shared" si="26"/>
        <v>581.86</v>
      </c>
      <c r="M397" s="8"/>
      <c r="N397" s="265"/>
    </row>
    <row r="398" spans="1:14" s="3" customFormat="1" ht="12.2" customHeight="1" x14ac:dyDescent="0.15">
      <c r="A398" s="79" t="s">
        <v>515</v>
      </c>
      <c r="B398" s="2" t="s">
        <v>381</v>
      </c>
      <c r="C398" s="6">
        <v>10</v>
      </c>
      <c r="D398" s="2" t="s">
        <v>432</v>
      </c>
      <c r="E398" s="6"/>
      <c r="F398" s="18"/>
      <c r="G398" s="18"/>
      <c r="H398" s="18">
        <v>8.9600000000000009</v>
      </c>
      <c r="I398" s="18"/>
      <c r="J398" s="24" t="s">
        <v>288</v>
      </c>
      <c r="K398" s="24" t="s">
        <v>288</v>
      </c>
      <c r="L398" s="56">
        <f t="shared" si="26"/>
        <v>8.9600000000000009</v>
      </c>
      <c r="M398" s="8"/>
      <c r="N398" s="265"/>
    </row>
    <row r="399" spans="1:14" s="3" customFormat="1" ht="12.2" customHeight="1" x14ac:dyDescent="0.15">
      <c r="A399" s="79" t="s">
        <v>558</v>
      </c>
      <c r="B399" s="2" t="s">
        <v>381</v>
      </c>
      <c r="C399" s="6">
        <v>11</v>
      </c>
      <c r="D399" s="2" t="s">
        <v>432</v>
      </c>
      <c r="E399" s="6"/>
      <c r="F399" s="18"/>
      <c r="G399" s="18"/>
      <c r="H399" s="18">
        <v>2.4</v>
      </c>
      <c r="I399" s="18"/>
      <c r="J399" s="24" t="s">
        <v>288</v>
      </c>
      <c r="K399" s="24" t="s">
        <v>288</v>
      </c>
      <c r="L399" s="56">
        <f t="shared" si="26"/>
        <v>2.4</v>
      </c>
      <c r="M399" s="8"/>
      <c r="N399" s="265"/>
    </row>
    <row r="400" spans="1:14" s="3" customFormat="1" ht="12.2" customHeight="1" x14ac:dyDescent="0.15">
      <c r="A400" s="79" t="s">
        <v>559</v>
      </c>
      <c r="B400" s="2" t="s">
        <v>381</v>
      </c>
      <c r="C400" s="6">
        <v>12</v>
      </c>
      <c r="D400" s="2" t="s">
        <v>432</v>
      </c>
      <c r="E400" s="6"/>
      <c r="F400" s="18"/>
      <c r="G400" s="18">
        <v>50000</v>
      </c>
      <c r="H400" s="18">
        <v>94.04</v>
      </c>
      <c r="I400" s="18"/>
      <c r="J400" s="24" t="s">
        <v>288</v>
      </c>
      <c r="K400" s="24" t="s">
        <v>288</v>
      </c>
      <c r="L400" s="56">
        <f t="shared" si="26"/>
        <v>50094.04</v>
      </c>
      <c r="M400" s="8"/>
      <c r="N400" s="265"/>
    </row>
    <row r="401" spans="1:21" s="3" customFormat="1" ht="12.2" customHeight="1" thickBot="1" x14ac:dyDescent="0.2">
      <c r="A401" s="79" t="s">
        <v>510</v>
      </c>
      <c r="B401" s="2" t="s">
        <v>381</v>
      </c>
      <c r="C401" s="6">
        <v>13</v>
      </c>
      <c r="D401" s="2" t="s">
        <v>432</v>
      </c>
      <c r="E401" s="6"/>
      <c r="F401" s="18"/>
      <c r="G401" s="18"/>
      <c r="H401" s="18">
        <v>141.77000000000001</v>
      </c>
      <c r="I401" s="18"/>
      <c r="J401" s="24" t="s">
        <v>288</v>
      </c>
      <c r="K401" s="24" t="s">
        <v>288</v>
      </c>
      <c r="L401" s="56">
        <f t="shared" si="26"/>
        <v>141.77000000000001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829.03</v>
      </c>
      <c r="I402" s="47">
        <f>SUM(I396:I401)</f>
        <v>0</v>
      </c>
      <c r="J402" s="45" t="s">
        <v>288</v>
      </c>
      <c r="K402" s="45" t="s">
        <v>288</v>
      </c>
      <c r="L402" s="47">
        <f>SUM(L396:L401)</f>
        <v>50829.03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829.03</v>
      </c>
      <c r="I409" s="47">
        <f>I394+I402+I408</f>
        <v>0</v>
      </c>
      <c r="J409" s="24" t="s">
        <v>288</v>
      </c>
      <c r="K409" s="24" t="s">
        <v>288</v>
      </c>
      <c r="L409" s="47">
        <f>L394+L402+L408</f>
        <v>50829.03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v>9587.2900000000009</v>
      </c>
      <c r="L419" s="56">
        <f t="shared" si="27"/>
        <v>9587.2900000000009</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9587.2900000000009</v>
      </c>
      <c r="L420" s="47">
        <f t="shared" si="28"/>
        <v>9587.2900000000009</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9587.2900000000009</v>
      </c>
      <c r="L435" s="47">
        <f t="shared" si="32"/>
        <v>9587.2900000000009</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549586.55000000005</v>
      </c>
      <c r="H443" s="18"/>
      <c r="I443" s="56">
        <f t="shared" si="33"/>
        <v>549586.55000000005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549586.55000000005</v>
      </c>
      <c r="H447" s="13">
        <f>SUM(H440:H446)</f>
        <v>0</v>
      </c>
      <c r="I447" s="13">
        <f>SUM(I440:I446)</f>
        <v>549586.55000000005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9587.2900000000009</v>
      </c>
      <c r="H449" s="18"/>
      <c r="I449" s="56">
        <f>SUM(F449:H449)</f>
        <v>9587.2900000000009</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9587.2900000000009</v>
      </c>
      <c r="H453" s="72">
        <f>SUM(H449:H452)</f>
        <v>0</v>
      </c>
      <c r="I453" s="72">
        <f>SUM(I449:I452)</f>
        <v>9587.2900000000009</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539999.26</v>
      </c>
      <c r="H460" s="18"/>
      <c r="I460" s="56">
        <f t="shared" si="34"/>
        <v>539999.26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539999.26</v>
      </c>
      <c r="H461" s="83">
        <f>SUM(H455:H460)</f>
        <v>0</v>
      </c>
      <c r="I461" s="83">
        <f>SUM(I455:I460)</f>
        <v>539999.26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549586.55000000005</v>
      </c>
      <c r="H462" s="42">
        <f>H453+H461</f>
        <v>0</v>
      </c>
      <c r="I462" s="42">
        <f>I453+I461</f>
        <v>549586.55000000005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808909.02</v>
      </c>
      <c r="G466" s="18">
        <v>443.09</v>
      </c>
      <c r="H466" s="18"/>
      <c r="I466" s="18"/>
      <c r="J466" s="18">
        <v>498835.33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14577852.060000001</v>
      </c>
      <c r="G469" s="18">
        <v>179659.56</v>
      </c>
      <c r="H469" s="18">
        <v>139190.57</v>
      </c>
      <c r="I469" s="18"/>
      <c r="J469" s="18">
        <v>50829.03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14577852.060000001</v>
      </c>
      <c r="G471" s="53">
        <f>SUM(G469:G470)</f>
        <v>179659.56</v>
      </c>
      <c r="H471" s="53">
        <f>SUM(H469:H470)</f>
        <v>139190.57</v>
      </c>
      <c r="I471" s="53">
        <f>SUM(I469:I470)</f>
        <v>0</v>
      </c>
      <c r="J471" s="53">
        <f>SUM(J469:J470)</f>
        <v>50829.03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14292896.609999999</v>
      </c>
      <c r="G473" s="18">
        <v>167408.57</v>
      </c>
      <c r="H473" s="18">
        <v>139190.57</v>
      </c>
      <c r="I473" s="18"/>
      <c r="J473" s="18">
        <v>9587.2900000000009</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77.81</v>
      </c>
      <c r="K474" s="24" t="s">
        <v>288</v>
      </c>
      <c r="L474" s="24" t="s">
        <v>288</v>
      </c>
      <c r="N474" s="264"/>
    </row>
    <row r="475" spans="1:14" s="52" customFormat="1" ht="12.2" customHeight="1" x14ac:dyDescent="0.2">
      <c r="A475" s="92" t="s">
        <v>426</v>
      </c>
      <c r="B475" s="75">
        <v>19</v>
      </c>
      <c r="C475" s="80">
        <v>7</v>
      </c>
      <c r="D475" s="2" t="s">
        <v>432</v>
      </c>
      <c r="E475" s="80"/>
      <c r="F475" s="53">
        <f>SUM(F473:F474)</f>
        <v>14292896.609999999</v>
      </c>
      <c r="G475" s="53">
        <f>SUM(G473:G474)</f>
        <v>167408.57</v>
      </c>
      <c r="H475" s="53">
        <f>SUM(H473:H474)</f>
        <v>139190.57</v>
      </c>
      <c r="I475" s="53">
        <f>SUM(I473:I474)</f>
        <v>0</v>
      </c>
      <c r="J475" s="53">
        <f>SUM(J473:J474)</f>
        <v>9665.1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1093864.4700000007</v>
      </c>
      <c r="G477" s="53">
        <f>(G466+G471)- G475</f>
        <v>12694.079999999987</v>
      </c>
      <c r="H477" s="53">
        <f>(H466+H471)- H475</f>
        <v>0</v>
      </c>
      <c r="I477" s="53">
        <f>(I466+I471)- I475</f>
        <v>0</v>
      </c>
      <c r="J477" s="53">
        <f>(J466+J471)- J475</f>
        <v>539999.26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719816.56</v>
      </c>
      <c r="G522" s="18">
        <v>379754.55</v>
      </c>
      <c r="H522" s="18">
        <f>263185.42+60941.26</f>
        <v>324126.68</v>
      </c>
      <c r="I522" s="18">
        <f>12213.52+2130.32</f>
        <v>14343.84</v>
      </c>
      <c r="J522" s="18">
        <f>3001.02+619.68</f>
        <v>3620.7</v>
      </c>
      <c r="K522" s="18"/>
      <c r="L522" s="88">
        <f>SUM(F522:K522)</f>
        <v>1441662.33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9240+52857</f>
        <v>62097</v>
      </c>
      <c r="I524" s="18"/>
      <c r="J524" s="18"/>
      <c r="K524" s="18"/>
      <c r="L524" s="88">
        <f>SUM(F524:K524)</f>
        <v>62097</v>
      </c>
      <c r="N524" s="264"/>
    </row>
    <row r="525" spans="1:14" s="52" customFormat="1" ht="12.2" customHeight="1" thickTop="1" x14ac:dyDescent="0.2">
      <c r="A525" s="139" t="s">
        <v>63</v>
      </c>
      <c r="B525" s="107">
        <v>21</v>
      </c>
      <c r="C525" s="194">
        <v>4</v>
      </c>
      <c r="D525" s="195" t="s">
        <v>432</v>
      </c>
      <c r="E525" s="194"/>
      <c r="F525" s="108">
        <f>SUM(F522:F524)</f>
        <v>719816.56</v>
      </c>
      <c r="G525" s="108">
        <f t="shared" ref="G525:L525" si="36">SUM(G522:G524)</f>
        <v>379754.55</v>
      </c>
      <c r="H525" s="108">
        <f t="shared" si="36"/>
        <v>386223.68</v>
      </c>
      <c r="I525" s="108">
        <f t="shared" si="36"/>
        <v>14343.84</v>
      </c>
      <c r="J525" s="108">
        <f t="shared" si="36"/>
        <v>3620.7</v>
      </c>
      <c r="K525" s="108">
        <f t="shared" si="36"/>
        <v>0</v>
      </c>
      <c r="L525" s="89">
        <f t="shared" si="36"/>
        <v>1503759.33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434407.58</v>
      </c>
      <c r="G527" s="18">
        <f>47306.46+214936.01</f>
        <v>262242.47000000003</v>
      </c>
      <c r="H527" s="18">
        <f>68978.42+7986.42</f>
        <v>76964.84</v>
      </c>
      <c r="I527" s="18">
        <f>10116.86+5382.84</f>
        <v>15499.7</v>
      </c>
      <c r="J527" s="18"/>
      <c r="K527" s="18"/>
      <c r="L527" s="88">
        <f>SUM(F527:K527)</f>
        <v>789114.59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434407.58</v>
      </c>
      <c r="G530" s="89">
        <f t="shared" ref="G530:L530" si="37">SUM(G527:G529)</f>
        <v>262242.47000000003</v>
      </c>
      <c r="H530" s="89">
        <f t="shared" si="37"/>
        <v>76964.84</v>
      </c>
      <c r="I530" s="89">
        <f t="shared" si="37"/>
        <v>15499.7</v>
      </c>
      <c r="J530" s="89">
        <f t="shared" si="37"/>
        <v>0</v>
      </c>
      <c r="K530" s="89">
        <f t="shared" si="37"/>
        <v>0</v>
      </c>
      <c r="L530" s="89">
        <f t="shared" si="37"/>
        <v>789114.59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102487</v>
      </c>
      <c r="G532" s="18">
        <v>52965.29</v>
      </c>
      <c r="H532" s="18"/>
      <c r="I532" s="18"/>
      <c r="J532" s="18"/>
      <c r="K532" s="18"/>
      <c r="L532" s="88">
        <f>SUM(F532:K532)</f>
        <v>155452.29</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102487</v>
      </c>
      <c r="G535" s="89">
        <f t="shared" ref="G535:L535" si="38">SUM(G532:G534)</f>
        <v>52965.29</v>
      </c>
      <c r="H535" s="89">
        <f t="shared" si="38"/>
        <v>0</v>
      </c>
      <c r="I535" s="89">
        <f t="shared" si="38"/>
        <v>0</v>
      </c>
      <c r="J535" s="89">
        <f t="shared" si="38"/>
        <v>0</v>
      </c>
      <c r="K535" s="89">
        <f t="shared" si="38"/>
        <v>0</v>
      </c>
      <c r="L535" s="89">
        <f t="shared" si="38"/>
        <v>155452.29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776.1</v>
      </c>
      <c r="I537" s="18"/>
      <c r="J537" s="18"/>
      <c r="K537" s="18"/>
      <c r="L537" s="88">
        <f>SUM(F537:K537)</f>
        <v>776.1</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100</v>
      </c>
      <c r="I539" s="18"/>
      <c r="J539" s="18"/>
      <c r="K539" s="18"/>
      <c r="L539" s="88">
        <f>SUM(F539:K539)</f>
        <v>100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876.1</v>
      </c>
      <c r="I540" s="89">
        <f t="shared" si="39"/>
        <v>0</v>
      </c>
      <c r="J540" s="89">
        <f t="shared" si="39"/>
        <v>0</v>
      </c>
      <c r="K540" s="89">
        <f t="shared" si="39"/>
        <v>0</v>
      </c>
      <c r="L540" s="89">
        <f t="shared" si="39"/>
        <v>876.1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10175</v>
      </c>
      <c r="I542" s="18"/>
      <c r="J542" s="18"/>
      <c r="K542" s="18"/>
      <c r="L542" s="88">
        <f>SUM(F542:K542)</f>
        <v>10175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10175</v>
      </c>
      <c r="I545" s="192">
        <f t="shared" si="40"/>
        <v>0</v>
      </c>
      <c r="J545" s="192">
        <f t="shared" si="40"/>
        <v>0</v>
      </c>
      <c r="K545" s="192">
        <f t="shared" si="40"/>
        <v>0</v>
      </c>
      <c r="L545" s="192">
        <f t="shared" si="40"/>
        <v>10175</v>
      </c>
      <c r="M545" s="8"/>
      <c r="N545" s="265"/>
    </row>
    <row r="546" spans="1:14" s="3" customFormat="1" ht="12.2" customHeight="1" thickTop="1" x14ac:dyDescent="0.15">
      <c r="A546" s="98" t="s">
        <v>72</v>
      </c>
      <c r="B546" s="107">
        <v>21</v>
      </c>
      <c r="C546" s="107">
        <v>21</v>
      </c>
      <c r="D546" s="158" t="s">
        <v>432</v>
      </c>
      <c r="E546" s="107"/>
      <c r="F546" s="89">
        <f>F525+F530+F535+F540+F545</f>
        <v>1256711.1400000001</v>
      </c>
      <c r="G546" s="89">
        <f t="shared" ref="G546:L546" si="41">G525+G530+G535+G540+G545</f>
        <v>694962.31</v>
      </c>
      <c r="H546" s="89">
        <f t="shared" si="41"/>
        <v>474239.62</v>
      </c>
      <c r="I546" s="89">
        <f t="shared" si="41"/>
        <v>29843.54</v>
      </c>
      <c r="J546" s="89">
        <f t="shared" si="41"/>
        <v>3620.7</v>
      </c>
      <c r="K546" s="89">
        <f t="shared" si="41"/>
        <v>0</v>
      </c>
      <c r="L546" s="89">
        <f t="shared" si="41"/>
        <v>2459377.31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1441662.33</v>
      </c>
      <c r="G550" s="87">
        <f>L527</f>
        <v>789114.59</v>
      </c>
      <c r="H550" s="87">
        <f>L532</f>
        <v>155452.29</v>
      </c>
      <c r="I550" s="87">
        <f>L537</f>
        <v>776.1</v>
      </c>
      <c r="J550" s="87">
        <f>L542</f>
        <v>10175</v>
      </c>
      <c r="K550" s="87">
        <f>SUM(F550:J550)</f>
        <v>2397180.31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62097</v>
      </c>
      <c r="G552" s="87">
        <f>L529</f>
        <v>0</v>
      </c>
      <c r="H552" s="87">
        <f>L534</f>
        <v>0</v>
      </c>
      <c r="I552" s="87">
        <f>L539</f>
        <v>100</v>
      </c>
      <c r="J552" s="87">
        <f>L544</f>
        <v>0</v>
      </c>
      <c r="K552" s="87">
        <f>SUM(F552:J552)</f>
        <v>62197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1503759.33</v>
      </c>
      <c r="G553" s="89">
        <f t="shared" si="42"/>
        <v>789114.59</v>
      </c>
      <c r="H553" s="89">
        <f t="shared" si="42"/>
        <v>155452.29</v>
      </c>
      <c r="I553" s="89">
        <f t="shared" si="42"/>
        <v>876.1</v>
      </c>
      <c r="J553" s="89">
        <f t="shared" si="42"/>
        <v>10175</v>
      </c>
      <c r="K553" s="89">
        <f t="shared" si="42"/>
        <v>2459377.31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3101841.31</v>
      </c>
      <c r="I576" s="87">
        <f>SUM(F576:H576)</f>
        <v>3101841.31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t="s">
        <v>286</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18628.39</v>
      </c>
      <c r="G583" s="18"/>
      <c r="H583" s="18">
        <v>52857</v>
      </c>
      <c r="I583" s="87">
        <f t="shared" si="47"/>
        <v>71485.39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171483.01+139099.66</f>
        <v>310582.67000000004</v>
      </c>
      <c r="I592" s="18"/>
      <c r="J592" s="18">
        <v>84554.14</v>
      </c>
      <c r="K592" s="104">
        <f t="shared" ref="K592:K598" si="48">SUM(H592:J592)</f>
        <v>395136.81000000006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10175</v>
      </c>
      <c r="I593" s="18"/>
      <c r="J593" s="18"/>
      <c r="K593" s="104">
        <f t="shared" si="48"/>
        <v>10175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6411.58</v>
      </c>
      <c r="I595" s="18"/>
      <c r="J595" s="18"/>
      <c r="K595" s="104">
        <f t="shared" si="48"/>
        <v>6411.58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3104.14+8214.55</f>
        <v>11318.689999999999</v>
      </c>
      <c r="I596" s="18"/>
      <c r="J596" s="18"/>
      <c r="K596" s="104">
        <f t="shared" si="48"/>
        <v>11318.689999999999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338487.94000000006</v>
      </c>
      <c r="I599" s="108">
        <f>SUM(I592:I598)</f>
        <v>0</v>
      </c>
      <c r="J599" s="108">
        <f>SUM(J592:J598)</f>
        <v>84554.14</v>
      </c>
      <c r="K599" s="108">
        <f>SUM(K592:K598)</f>
        <v>423042.08000000007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68362.22+180600.4+6475.75+3001.02+619.68+955.2</f>
        <v>260014.27</v>
      </c>
      <c r="I605" s="18"/>
      <c r="J605" s="18"/>
      <c r="K605" s="104">
        <f>SUM(H605:J605)</f>
        <v>260014.27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260014.27</v>
      </c>
      <c r="I606" s="108">
        <f>SUM(I603:I605)</f>
        <v>0</v>
      </c>
      <c r="J606" s="108">
        <f>SUM(J603:J605)</f>
        <v>0</v>
      </c>
      <c r="K606" s="108">
        <f>SUM(K603:K605)</f>
        <v>260014.27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1561426.29</v>
      </c>
      <c r="H618" s="109">
        <f>SUM(F52)</f>
        <v>1561426.29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23919.86</v>
      </c>
      <c r="H619" s="109">
        <f>SUM(G52)</f>
        <v>23919.86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16587.990000000002</v>
      </c>
      <c r="H620" s="109">
        <f>SUM(H52)</f>
        <v>16587.989999999998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549586.55000000005</v>
      </c>
      <c r="H622" s="109">
        <f>SUM(J52)</f>
        <v>549586.55000000005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1093864.47</v>
      </c>
      <c r="H623" s="109">
        <f>F477</f>
        <v>1093864.4700000007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12694.08</v>
      </c>
      <c r="H624" s="109">
        <f>G477</f>
        <v>12694.079999999987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539999.26</v>
      </c>
      <c r="H627" s="109">
        <f>J477</f>
        <v>539999.26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14577852.059999999</v>
      </c>
      <c r="H628" s="104">
        <f>SUM(F469)</f>
        <v>14577852.060000001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179659.56</v>
      </c>
      <c r="H629" s="104">
        <f>SUM(G469)</f>
        <v>179659.56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139190.57</v>
      </c>
      <c r="H630" s="104">
        <f>SUM(H469)</f>
        <v>139190.57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50829.03</v>
      </c>
      <c r="H632" s="104">
        <f>SUM(J469)</f>
        <v>50829.03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14292896.609999999</v>
      </c>
      <c r="H633" s="104">
        <f>SUM(F473)</f>
        <v>14292896.609999999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139190.56999999998</v>
      </c>
      <c r="H634" s="104">
        <f>SUM(H473)</f>
        <v>139190.57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67705.64</v>
      </c>
      <c r="H635" s="104">
        <f>I370</f>
        <v>67705.64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167408.56999999998</v>
      </c>
      <c r="H636" s="104">
        <f>SUM(G473)</f>
        <v>167408.57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50829.03</v>
      </c>
      <c r="H638" s="164">
        <f>SUM(J469)</f>
        <v>50829.03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9587.2900000000009</v>
      </c>
      <c r="H639" s="164">
        <f>SUM(J473)</f>
        <v>9587.2900000000009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549586.55000000005</v>
      </c>
      <c r="H641" s="104">
        <f>SUM(G462)</f>
        <v>549586.55000000005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549586.55000000005</v>
      </c>
      <c r="H643" s="104">
        <f>SUM(I462)</f>
        <v>549586.55000000005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829.03</v>
      </c>
      <c r="H645" s="104">
        <f>H409</f>
        <v>829.03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50829.03</v>
      </c>
      <c r="H647" s="104">
        <f>L409</f>
        <v>50829.03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423042.08000000007</v>
      </c>
      <c r="H648" s="104">
        <f>L209+L227+L245</f>
        <v>423042.08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260014.27</v>
      </c>
      <c r="H649" s="104">
        <f>(J258+J339)-(J256+J337)</f>
        <v>260014.27000000002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338487.94</v>
      </c>
      <c r="H650" s="104">
        <f>H599</f>
        <v>338487.94000000006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84554.14</v>
      </c>
      <c r="H652" s="104">
        <f>J599</f>
        <v>84554.14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11231687.439999999</v>
      </c>
      <c r="G661" s="19">
        <f>(L230+L310+L360)</f>
        <v>1880.8400000000001</v>
      </c>
      <c r="H661" s="19">
        <f>(L248+L329+L361)</f>
        <v>3254892.45</v>
      </c>
      <c r="I661" s="19">
        <f>SUM(F661:H661)</f>
        <v>14488460.73</v>
      </c>
      <c r="J661" s="13"/>
      <c r="K661" s="13"/>
      <c r="L661" s="13"/>
      <c r="M661" s="9"/>
    </row>
    <row r="662" spans="1:13" s="3" customFormat="1" ht="12.2" customHeight="1" x14ac:dyDescent="0.2">
      <c r="A662" s="1" t="s">
        <v>127</v>
      </c>
      <c r="F662" s="19">
        <f>(L359/IF(SUM(L359:L361)=0,1,SUM(L359:L361))*(SUM(G97:G110)))</f>
        <v>23732.297303243195</v>
      </c>
      <c r="G662" s="19">
        <f>(L360/IF(SUM(L359:L361)=0,1,SUM(L359:L361))*(SUM(G97:G110)))</f>
        <v>269.66269675680286</v>
      </c>
      <c r="H662" s="19">
        <f>(L361/IF(SUM(L359:L361)=0,1,SUM(L359:L361))*(SUM(G97:G110)))</f>
        <v>0</v>
      </c>
      <c r="I662" s="19">
        <f>SUM(F662:H662)</f>
        <v>24001.96</v>
      </c>
      <c r="J662"/>
      <c r="K662" s="13"/>
      <c r="L662" s="13"/>
      <c r="M662" s="8"/>
    </row>
    <row r="663" spans="1:13" s="3" customFormat="1" ht="12.2" customHeight="1" x14ac:dyDescent="0.2">
      <c r="A663" s="1" t="s">
        <v>128</v>
      </c>
      <c r="F663" s="19">
        <f>(L209+L288)-(J209+J288)</f>
        <v>338487.94</v>
      </c>
      <c r="G663" s="19">
        <f>(L227+L307)-(J227+J307)</f>
        <v>0</v>
      </c>
      <c r="H663" s="19">
        <f>(L245+L326)-(J245+J326)</f>
        <v>84554.14</v>
      </c>
      <c r="I663" s="19">
        <f>SUM(F663:H663)</f>
        <v>423042.08</v>
      </c>
      <c r="J663"/>
      <c r="K663" s="13"/>
      <c r="L663" s="13"/>
      <c r="M663" s="9"/>
    </row>
    <row r="664" spans="1:13" s="3" customFormat="1" ht="12.2" customHeight="1" x14ac:dyDescent="0.15">
      <c r="A664" s="197" t="s">
        <v>129</v>
      </c>
      <c r="B664" s="169"/>
      <c r="C664" s="169"/>
      <c r="D664" s="169"/>
      <c r="E664" s="169"/>
      <c r="F664" s="198">
        <f>SUM(F576:F588)+SUM(H603:H605)+SUM(L612)</f>
        <v>278642.65999999997</v>
      </c>
      <c r="G664" s="198">
        <f>SUM(G576:G588)+SUM(I603:I605)+L613</f>
        <v>0</v>
      </c>
      <c r="H664" s="198">
        <f>SUM(H576:H588)+SUM(J603:J605)+L614</f>
        <v>3154698.31</v>
      </c>
      <c r="I664" s="19">
        <f>SUM(F664:H664)</f>
        <v>3433340.97</v>
      </c>
      <c r="J664" s="13"/>
      <c r="K664" s="13"/>
      <c r="L664" s="13"/>
      <c r="M664" s="9"/>
    </row>
    <row r="665" spans="1:13" s="3" customFormat="1" ht="12.2" customHeight="1" x14ac:dyDescent="0.15">
      <c r="A665" s="1" t="s">
        <v>130</v>
      </c>
      <c r="F665" s="19">
        <f>F661-SUM(F662:F664)</f>
        <v>10590824.542696755</v>
      </c>
      <c r="G665" s="19">
        <f>G661-SUM(G662:G664)</f>
        <v>1611.1773032431972</v>
      </c>
      <c r="H665" s="19">
        <f>H661-SUM(H662:H664)</f>
        <v>15640</v>
      </c>
      <c r="I665" s="19">
        <f>I661-SUM(I662:I664)</f>
        <v>10608075.720000001</v>
      </c>
      <c r="J665" s="13"/>
      <c r="K665" s="13"/>
      <c r="L665" s="13"/>
      <c r="M665" s="8"/>
    </row>
    <row r="666" spans="1:13" s="3" customFormat="1" ht="12.2" customHeight="1" x14ac:dyDescent="0.2">
      <c r="A666" s="1" t="s">
        <v>131</v>
      </c>
      <c r="F666" s="245">
        <v>384.11</v>
      </c>
      <c r="G666" s="246"/>
      <c r="H666" s="246"/>
      <c r="I666" s="19">
        <f>SUM(F666:H666)</f>
        <v>384.11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27572.37</v>
      </c>
      <c r="G668" s="19" t="e">
        <f>ROUND(G665/G666,2)</f>
        <v>#DIV/0!</v>
      </c>
      <c r="H668" s="19" t="e">
        <f>ROUND(H665/H666,2)</f>
        <v>#DIV/0!</v>
      </c>
      <c r="I668" s="19">
        <f>ROUND(I665/I666,2)</f>
        <v>27617.29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-1611.18</v>
      </c>
      <c r="H670" s="18">
        <v>-15640</v>
      </c>
      <c r="I670" s="19">
        <f>SUM(F670:H670)</f>
        <v>-17251.18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27572.37</v>
      </c>
      <c r="G673" s="19" t="e">
        <f>ROUND((G665+G670)/(G666+G671),2)</f>
        <v>#DIV/0!</v>
      </c>
      <c r="H673" s="19" t="e">
        <f>ROUND((H665+H670)/(H666+H671),2)</f>
        <v>#DIV/0!</v>
      </c>
      <c r="I673" s="19">
        <f>ROUND((I665+I670)/(I666+I671),2)</f>
        <v>27572.37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15165.27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5250</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9915.27</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Rye</v>
      </c>
      <c r="C5" s="375"/>
      <c r="D5" s="375"/>
      <c r="E5" s="375"/>
      <c r="F5" s="375"/>
    </row>
    <row r="8" spans="1:9" ht="18" x14ac:dyDescent="0.25">
      <c r="A8" s="312" t="s">
        <v>1568</v>
      </c>
      <c r="F8" s="319" t="s">
        <v>1586</v>
      </c>
    </row>
    <row r="9" spans="1:9" ht="15" x14ac:dyDescent="0.2">
      <c r="A9" s="310" t="s">
        <v>1569</v>
      </c>
      <c r="B9" s="313">
        <f>'DOE25'!G97</f>
        <v>24001.96</v>
      </c>
      <c r="F9" s="310" t="s">
        <v>1582</v>
      </c>
    </row>
    <row r="10" spans="1:9" ht="15" x14ac:dyDescent="0.2">
      <c r="A10" s="310" t="s">
        <v>1570</v>
      </c>
      <c r="B10" s="313">
        <f>'DOE25'!G112-'DOE25'!G97</f>
        <v>0</v>
      </c>
      <c r="F10" s="310" t="s">
        <v>1583</v>
      </c>
    </row>
    <row r="11" spans="1:9" ht="15" x14ac:dyDescent="0.2">
      <c r="A11" s="310" t="s">
        <v>1571</v>
      </c>
      <c r="B11" s="313">
        <f>'DOE25'!G140</f>
        <v>3578.71</v>
      </c>
      <c r="F11" s="310" t="s">
        <v>1584</v>
      </c>
    </row>
    <row r="12" spans="1:9" ht="15" x14ac:dyDescent="0.2">
      <c r="A12" s="310" t="s">
        <v>1572</v>
      </c>
      <c r="B12" s="313">
        <f>'DOE25'!G170</f>
        <v>152078.89000000001</v>
      </c>
      <c r="F12" s="310" t="s">
        <v>1585</v>
      </c>
    </row>
    <row r="13" spans="1:9" ht="15" x14ac:dyDescent="0.2">
      <c r="A13" s="310" t="s">
        <v>1573</v>
      </c>
      <c r="B13" s="313">
        <f>'DOE25'!G193-'DOE25'!G180</f>
        <v>0</v>
      </c>
      <c r="F13" s="310" t="s">
        <v>1595</v>
      </c>
    </row>
    <row r="14" spans="1:9" ht="18" x14ac:dyDescent="0.25">
      <c r="A14" s="312" t="s">
        <v>732</v>
      </c>
      <c r="B14" s="314">
        <f>SUM(B9:B13)</f>
        <v>179659.56</v>
      </c>
    </row>
    <row r="16" spans="1:9" ht="18" x14ac:dyDescent="0.25">
      <c r="A16" s="312" t="s">
        <v>786</v>
      </c>
      <c r="F16" s="319" t="s">
        <v>1587</v>
      </c>
    </row>
    <row r="17" spans="1:6" ht="15" x14ac:dyDescent="0.2">
      <c r="A17" s="310" t="s">
        <v>1574</v>
      </c>
      <c r="B17" s="313">
        <f>'DOE25'!L363-'DOE25'!L362</f>
        <v>167408.56999999998</v>
      </c>
      <c r="F17" s="310" t="s">
        <v>1588</v>
      </c>
    </row>
    <row r="18" spans="1:6" ht="15" x14ac:dyDescent="0.2">
      <c r="A18" s="310" t="s">
        <v>1575</v>
      </c>
      <c r="B18" s="323"/>
      <c r="F18" s="319" t="s">
        <v>1612</v>
      </c>
    </row>
    <row r="19" spans="1:6" ht="18" x14ac:dyDescent="0.25">
      <c r="A19" s="312" t="s">
        <v>725</v>
      </c>
      <c r="B19" s="314">
        <f>SUM(B17:B18)</f>
        <v>167408.56999999998</v>
      </c>
    </row>
    <row r="21" spans="1:6" ht="18.75" thickBot="1" x14ac:dyDescent="0.3">
      <c r="A21" s="312" t="s">
        <v>1576</v>
      </c>
    </row>
    <row r="22" spans="1:6" ht="18.75" thickTop="1" x14ac:dyDescent="0.25">
      <c r="A22" s="312" t="s">
        <v>1577</v>
      </c>
      <c r="B22" s="318">
        <f>B14-B19</f>
        <v>12250.99000000002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443.09</v>
      </c>
      <c r="F31" s="310" t="s">
        <v>1592</v>
      </c>
    </row>
    <row r="33" spans="1:6" ht="15" x14ac:dyDescent="0.2">
      <c r="A33" s="310" t="s">
        <v>1635</v>
      </c>
      <c r="B33" s="313">
        <f>'DOE25'!G477</f>
        <v>12694.079999999987</v>
      </c>
      <c r="F33" s="310" t="s">
        <v>1593</v>
      </c>
    </row>
    <row r="36" spans="1:6" ht="15" x14ac:dyDescent="0.2">
      <c r="A36" s="310" t="s">
        <v>1579</v>
      </c>
      <c r="B36" s="324">
        <v>21094.36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Rye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3170096.79</v>
      </c>
      <c r="C9" s="228">
        <f>'DOE25'!G198+'DOE25'!G216+'DOE25'!G234+'DOE25'!G277+'DOE25'!G296+'DOE25'!G315</f>
        <v>1523307.28</v>
      </c>
    </row>
    <row r="10" spans="1:3" x14ac:dyDescent="0.2">
      <c r="A10" t="s">
        <v>775</v>
      </c>
      <c r="B10" s="239">
        <f>1745873.61+1283986.34</f>
        <v>3029859.95</v>
      </c>
      <c r="C10" s="239">
        <v>1470445.04</v>
      </c>
    </row>
    <row r="11" spans="1:3" x14ac:dyDescent="0.2">
      <c r="A11" t="s">
        <v>776</v>
      </c>
      <c r="B11" s="239">
        <f>52827.19+23027.09</f>
        <v>75854.28</v>
      </c>
      <c r="C11" s="239">
        <f>8443.98+20244.05+10693.09</f>
        <v>39381.119999999995</v>
      </c>
    </row>
    <row r="12" spans="1:3" x14ac:dyDescent="0.2">
      <c r="A12" t="s">
        <v>777</v>
      </c>
      <c r="B12" s="239">
        <f>7439.53+24522.5+5351.6+9069.03+16700+1299.9</f>
        <v>64382.559999999998</v>
      </c>
      <c r="C12" s="239">
        <f>2925.26+10122.02+388.6+45.24</f>
        <v>13481.12</v>
      </c>
    </row>
    <row r="13" spans="1:3" x14ac:dyDescent="0.2">
      <c r="A13" t="str">
        <f>IF(B9=B13,IF(C9=C13,"Check Total OK","Check Total Error"),"Check Total Error")</f>
        <v>Check Total OK</v>
      </c>
      <c r="B13" s="230">
        <f>SUM(B10:B12)</f>
        <v>3170096.79</v>
      </c>
      <c r="C13" s="230">
        <f>SUM(C10:C12)</f>
        <v>1523307.2800000003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822303.55999999994</v>
      </c>
      <c r="C18" s="228">
        <f>'DOE25'!G199+'DOE25'!G217+'DOE25'!G235+'DOE25'!G278+'DOE25'!G297+'DOE25'!G316</f>
        <v>432719.83999999997</v>
      </c>
    </row>
    <row r="19" spans="1:3" x14ac:dyDescent="0.2">
      <c r="A19" t="s">
        <v>775</v>
      </c>
      <c r="B19" s="239">
        <f>211313+227019</f>
        <v>438332</v>
      </c>
      <c r="C19" s="239">
        <v>251746.89</v>
      </c>
    </row>
    <row r="20" spans="1:3" x14ac:dyDescent="0.2">
      <c r="A20" t="s">
        <v>776</v>
      </c>
      <c r="B20" s="239">
        <f>140071.07+81924.2</f>
        <v>221995.27000000002</v>
      </c>
      <c r="C20" s="239">
        <f>16982+39830.86+22279.59+3750</f>
        <v>82842.45</v>
      </c>
    </row>
    <row r="21" spans="1:3" x14ac:dyDescent="0.2">
      <c r="A21" t="s">
        <v>777</v>
      </c>
      <c r="B21" s="239">
        <v>161976.29</v>
      </c>
      <c r="C21" s="239">
        <f>22189.05+180+22793.22+368.6+253.35+17318.45+180+20579.83+1875+12393</f>
        <v>98130.5</v>
      </c>
    </row>
    <row r="22" spans="1:3" x14ac:dyDescent="0.2">
      <c r="A22" t="str">
        <f>IF(B18=B22,IF(C18=C22,"Check Total OK","Check Total Error"),"Check Total Error")</f>
        <v>Check Total OK</v>
      </c>
      <c r="B22" s="230">
        <f>SUM(B19:B21)</f>
        <v>822303.56</v>
      </c>
      <c r="C22" s="230">
        <f>SUM(C19:C21)</f>
        <v>432719.84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95006.99</v>
      </c>
      <c r="C36" s="234">
        <f>'DOE25'!G201+'DOE25'!G219+'DOE25'!G237+'DOE25'!G280+'DOE25'!G299+'DOE25'!G318</f>
        <v>21536.1</v>
      </c>
    </row>
    <row r="37" spans="1:3" x14ac:dyDescent="0.2">
      <c r="A37" t="s">
        <v>775</v>
      </c>
      <c r="B37" s="239">
        <v>10325</v>
      </c>
      <c r="C37" s="239">
        <v>2964.3</v>
      </c>
    </row>
    <row r="38" spans="1:3" x14ac:dyDescent="0.2">
      <c r="A38" t="s">
        <v>776</v>
      </c>
      <c r="B38" s="239">
        <v>918.99</v>
      </c>
      <c r="C38" s="239">
        <v>70.31</v>
      </c>
    </row>
    <row r="39" spans="1:3" x14ac:dyDescent="0.2">
      <c r="A39" t="s">
        <v>777</v>
      </c>
      <c r="B39" s="239">
        <v>83763</v>
      </c>
      <c r="C39" s="239">
        <v>18501.490000000002</v>
      </c>
    </row>
    <row r="40" spans="1:3" x14ac:dyDescent="0.2">
      <c r="A40" t="str">
        <f>IF(B36=B40,IF(C36=C40,"Check Total OK","Check Total Error"),"Check Total Error")</f>
        <v>Check Total OK</v>
      </c>
      <c r="B40" s="230">
        <f>SUM(B37:B39)</f>
        <v>95006.99</v>
      </c>
      <c r="C40" s="230">
        <f>SUM(C37:C39)</f>
        <v>21536.100000000002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Rye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9776410.5699999984</v>
      </c>
      <c r="D5" s="20">
        <f>SUM('DOE25'!L198:L201)+SUM('DOE25'!L216:L219)+SUM('DOE25'!L234:L237)-F5-G5-H5</f>
        <v>9672242.0499999989</v>
      </c>
      <c r="E5" s="242"/>
      <c r="F5" s="243"/>
      <c r="G5" s="53">
        <f>SUM('DOE25'!J198:J201)+SUM('DOE25'!J216:J219)+SUM('DOE25'!J234:J237)</f>
        <v>71363.240000000005</v>
      </c>
      <c r="H5" s="53">
        <f>SUM('DOE25'!K198:K201)+SUM('DOE25'!K216:K219)+SUM('DOE25'!K234:K237)</f>
        <v>32805.279999999999</v>
      </c>
      <c r="I5" s="255"/>
    </row>
    <row r="6" spans="1:9" x14ac:dyDescent="0.2">
      <c r="A6" s="32">
        <v>2100</v>
      </c>
      <c r="B6" t="s">
        <v>796</v>
      </c>
      <c r="C6" s="274">
        <f t="shared" si="0"/>
        <v>775745.33000000007</v>
      </c>
      <c r="D6" s="20">
        <f>'DOE25'!L203+'DOE25'!L221+'DOE25'!L239-F6-G6-H6</f>
        <v>775745.33000000007</v>
      </c>
      <c r="E6" s="242"/>
      <c r="F6" s="243"/>
      <c r="G6" s="53">
        <f>'DOE25'!J203+'DOE25'!J221+'DOE25'!J239</f>
        <v>0</v>
      </c>
      <c r="H6" s="53">
        <f>'DOE25'!K203+'DOE25'!K221+'DOE25'!K239</f>
        <v>0</v>
      </c>
      <c r="I6" s="255"/>
    </row>
    <row r="7" spans="1:9" x14ac:dyDescent="0.2">
      <c r="A7" s="32">
        <v>2200</v>
      </c>
      <c r="B7" t="s">
        <v>821</v>
      </c>
      <c r="C7" s="274">
        <f t="shared" si="0"/>
        <v>798317.12</v>
      </c>
      <c r="D7" s="20">
        <f>'DOE25'!L204+'DOE25'!L222+'DOE25'!L240-F7-G7-H7</f>
        <v>617152.72</v>
      </c>
      <c r="E7" s="242"/>
      <c r="F7" s="243"/>
      <c r="G7" s="53">
        <f>'DOE25'!J204+'DOE25'!J222+'DOE25'!J240</f>
        <v>180600.4</v>
      </c>
      <c r="H7" s="53">
        <f>'DOE25'!K204+'DOE25'!K222+'DOE25'!K240</f>
        <v>564</v>
      </c>
      <c r="I7" s="255"/>
    </row>
    <row r="8" spans="1:9" x14ac:dyDescent="0.2">
      <c r="A8" s="32">
        <v>2300</v>
      </c>
      <c r="B8" t="s">
        <v>797</v>
      </c>
      <c r="C8" s="274">
        <f t="shared" si="0"/>
        <v>889823.73</v>
      </c>
      <c r="D8" s="242"/>
      <c r="E8" s="20">
        <f>'DOE25'!L205+'DOE25'!L223+'DOE25'!L241-F8-G8-H8-D9-D11</f>
        <v>882088.53</v>
      </c>
      <c r="F8" s="243"/>
      <c r="G8" s="53">
        <f>'DOE25'!J205+'DOE25'!J223+'DOE25'!J241</f>
        <v>0</v>
      </c>
      <c r="H8" s="53">
        <f>'DOE25'!K205+'DOE25'!K223+'DOE25'!K241</f>
        <v>7735.2</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622093.82000000007</v>
      </c>
      <c r="D12" s="20">
        <f>'DOE25'!L206+'DOE25'!L224+'DOE25'!L242-F12-G12-H12</f>
        <v>621223.84000000008</v>
      </c>
      <c r="E12" s="242"/>
      <c r="F12" s="243"/>
      <c r="G12" s="53">
        <f>'DOE25'!J206+'DOE25'!J224+'DOE25'!J242</f>
        <v>0</v>
      </c>
      <c r="H12" s="53">
        <f>'DOE25'!K206+'DOE25'!K224+'DOE25'!K242</f>
        <v>869.98</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878746.52</v>
      </c>
      <c r="D14" s="20">
        <f>'DOE25'!L208+'DOE25'!L226+'DOE25'!L244-F14-G14-H14</f>
        <v>872270.77</v>
      </c>
      <c r="E14" s="242"/>
      <c r="F14" s="243"/>
      <c r="G14" s="53">
        <f>'DOE25'!J208+'DOE25'!J226+'DOE25'!J244</f>
        <v>6475.75</v>
      </c>
      <c r="H14" s="53">
        <f>'DOE25'!K208+'DOE25'!K226+'DOE25'!K244</f>
        <v>0</v>
      </c>
      <c r="I14" s="255"/>
    </row>
    <row r="15" spans="1:9" x14ac:dyDescent="0.2">
      <c r="A15" s="32">
        <v>2700</v>
      </c>
      <c r="B15" t="s">
        <v>799</v>
      </c>
      <c r="C15" s="274">
        <f t="shared" si="0"/>
        <v>423042.08</v>
      </c>
      <c r="D15" s="20">
        <f>'DOE25'!L209+'DOE25'!L227+'DOE25'!L245-F15-G15-H15</f>
        <v>423042.08</v>
      </c>
      <c r="E15" s="242"/>
      <c r="F15" s="243"/>
      <c r="G15" s="53">
        <f>'DOE25'!J209+'DOE25'!J227+'DOE25'!J245</f>
        <v>0</v>
      </c>
      <c r="H15" s="53">
        <f>'DOE25'!K209+'DOE25'!K227+'DOE25'!K245</f>
        <v>0</v>
      </c>
      <c r="I15" s="255"/>
    </row>
    <row r="16" spans="1:9" x14ac:dyDescent="0.2">
      <c r="A16" s="32">
        <v>2800</v>
      </c>
      <c r="B16" t="s">
        <v>800</v>
      </c>
      <c r="C16" s="274">
        <f t="shared" si="0"/>
        <v>17682.419999999998</v>
      </c>
      <c r="D16" s="242"/>
      <c r="E16" s="20">
        <f>'DOE25'!L210+'DOE25'!L228+'DOE25'!L246-F16-G16-H16</f>
        <v>17682.419999999998</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61035.02</v>
      </c>
      <c r="D22" s="242"/>
      <c r="E22" s="242"/>
      <c r="F22" s="242"/>
      <c r="G22" s="53">
        <f>'DOE25'!L256+'DOE25'!L337</f>
        <v>61035.02</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109481.14999999998</v>
      </c>
      <c r="D29" s="282">
        <f>'DOE25'!L359+'DOE25'!L360+'DOE25'!L361-'DOE25'!I368-F29-G29-H29</f>
        <v>107600.30999999998</v>
      </c>
      <c r="E29" s="242"/>
      <c r="F29" s="243"/>
      <c r="G29" s="53">
        <f>'DOE25'!J359+'DOE25'!J360+'DOE25'!J361</f>
        <v>1880.8400000000001</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139190.56999999998</v>
      </c>
      <c r="D31" s="20">
        <f>'DOE25'!L291+'DOE25'!L310+'DOE25'!L329+'DOE25'!L334+'DOE25'!L335+'DOE25'!L336-F31-G31-H31</f>
        <v>137615.68999999997</v>
      </c>
      <c r="E31" s="242"/>
      <c r="F31" s="243"/>
      <c r="G31" s="53">
        <f>'DOE25'!J291+'DOE25'!J310+'DOE25'!J329+'DOE25'!J334+'DOE25'!J335+'DOE25'!J336</f>
        <v>1574.88</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13226892.789999999</v>
      </c>
      <c r="E33" s="244">
        <f t="shared" si="1"/>
        <v>899770.95000000007</v>
      </c>
      <c r="F33" s="244">
        <f t="shared" si="1"/>
        <v>0</v>
      </c>
      <c r="G33" s="244">
        <f t="shared" si="1"/>
        <v>322930.13000000006</v>
      </c>
      <c r="H33" s="244">
        <f t="shared" si="1"/>
        <v>41974.46</v>
      </c>
      <c r="I33" s="244">
        <f t="shared" si="1"/>
        <v>0</v>
      </c>
    </row>
    <row r="35" spans="1:9" ht="12" thickBot="1" x14ac:dyDescent="0.25">
      <c r="B35" s="250" t="s">
        <v>831</v>
      </c>
      <c r="D35" s="251">
        <f>E33</f>
        <v>899770.95000000007</v>
      </c>
      <c r="E35" s="247"/>
      <c r="F35" s="328" t="s">
        <v>1617</v>
      </c>
      <c r="G35" s="329"/>
      <c r="H35" s="329"/>
      <c r="I35" s="329"/>
    </row>
    <row r="36" spans="1:9" ht="12" thickTop="1" x14ac:dyDescent="0.2">
      <c r="B36" t="s">
        <v>810</v>
      </c>
      <c r="D36" s="20">
        <f>D33</f>
        <v>13226892.789999999</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13" sqref="E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Rye</v>
      </c>
      <c r="B2" s="126">
        <f>'DOE25'!B2</f>
        <v>471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11066159.710000001</v>
      </c>
      <c r="G4" s="299">
        <f>'DOE25'!L212+'DOE25'!L291</f>
        <v>11066159.709999999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v>0</v>
      </c>
      <c r="F5" s="303">
        <f>D5+E5</f>
        <v>0</v>
      </c>
      <c r="G5" s="293"/>
      <c r="H5" s="293"/>
      <c r="I5" s="384"/>
      <c r="N5"/>
    </row>
    <row r="6" spans="1:18" x14ac:dyDescent="0.2">
      <c r="A6" s="126" t="str" cm="1">
        <f t="array" ref="A6">IFERROR(INDEX('School Tables'!$A$4:$G$325,'School Tables'!$J4,3),"")</f>
        <v>Rye Elementary School</v>
      </c>
      <c r="B6" s="300">
        <f>IFERROR(VLOOKUP(A6,'School Tables'!$C$3:$D$365,2,FALSE),"")</f>
        <v>22475</v>
      </c>
      <c r="C6" s="293" t="str">
        <f>IFERROR(INDEX('School Tables'!$B$3:$B$365,MATCH('School Level Expenditures'!B6,'School Tables'!$D$3:$D$365,0)),"")</f>
        <v>Rye</v>
      </c>
      <c r="D6" s="290">
        <v>5874624.2199999997</v>
      </c>
      <c r="E6" s="290">
        <v>118830.42</v>
      </c>
      <c r="F6" s="303">
        <f t="shared" ref="F6:F20" si="0">D6+E6</f>
        <v>5993454.6399999997</v>
      </c>
      <c r="G6" s="293"/>
      <c r="H6" s="293"/>
      <c r="I6" s="384"/>
      <c r="N6"/>
    </row>
    <row r="7" spans="1:18" x14ac:dyDescent="0.2">
      <c r="A7" s="126" t="str" cm="1">
        <f t="array" ref="A7">IFERROR(INDEX('School Tables'!$A$4:$G$325,'School Tables'!$J5,3),"")</f>
        <v>Rye Junior High School</v>
      </c>
      <c r="B7" s="300">
        <f>IFERROR(VLOOKUP(A7,'School Tables'!$C$3:$D$365,2,FALSE),"")</f>
        <v>22470</v>
      </c>
      <c r="C7" s="293" t="str">
        <f>IFERROR(INDEX('School Tables'!$B$3:$B$365,MATCH('School Level Expenditures'!B7,'School Tables'!$D$3:$D$365,0)),"")</f>
        <v>Rye</v>
      </c>
      <c r="D7" s="290">
        <v>5052344.92</v>
      </c>
      <c r="E7" s="290">
        <v>20360.150000000001</v>
      </c>
      <c r="F7" s="303">
        <f t="shared" si="0"/>
        <v>5072705.07</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10926969.140000001</v>
      </c>
      <c r="E21" s="338">
        <f>SUM(E5:E20)</f>
        <v>139190.57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3254892.45</v>
      </c>
      <c r="G36" s="299">
        <f>'DOE25'!L248+'DOE25'!L329</f>
        <v>3254892.45</v>
      </c>
      <c r="H36" s="340">
        <f>F36-G36</f>
        <v>0</v>
      </c>
      <c r="I36" s="383" t="str">
        <f>IF(H36=0,"","ISSUES!! Please review page 9 and 13 totals in comparison with total on this page")</f>
        <v/>
      </c>
      <c r="N36"/>
    </row>
    <row r="37" spans="1:14" x14ac:dyDescent="0.2">
      <c r="A37" s="126" t="s">
        <v>1548</v>
      </c>
      <c r="B37" s="300">
        <v>99999</v>
      </c>
      <c r="C37" s="293" t="s">
        <v>1548</v>
      </c>
      <c r="D37" s="290">
        <v>3254892.45</v>
      </c>
      <c r="E37" s="290"/>
      <c r="F37" s="303">
        <f t="shared" ref="F37:F42" si="2">D37+E37</f>
        <v>3254892.45</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3254892.45</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Rye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1476386.05</v>
      </c>
      <c r="D8" s="95">
        <f>'DOE25'!G9</f>
        <v>0</v>
      </c>
      <c r="E8" s="95">
        <f>'DOE25'!H9</f>
        <v>0</v>
      </c>
      <c r="F8" s="95">
        <f>'DOE25'!I9</f>
        <v>0</v>
      </c>
      <c r="G8" s="95">
        <f>'DOE25'!J9</f>
        <v>0</v>
      </c>
      <c r="H8" s="124">
        <f>SUM(C8:G8)</f>
        <v>1476386.05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83446.100000000006</v>
      </c>
      <c r="D12" s="95">
        <f>'DOE25'!G13</f>
        <v>22730.38</v>
      </c>
      <c r="E12" s="95">
        <f>'DOE25'!H13</f>
        <v>16587.990000000002</v>
      </c>
      <c r="F12" s="95">
        <f>'DOE25'!I13</f>
        <v>0</v>
      </c>
      <c r="G12" s="95">
        <f>'DOE25'!J13</f>
        <v>549586.55000000005</v>
      </c>
      <c r="H12" s="124">
        <f t="shared" si="0"/>
        <v>672351.02</v>
      </c>
      <c r="I12" s="124"/>
    </row>
    <row r="13" spans="1:9" x14ac:dyDescent="0.2">
      <c r="A13" s="1" t="s">
        <v>144</v>
      </c>
      <c r="B13" s="6">
        <v>150</v>
      </c>
      <c r="C13" s="95">
        <f>'DOE25'!F14</f>
        <v>1594.14</v>
      </c>
      <c r="D13" s="95">
        <f>'DOE25'!G14</f>
        <v>158</v>
      </c>
      <c r="E13" s="95">
        <f>'DOE25'!H14</f>
        <v>0</v>
      </c>
      <c r="F13" s="95">
        <f>'DOE25'!I14</f>
        <v>0</v>
      </c>
      <c r="G13" s="95">
        <f>'DOE25'!J14</f>
        <v>0</v>
      </c>
      <c r="H13" s="124">
        <f t="shared" si="0"/>
        <v>1752.14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1031.48</v>
      </c>
      <c r="E15" s="95">
        <f>'DOE25'!H16</f>
        <v>0</v>
      </c>
      <c r="F15" s="95">
        <f>'DOE25'!I16</f>
        <v>0</v>
      </c>
      <c r="G15" s="24" t="s">
        <v>288</v>
      </c>
      <c r="H15" s="124">
        <f t="shared" si="0"/>
        <v>1031.48</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1561426.29</v>
      </c>
      <c r="D18" s="41">
        <f>SUM(D8:D17)</f>
        <v>23919.86</v>
      </c>
      <c r="E18" s="41">
        <f>SUM(E8:E17)</f>
        <v>16587.990000000002</v>
      </c>
      <c r="F18" s="41">
        <f>SUM(F8:F17)</f>
        <v>0</v>
      </c>
      <c r="G18" s="41">
        <f>SUM(G8:G17)</f>
        <v>549586.55000000005</v>
      </c>
      <c r="H18" s="41">
        <f t="shared" si="0"/>
        <v>2151520.6900000004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-20118.73</v>
      </c>
      <c r="D21" s="95">
        <f>'DOE25'!G22</f>
        <v>257.89999999999998</v>
      </c>
      <c r="E21" s="95">
        <f>'DOE25'!H22</f>
        <v>10273.540000000001</v>
      </c>
      <c r="F21" s="95">
        <f>'DOE25'!I22</f>
        <v>0</v>
      </c>
      <c r="G21" s="95">
        <f>'DOE25'!J22</f>
        <v>9587.2900000000009</v>
      </c>
      <c r="H21" s="124">
        <f t="shared" ref="H21:H31" si="1">SUM(C21:G21)</f>
        <v>0</v>
      </c>
      <c r="I21" s="124"/>
    </row>
    <row r="22" spans="1:9" x14ac:dyDescent="0.2">
      <c r="A22" s="1" t="s">
        <v>151</v>
      </c>
      <c r="B22" s="6">
        <v>410</v>
      </c>
      <c r="C22" s="95">
        <f>'DOE25'!F23</f>
        <v>2788.27</v>
      </c>
      <c r="D22" s="95">
        <f>'DOE25'!G23</f>
        <v>0</v>
      </c>
      <c r="E22" s="95">
        <f>'DOE25'!H23</f>
        <v>887.38</v>
      </c>
      <c r="F22" s="95">
        <f>'DOE25'!I23</f>
        <v>0</v>
      </c>
      <c r="G22" s="95">
        <f>'DOE25'!J23</f>
        <v>0</v>
      </c>
      <c r="H22" s="124">
        <f t="shared" si="1"/>
        <v>3675.65</v>
      </c>
      <c r="I22" s="124"/>
    </row>
    <row r="23" spans="1:9" x14ac:dyDescent="0.2">
      <c r="A23" s="1" t="s">
        <v>152</v>
      </c>
      <c r="B23" s="6">
        <v>420</v>
      </c>
      <c r="C23" s="95">
        <f>'DOE25'!F24</f>
        <v>15857.24</v>
      </c>
      <c r="D23" s="95">
        <f>'DOE25'!G24</f>
        <v>799.25</v>
      </c>
      <c r="E23" s="95">
        <f>'DOE25'!H24</f>
        <v>5427.07</v>
      </c>
      <c r="F23" s="95">
        <f>'DOE25'!I24</f>
        <v>0</v>
      </c>
      <c r="G23" s="95">
        <f>'DOE25'!J24</f>
        <v>0</v>
      </c>
      <c r="H23" s="124">
        <f t="shared" si="1"/>
        <v>22083.559999999998</v>
      </c>
      <c r="I23" s="124"/>
    </row>
    <row r="24" spans="1:9" x14ac:dyDescent="0.2">
      <c r="A24" s="1" t="s">
        <v>153</v>
      </c>
      <c r="B24" s="6">
        <v>430</v>
      </c>
      <c r="C24" s="95">
        <f>'DOE25'!F25</f>
        <v>0</v>
      </c>
      <c r="D24" s="95">
        <f>'DOE25'!G25</f>
        <v>10168.629999999999</v>
      </c>
      <c r="E24" s="95">
        <f>'DOE25'!H25</f>
        <v>0</v>
      </c>
      <c r="F24" s="95">
        <f>'DOE25'!I25</f>
        <v>0</v>
      </c>
      <c r="G24" s="24" t="s">
        <v>288</v>
      </c>
      <c r="H24" s="124">
        <f t="shared" si="1"/>
        <v>10168.629999999999</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462184.45</v>
      </c>
      <c r="D27" s="95">
        <f>'DOE25'!G28</f>
        <v>0</v>
      </c>
      <c r="E27" s="95">
        <f>'DOE25'!H28</f>
        <v>0</v>
      </c>
      <c r="F27" s="95">
        <f>'DOE25'!I28</f>
        <v>0</v>
      </c>
      <c r="G27" s="24" t="s">
        <v>288</v>
      </c>
      <c r="H27" s="124">
        <f t="shared" si="1"/>
        <v>462184.45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6850.59</v>
      </c>
      <c r="D29" s="95">
        <f>'DOE25'!G30</f>
        <v>0</v>
      </c>
      <c r="E29" s="95">
        <f>'DOE25'!H30</f>
        <v>0</v>
      </c>
      <c r="F29" s="95">
        <f>'DOE25'!I30</f>
        <v>0</v>
      </c>
      <c r="G29" s="24" t="s">
        <v>288</v>
      </c>
      <c r="H29" s="124">
        <f t="shared" si="1"/>
        <v>6850.59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467561.82000000007</v>
      </c>
      <c r="D31" s="41">
        <f>SUM(D21:D30)</f>
        <v>11225.779999999999</v>
      </c>
      <c r="E31" s="41">
        <f>SUM(E21:E30)</f>
        <v>16587.989999999998</v>
      </c>
      <c r="F31" s="41">
        <f>SUM(F21:F30)</f>
        <v>0</v>
      </c>
      <c r="G31" s="41">
        <f>SUM(G21:G30)</f>
        <v>9587.2900000000009</v>
      </c>
      <c r="H31" s="41">
        <f t="shared" si="1"/>
        <v>504962.88000000006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1031.48</v>
      </c>
      <c r="E34" s="95">
        <f>'DOE25'!H35</f>
        <v>0</v>
      </c>
      <c r="F34" s="95">
        <f>'DOE25'!I35</f>
        <v>0</v>
      </c>
      <c r="G34" s="24" t="s">
        <v>288</v>
      </c>
      <c r="H34" s="124">
        <f t="shared" ref="H34:H51" si="2">SUM(C34:G34)</f>
        <v>1031.48</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11662.6</v>
      </c>
      <c r="E39" s="24" t="s">
        <v>288</v>
      </c>
      <c r="F39" s="24" t="s">
        <v>288</v>
      </c>
      <c r="G39" s="24" t="s">
        <v>288</v>
      </c>
      <c r="H39" s="124">
        <f t="shared" si="2"/>
        <v>11662.6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170000</v>
      </c>
      <c r="D43" s="95">
        <f>'DOE25'!G44</f>
        <v>0</v>
      </c>
      <c r="E43" s="95">
        <f>'DOE25'!H44</f>
        <v>0</v>
      </c>
      <c r="F43" s="95">
        <f>'DOE25'!I44</f>
        <v>0</v>
      </c>
      <c r="G43" s="24" t="s">
        <v>288</v>
      </c>
      <c r="H43" s="124">
        <f t="shared" si="2"/>
        <v>170000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709401</v>
      </c>
      <c r="D45" s="24" t="s">
        <v>288</v>
      </c>
      <c r="E45" s="24" t="s">
        <v>288</v>
      </c>
      <c r="F45" s="24" t="s">
        <v>288</v>
      </c>
      <c r="G45" s="24" t="s">
        <v>288</v>
      </c>
      <c r="H45" s="124">
        <f t="shared" si="2"/>
        <v>709401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539999.26</v>
      </c>
      <c r="H47" s="124">
        <f t="shared" si="2"/>
        <v>539999.26</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214463.47000000003</v>
      </c>
      <c r="D49" s="24" t="s">
        <v>288</v>
      </c>
      <c r="E49" s="24" t="s">
        <v>288</v>
      </c>
      <c r="F49" s="24" t="s">
        <v>288</v>
      </c>
      <c r="G49" s="24" t="s">
        <v>288</v>
      </c>
      <c r="H49" s="124">
        <f t="shared" si="2"/>
        <v>214463.47000000003</v>
      </c>
      <c r="I49" s="124"/>
    </row>
    <row r="50" spans="1:9" ht="12.75" thickTop="1" thickBot="1" x14ac:dyDescent="0.25">
      <c r="A50" s="38" t="s">
        <v>884</v>
      </c>
      <c r="B50" s="48"/>
      <c r="C50" s="41">
        <f>SUM(C34:C49)</f>
        <v>1093864.47</v>
      </c>
      <c r="D50" s="41">
        <f>SUM(D34:D49)</f>
        <v>12694.08</v>
      </c>
      <c r="E50" s="41">
        <f>SUM(E34:E49)</f>
        <v>0</v>
      </c>
      <c r="F50" s="41">
        <f>SUM(F34:F49)</f>
        <v>0</v>
      </c>
      <c r="G50" s="41">
        <f>SUM(G34:G49)</f>
        <v>539999.26</v>
      </c>
      <c r="H50" s="41">
        <f t="shared" si="2"/>
        <v>1646557.81</v>
      </c>
      <c r="I50" s="124"/>
    </row>
    <row r="51" spans="1:9" ht="12" thickTop="1" x14ac:dyDescent="0.2">
      <c r="A51" s="38" t="s">
        <v>885</v>
      </c>
      <c r="B51" s="2"/>
      <c r="C51" s="41">
        <f>C50+C31</f>
        <v>1561426.29</v>
      </c>
      <c r="D51" s="41">
        <f>D50+D31</f>
        <v>23919.86</v>
      </c>
      <c r="E51" s="41">
        <f>E50+E31</f>
        <v>16587.989999999998</v>
      </c>
      <c r="F51" s="41">
        <f>F50+F31</f>
        <v>0</v>
      </c>
      <c r="G51" s="41">
        <f>G50+G31</f>
        <v>549586.55000000005</v>
      </c>
      <c r="H51" s="41">
        <f t="shared" si="2"/>
        <v>2151520.6900000004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9576182</v>
      </c>
      <c r="D56" s="95">
        <f>'DOE25'!G60</f>
        <v>0</v>
      </c>
      <c r="E56" s="95">
        <f>'DOE25'!H60</f>
        <v>0</v>
      </c>
      <c r="F56" s="95">
        <f>'DOE25'!I60</f>
        <v>0</v>
      </c>
      <c r="G56" s="95">
        <f>'DOE25'!J60</f>
        <v>0</v>
      </c>
      <c r="H56" s="124">
        <f t="shared" ref="H56:H63" si="3">SUM(C56:G56)</f>
        <v>9576182</v>
      </c>
      <c r="I56"/>
    </row>
    <row r="57" spans="1:9" x14ac:dyDescent="0.2">
      <c r="A57" s="1" t="s">
        <v>164</v>
      </c>
      <c r="B57" s="6" t="s">
        <v>165</v>
      </c>
      <c r="C57" s="95">
        <f>'DOE25'!F79</f>
        <v>207946.61</v>
      </c>
      <c r="D57" s="24" t="s">
        <v>288</v>
      </c>
      <c r="E57" s="95">
        <f>'DOE25'!H79</f>
        <v>0</v>
      </c>
      <c r="F57" s="24" t="s">
        <v>288</v>
      </c>
      <c r="G57" s="24" t="s">
        <v>288</v>
      </c>
      <c r="H57" s="124">
        <f t="shared" si="3"/>
        <v>207946.61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3319.59</v>
      </c>
      <c r="D59" s="95">
        <f>'DOE25'!G96</f>
        <v>0</v>
      </c>
      <c r="E59" s="95">
        <f>'DOE25'!H96</f>
        <v>0</v>
      </c>
      <c r="F59" s="95">
        <f>'DOE25'!I96</f>
        <v>0</v>
      </c>
      <c r="G59" s="95">
        <f>'DOE25'!J96</f>
        <v>829.03</v>
      </c>
      <c r="H59" s="124">
        <f t="shared" si="3"/>
        <v>4148.62</v>
      </c>
      <c r="I59"/>
    </row>
    <row r="60" spans="1:9" x14ac:dyDescent="0.2">
      <c r="A60" s="1" t="s">
        <v>170</v>
      </c>
      <c r="B60" s="118" t="s">
        <v>171</v>
      </c>
      <c r="C60" s="24" t="s">
        <v>288</v>
      </c>
      <c r="D60" s="95">
        <f>'DOE25'!G97</f>
        <v>24001.96</v>
      </c>
      <c r="E60" s="24" t="s">
        <v>288</v>
      </c>
      <c r="F60" s="24" t="s">
        <v>288</v>
      </c>
      <c r="G60" s="24" t="s">
        <v>288</v>
      </c>
      <c r="H60" s="124">
        <f t="shared" si="3"/>
        <v>24001.96</v>
      </c>
      <c r="I60"/>
    </row>
    <row r="61" spans="1:9" ht="12" thickBot="1" x14ac:dyDescent="0.25">
      <c r="A61" s="1" t="s">
        <v>172</v>
      </c>
      <c r="B61" s="118" t="s">
        <v>173</v>
      </c>
      <c r="C61" s="95">
        <f>SUM('DOE25'!F98:F110)</f>
        <v>168940.48</v>
      </c>
      <c r="D61" s="95">
        <f>SUM('DOE25'!G98:G110)</f>
        <v>0</v>
      </c>
      <c r="E61" s="95">
        <f>SUM('DOE25'!H98:H110)</f>
        <v>0</v>
      </c>
      <c r="F61" s="95">
        <f>SUM('DOE25'!I98:I110)</f>
        <v>0</v>
      </c>
      <c r="G61" s="95">
        <f>SUM('DOE25'!J98:J110)</f>
        <v>0</v>
      </c>
      <c r="H61" s="124">
        <f t="shared" si="3"/>
        <v>168940.48</v>
      </c>
      <c r="I61"/>
    </row>
    <row r="62" spans="1:9" ht="12.75" thickTop="1" thickBot="1" x14ac:dyDescent="0.25">
      <c r="A62" s="29" t="s">
        <v>174</v>
      </c>
      <c r="B62" s="6"/>
      <c r="C62" s="130">
        <f>SUM(C57:C61)</f>
        <v>380206.68</v>
      </c>
      <c r="D62" s="130">
        <f>SUM(D57:D61)</f>
        <v>24001.96</v>
      </c>
      <c r="E62" s="130">
        <f>SUM(E57:E61)</f>
        <v>0</v>
      </c>
      <c r="F62" s="130">
        <f>SUM(F57:F61)</f>
        <v>0</v>
      </c>
      <c r="G62" s="130">
        <f>SUM(G57:G61)</f>
        <v>829.03</v>
      </c>
      <c r="H62" s="124">
        <f t="shared" si="3"/>
        <v>405037.67000000004</v>
      </c>
      <c r="I62"/>
    </row>
    <row r="63" spans="1:9" ht="12" thickTop="1" x14ac:dyDescent="0.2">
      <c r="A63" s="29" t="s">
        <v>175</v>
      </c>
      <c r="B63" s="6"/>
      <c r="C63" s="22">
        <f>C56+C62</f>
        <v>9956388.6799999997</v>
      </c>
      <c r="D63" s="22">
        <f>D56+D62</f>
        <v>24001.96</v>
      </c>
      <c r="E63" s="22">
        <f>E56+E62</f>
        <v>0</v>
      </c>
      <c r="F63" s="22">
        <f>F56+F62</f>
        <v>0</v>
      </c>
      <c r="G63" s="22">
        <f>G56+G62</f>
        <v>829.03</v>
      </c>
      <c r="H63" s="124">
        <f t="shared" si="3"/>
        <v>9981219.6699999999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4611845</v>
      </c>
      <c r="D67" s="24"/>
      <c r="E67" s="24"/>
      <c r="F67" s="24"/>
      <c r="G67" s="24"/>
      <c r="H67" s="124">
        <f t="shared" si="4"/>
        <v>4611845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4611845</v>
      </c>
      <c r="D70" s="139">
        <f>D69</f>
        <v>0</v>
      </c>
      <c r="E70" s="139">
        <f>E69</f>
        <v>0</v>
      </c>
      <c r="F70" s="139">
        <f>F69</f>
        <v>0</v>
      </c>
      <c r="G70" s="139">
        <f>G69</f>
        <v>0</v>
      </c>
      <c r="H70" s="124">
        <f t="shared" si="4"/>
        <v>4611845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3578.71</v>
      </c>
      <c r="E77" s="95">
        <f>SUM('DOE25'!H131:H135)</f>
        <v>0</v>
      </c>
      <c r="F77" s="95">
        <f>SUM('DOE25'!I131:I135)</f>
        <v>0</v>
      </c>
      <c r="G77" s="95">
        <f>SUM('DOE25'!J131:J135)</f>
        <v>0</v>
      </c>
      <c r="H77" s="124">
        <f t="shared" si="4"/>
        <v>3578.71</v>
      </c>
      <c r="I77"/>
    </row>
    <row r="78" spans="1:9" ht="12.75" thickTop="1" thickBot="1" x14ac:dyDescent="0.25">
      <c r="A78" s="29" t="s">
        <v>259</v>
      </c>
      <c r="B78" s="6"/>
      <c r="C78" s="130">
        <f>SUM(C72:C77)</f>
        <v>0</v>
      </c>
      <c r="D78" s="130">
        <f>SUM(D72:D77)</f>
        <v>3578.71</v>
      </c>
      <c r="E78" s="130">
        <f>SUM(E72:E77)</f>
        <v>0</v>
      </c>
      <c r="F78" s="130">
        <f>SUM(F72:F77)</f>
        <v>0</v>
      </c>
      <c r="G78" s="130">
        <f>SUM(G72:G77)</f>
        <v>0</v>
      </c>
      <c r="H78" s="124">
        <f t="shared" si="4"/>
        <v>3578.71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4611845</v>
      </c>
      <c r="D81" s="130">
        <f>SUM(D79:D80)+D78+D70</f>
        <v>3578.71</v>
      </c>
      <c r="E81" s="130">
        <f>SUM(E79:E80)+E78+E70</f>
        <v>0</v>
      </c>
      <c r="F81" s="130">
        <f>SUM(F79:F80)+F78+F70</f>
        <v>0</v>
      </c>
      <c r="G81" s="130">
        <f>SUM(G79:G80)+G78+G70</f>
        <v>0</v>
      </c>
      <c r="H81" s="130">
        <f t="shared" si="4"/>
        <v>4615423.71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31.09</v>
      </c>
      <c r="D88" s="326">
        <f>SUM('DOE25'!G153:G162)</f>
        <v>152078.89000000001</v>
      </c>
      <c r="E88" s="326">
        <f>SUM('DOE25'!H153:H162)</f>
        <v>139190.57</v>
      </c>
      <c r="F88" s="326">
        <f>SUM('DOE25'!I153:I162)</f>
        <v>0</v>
      </c>
      <c r="G88" s="24" t="s">
        <v>288</v>
      </c>
      <c r="H88" s="124">
        <f t="shared" si="5"/>
        <v>291300.55000000005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31.09</v>
      </c>
      <c r="D91" s="131">
        <f>SUM(D85:D90)</f>
        <v>152078.89000000001</v>
      </c>
      <c r="E91" s="131">
        <f>SUM(E85:E90)</f>
        <v>139190.57</v>
      </c>
      <c r="F91" s="131">
        <f>SUM(F85:F90)</f>
        <v>0</v>
      </c>
      <c r="G91" s="24" t="s">
        <v>288</v>
      </c>
      <c r="H91" s="124">
        <f t="shared" si="5"/>
        <v>291300.55000000005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50000</v>
      </c>
      <c r="H96" s="124">
        <f t="shared" si="5"/>
        <v>50000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9587.2900000000009</v>
      </c>
      <c r="D100" s="95">
        <f>SUM('DOE25'!G187:G188)</f>
        <v>0</v>
      </c>
      <c r="E100" s="95">
        <f>SUM('DOE25'!H187:H188)</f>
        <v>0</v>
      </c>
      <c r="F100" s="95">
        <f>SUM('DOE25'!I187:I188)</f>
        <v>0</v>
      </c>
      <c r="G100" s="24" t="s">
        <v>288</v>
      </c>
      <c r="H100" s="124">
        <f t="shared" si="5"/>
        <v>9587.2900000000009</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9587.2900000000009</v>
      </c>
      <c r="D103" s="86">
        <f>SUM(D93:D102)</f>
        <v>0</v>
      </c>
      <c r="E103" s="86">
        <f>SUM(E93:E102)</f>
        <v>0</v>
      </c>
      <c r="F103" s="86">
        <f>SUM(F93:F102)</f>
        <v>0</v>
      </c>
      <c r="G103" s="86">
        <f>SUM(G93:G102)</f>
        <v>50000</v>
      </c>
      <c r="H103" s="86">
        <f t="shared" si="5"/>
        <v>59587.29</v>
      </c>
    </row>
    <row r="104" spans="1:8" ht="12.75" thickTop="1" thickBot="1" x14ac:dyDescent="0.25">
      <c r="A104" s="33" t="s">
        <v>761</v>
      </c>
      <c r="C104" s="86">
        <f>C63+C81+C91+C103</f>
        <v>14577852.059999999</v>
      </c>
      <c r="D104" s="86">
        <f>D63+D81+D91+D103</f>
        <v>179659.56</v>
      </c>
      <c r="E104" s="86">
        <f>E63+E81+E91+E103</f>
        <v>139190.57</v>
      </c>
      <c r="F104" s="86">
        <f>F63+F81+F91+F103</f>
        <v>0</v>
      </c>
      <c r="G104" s="86">
        <f>G63+G81+G103</f>
        <v>50829.03</v>
      </c>
      <c r="H104" s="86">
        <f t="shared" si="5"/>
        <v>14947531.219999999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8005917.0199999996</v>
      </c>
      <c r="D109" s="24" t="s">
        <v>288</v>
      </c>
      <c r="E109" s="95">
        <f>('DOE25'!L277)+('DOE25'!L296)+('DOE25'!L315)</f>
        <v>1630.85</v>
      </c>
      <c r="F109" s="24" t="s">
        <v>288</v>
      </c>
      <c r="G109" s="24" t="s">
        <v>288</v>
      </c>
      <c r="H109" s="124">
        <f t="shared" ref="H109:H115" si="6">SUM(C109:G109)</f>
        <v>8007547.8699999992</v>
      </c>
    </row>
    <row r="110" spans="1:8" x14ac:dyDescent="0.2">
      <c r="A110" t="s">
        <v>198</v>
      </c>
      <c r="B110" s="32" t="s">
        <v>199</v>
      </c>
      <c r="C110" s="95">
        <f>('DOE25'!L199)+('DOE25'!L217)+('DOE25'!L235)</f>
        <v>1561796.54</v>
      </c>
      <c r="D110" s="24" t="s">
        <v>288</v>
      </c>
      <c r="E110" s="95">
        <f>('DOE25'!L278)+('DOE25'!L297)+('DOE25'!L316)</f>
        <v>97515.079999999987</v>
      </c>
      <c r="F110" s="24" t="s">
        <v>288</v>
      </c>
      <c r="G110" s="24" t="s">
        <v>288</v>
      </c>
      <c r="H110" s="124">
        <f t="shared" si="6"/>
        <v>1659311.62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208697.01</v>
      </c>
      <c r="D112" s="24" t="s">
        <v>288</v>
      </c>
      <c r="E112" s="95">
        <f>+('DOE25'!L280)+('DOE25'!L299)+('DOE25'!L318)</f>
        <v>1928.8600000000001</v>
      </c>
      <c r="F112" s="24" t="s">
        <v>288</v>
      </c>
      <c r="G112" s="24" t="s">
        <v>288</v>
      </c>
      <c r="H112" s="124">
        <f t="shared" si="6"/>
        <v>210625.87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9776410.5699999984</v>
      </c>
      <c r="D115" s="86">
        <f>SUM(D109:D114)</f>
        <v>0</v>
      </c>
      <c r="E115" s="86">
        <f>SUM(E109:E114)</f>
        <v>101074.79</v>
      </c>
      <c r="F115" s="86">
        <f>SUM(F109:F114)</f>
        <v>0</v>
      </c>
      <c r="G115" s="86">
        <f>SUM(G109:G114)</f>
        <v>0</v>
      </c>
      <c r="H115" s="86">
        <f t="shared" si="6"/>
        <v>9877485.3599999975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775745.33000000007</v>
      </c>
      <c r="D118" s="24" t="s">
        <v>288</v>
      </c>
      <c r="E118" s="95">
        <f>+('DOE25'!L282)+('DOE25'!L301)+('DOE25'!L320)</f>
        <v>13369.26</v>
      </c>
      <c r="F118" s="24" t="s">
        <v>288</v>
      </c>
      <c r="G118" s="24" t="s">
        <v>288</v>
      </c>
      <c r="H118" s="124">
        <f t="shared" ref="H118:H145" si="7">SUM(C118:G118)</f>
        <v>789114.59000000008</v>
      </c>
    </row>
    <row r="119" spans="1:8" x14ac:dyDescent="0.2">
      <c r="A119" t="s">
        <v>208</v>
      </c>
      <c r="B119" s="32" t="s">
        <v>209</v>
      </c>
      <c r="C119" s="95">
        <f>('DOE25'!L204)+('DOE25'!L222)+('DOE25'!L240)</f>
        <v>798317.12</v>
      </c>
      <c r="D119" s="24" t="s">
        <v>288</v>
      </c>
      <c r="E119" s="95">
        <f>+('DOE25'!L283)+('DOE25'!L302)+('DOE25'!L321)</f>
        <v>24746.52</v>
      </c>
      <c r="F119" s="24" t="s">
        <v>288</v>
      </c>
      <c r="G119" s="24" t="s">
        <v>288</v>
      </c>
      <c r="H119" s="124">
        <f t="shared" si="7"/>
        <v>823063.64</v>
      </c>
    </row>
    <row r="120" spans="1:8" x14ac:dyDescent="0.2">
      <c r="A120" t="s">
        <v>210</v>
      </c>
      <c r="B120" s="32" t="s">
        <v>211</v>
      </c>
      <c r="C120" s="95">
        <f>('DOE25'!L205)+('DOE25'!L223)+('DOE25'!L241)</f>
        <v>889823.73</v>
      </c>
      <c r="D120" s="24" t="s">
        <v>288</v>
      </c>
      <c r="E120" s="95">
        <f>+('DOE25'!L284)+('DOE25'!L303)+('DOE25'!L322)</f>
        <v>0</v>
      </c>
      <c r="F120" s="24" t="s">
        <v>288</v>
      </c>
      <c r="G120" s="24" t="s">
        <v>288</v>
      </c>
      <c r="H120" s="124">
        <f t="shared" si="7"/>
        <v>889823.73</v>
      </c>
    </row>
    <row r="121" spans="1:8" x14ac:dyDescent="0.2">
      <c r="A121" t="s">
        <v>212</v>
      </c>
      <c r="B121" s="32" t="s">
        <v>213</v>
      </c>
      <c r="C121" s="95">
        <f>('DOE25'!L206)+('DOE25'!L224)+('DOE25'!L242)</f>
        <v>622093.82000000007</v>
      </c>
      <c r="D121" s="24" t="s">
        <v>288</v>
      </c>
      <c r="E121" s="95">
        <f>+('DOE25'!L285)+('DOE25'!L304)+('DOE25'!L323)</f>
        <v>0</v>
      </c>
      <c r="F121" s="24" t="s">
        <v>288</v>
      </c>
      <c r="G121" s="24" t="s">
        <v>288</v>
      </c>
      <c r="H121" s="124">
        <f t="shared" si="7"/>
        <v>622093.82000000007</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878746.52</v>
      </c>
      <c r="D123" s="24" t="s">
        <v>288</v>
      </c>
      <c r="E123" s="95">
        <f>+('DOE25'!L287)+('DOE25'!L306)+('DOE25'!L325)</f>
        <v>0</v>
      </c>
      <c r="F123" s="24" t="s">
        <v>288</v>
      </c>
      <c r="G123" s="24" t="s">
        <v>288</v>
      </c>
      <c r="H123" s="124">
        <f t="shared" si="7"/>
        <v>878746.52</v>
      </c>
    </row>
    <row r="124" spans="1:8" x14ac:dyDescent="0.2">
      <c r="A124" t="s">
        <v>218</v>
      </c>
      <c r="B124" s="32" t="s">
        <v>219</v>
      </c>
      <c r="C124" s="95">
        <f>('DOE25'!L209)+('DOE25'!L227)+('DOE25'!L245+'DOE25'!L255)</f>
        <v>423042.08</v>
      </c>
      <c r="D124" s="24" t="s">
        <v>288</v>
      </c>
      <c r="E124" s="95">
        <f>+('DOE25'!L288)+('DOE25'!L307)+('DOE25'!L326)</f>
        <v>0</v>
      </c>
      <c r="F124" s="24" t="s">
        <v>288</v>
      </c>
      <c r="G124" s="24" t="s">
        <v>288</v>
      </c>
      <c r="H124" s="124">
        <f t="shared" si="7"/>
        <v>423042.08</v>
      </c>
    </row>
    <row r="125" spans="1:8" x14ac:dyDescent="0.2">
      <c r="A125" t="s">
        <v>220</v>
      </c>
      <c r="B125" s="32" t="s">
        <v>221</v>
      </c>
      <c r="C125" s="95">
        <f>('DOE25'!L210)+('DOE25'!L228)+('DOE25'!L246)</f>
        <v>17682.419999999998</v>
      </c>
      <c r="D125" s="24" t="s">
        <v>288</v>
      </c>
      <c r="E125" s="95">
        <f>+('DOE25'!L289)+('DOE25'!L308)+('DOE25'!L327)</f>
        <v>0</v>
      </c>
      <c r="F125" s="24" t="s">
        <v>288</v>
      </c>
      <c r="G125" s="24" t="s">
        <v>288</v>
      </c>
      <c r="H125" s="124">
        <f t="shared" si="7"/>
        <v>17682.419999999998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167408.56999999998</v>
      </c>
      <c r="E127" s="24" t="s">
        <v>288</v>
      </c>
      <c r="F127" s="24" t="s">
        <v>288</v>
      </c>
      <c r="G127" s="24" t="s">
        <v>288</v>
      </c>
      <c r="H127" s="124">
        <f t="shared" si="7"/>
        <v>167408.56999999998</v>
      </c>
    </row>
    <row r="128" spans="1:8" ht="12.75" thickTop="1" thickBot="1" x14ac:dyDescent="0.25">
      <c r="A128" s="33" t="s">
        <v>226</v>
      </c>
      <c r="C128" s="86">
        <f>SUM(C118:C127)</f>
        <v>4405451.0199999996</v>
      </c>
      <c r="D128" s="86">
        <f>SUM(D118:D127)</f>
        <v>167408.56999999998</v>
      </c>
      <c r="E128" s="86">
        <f>SUM(E118:E127)</f>
        <v>38115.78</v>
      </c>
      <c r="F128" s="86">
        <f>SUM(F118:F127)</f>
        <v>0</v>
      </c>
      <c r="G128" s="86">
        <f>SUM(G118:G127)</f>
        <v>0</v>
      </c>
      <c r="H128" s="86">
        <f t="shared" si="7"/>
        <v>4610975.37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61035.02</v>
      </c>
      <c r="D130" s="24" t="s">
        <v>288</v>
      </c>
      <c r="E130" s="129">
        <f>'DOE25'!L337</f>
        <v>0</v>
      </c>
      <c r="F130" s="129">
        <f>SUM('DOE25'!L375:'DOE25'!L381)</f>
        <v>0</v>
      </c>
      <c r="G130" s="24" t="s">
        <v>288</v>
      </c>
      <c r="H130" s="124">
        <f t="shared" si="7"/>
        <v>61035.02</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9587.2900000000009</v>
      </c>
      <c r="H134" s="124">
        <f t="shared" si="7"/>
        <v>9587.2900000000009</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50829.03</v>
      </c>
      <c r="D139" s="24" t="s">
        <v>288</v>
      </c>
      <c r="E139" s="24" t="s">
        <v>288</v>
      </c>
      <c r="F139" s="24" t="s">
        <v>288</v>
      </c>
      <c r="G139" s="24" t="s">
        <v>288</v>
      </c>
      <c r="H139" s="124">
        <f t="shared" si="7"/>
        <v>50829.03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-829.02999999999884</v>
      </c>
      <c r="D141" s="24" t="s">
        <v>288</v>
      </c>
      <c r="E141" s="24" t="s">
        <v>288</v>
      </c>
      <c r="F141" s="24" t="s">
        <v>288</v>
      </c>
      <c r="G141" s="24" t="s">
        <v>288</v>
      </c>
      <c r="H141" s="124">
        <f t="shared" si="7"/>
        <v>-829.02999999999884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111035.01999999999</v>
      </c>
      <c r="D144" s="141">
        <f>SUM(D130:D143)</f>
        <v>0</v>
      </c>
      <c r="E144" s="141">
        <f>SUM(E130:E143)</f>
        <v>0</v>
      </c>
      <c r="F144" s="141">
        <f>SUM(F130:F143)</f>
        <v>0</v>
      </c>
      <c r="G144" s="141">
        <f>SUM(G130:G143)</f>
        <v>9587.2900000000009</v>
      </c>
      <c r="H144" s="141">
        <f t="shared" si="7"/>
        <v>120622.31</v>
      </c>
    </row>
    <row r="145" spans="1:9" ht="12.75" thickTop="1" thickBot="1" x14ac:dyDescent="0.25">
      <c r="A145" s="33" t="s">
        <v>244</v>
      </c>
      <c r="C145" s="86">
        <f>(C115+C128+C144)</f>
        <v>14292896.609999998</v>
      </c>
      <c r="D145" s="86">
        <f>(D115+D128+D144)</f>
        <v>167408.56999999998</v>
      </c>
      <c r="E145" s="86">
        <f>(E115+E128+E144)</f>
        <v>139190.57</v>
      </c>
      <c r="F145" s="86">
        <f>(F115+F128+F144)</f>
        <v>0</v>
      </c>
      <c r="G145" s="86">
        <f>(G115+G128+G144)</f>
        <v>9587.2900000000009</v>
      </c>
      <c r="H145" s="86">
        <f t="shared" si="7"/>
        <v>14609083.039999997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6" sqref="H1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Rye</v>
      </c>
    </row>
    <row r="3" spans="1:4" x14ac:dyDescent="0.2">
      <c r="B3" s="187" t="s">
        <v>1799</v>
      </c>
    </row>
    <row r="4" spans="1:4" x14ac:dyDescent="0.2">
      <c r="B4" t="s">
        <v>61</v>
      </c>
      <c r="C4" s="178">
        <f>IF('DOE25'!F666+'DOE25'!F671=0,0,ROUND('DOE25'!F673,0))</f>
        <v>27572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27572</v>
      </c>
    </row>
    <row r="9" spans="1:4" x14ac:dyDescent="0.2">
      <c r="A9" s="186" t="s">
        <v>94</v>
      </c>
      <c r="B9" s="187" t="s">
        <v>1800</v>
      </c>
      <c r="C9" s="180" t="s">
        <v>720</v>
      </c>
      <c r="D9" s="180" t="s">
        <v>721</v>
      </c>
    </row>
    <row r="10" spans="1:4" x14ac:dyDescent="0.2">
      <c r="A10">
        <v>1100</v>
      </c>
      <c r="B10" t="s">
        <v>702</v>
      </c>
      <c r="C10" s="178">
        <f>ROUND('DOE25'!L198+'DOE25'!L216+'DOE25'!L234+'DOE25'!L277+'DOE25'!L296+'DOE25'!L315,0)</f>
        <v>8007548</v>
      </c>
      <c r="D10" s="181">
        <f>ROUND((C10/$C$28)*100,1)</f>
        <v>55.4</v>
      </c>
    </row>
    <row r="11" spans="1:4" x14ac:dyDescent="0.2">
      <c r="A11">
        <v>1200</v>
      </c>
      <c r="B11" t="s">
        <v>703</v>
      </c>
      <c r="C11" s="178">
        <f>ROUND('DOE25'!L199+'DOE25'!L217+'DOE25'!L235+'DOE25'!L278+'DOE25'!L297+'DOE25'!L316,0)</f>
        <v>1659312</v>
      </c>
      <c r="D11" s="181">
        <f>ROUND((C11/$C$28)*100,1)</f>
        <v>11.5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210626</v>
      </c>
      <c r="D13" s="181">
        <f>ROUND((C13/$C$28)*100,1)</f>
        <v>1.5</v>
      </c>
    </row>
    <row r="14" spans="1:4" x14ac:dyDescent="0.2">
      <c r="D14" s="181"/>
    </row>
    <row r="15" spans="1:4" x14ac:dyDescent="0.2">
      <c r="A15">
        <v>2100</v>
      </c>
      <c r="B15" t="s">
        <v>706</v>
      </c>
      <c r="C15" s="178">
        <f>ROUND('DOE25'!L203+'DOE25'!L221+'DOE25'!L239+'DOE25'!L282+'DOE25'!L301+'DOE25'!L320,0)</f>
        <v>789115</v>
      </c>
      <c r="D15" s="181">
        <f t="shared" ref="D15:D27" si="0">ROUND((C15/$C$28)*100,1)</f>
        <v>5.5</v>
      </c>
    </row>
    <row r="16" spans="1:4" x14ac:dyDescent="0.2">
      <c r="A16">
        <v>2200</v>
      </c>
      <c r="B16" t="s">
        <v>707</v>
      </c>
      <c r="C16" s="178">
        <f>ROUND('DOE25'!L204+'DOE25'!L222+'DOE25'!L240+'DOE25'!L283+'DOE25'!L302+'DOE25'!L321,0)</f>
        <v>823064</v>
      </c>
      <c r="D16" s="181">
        <f t="shared" si="0"/>
        <v>5.7</v>
      </c>
    </row>
    <row r="17" spans="1:4" x14ac:dyDescent="0.2">
      <c r="A17" s="182" t="s">
        <v>723</v>
      </c>
      <c r="B17" t="s">
        <v>738</v>
      </c>
      <c r="C17" s="178">
        <f>ROUND('DOE25'!L205+'DOE25'!L210+'DOE25'!L223+'DOE25'!L228+'DOE25'!L241+'DOE25'!L246+'DOE25'!L284+'DOE25'!L289+'DOE25'!L303+'DOE25'!L308+'DOE25'!L322+'DOE25'!L327,0)</f>
        <v>907506</v>
      </c>
      <c r="D17" s="181">
        <f t="shared" si="0"/>
        <v>6.3</v>
      </c>
    </row>
    <row r="18" spans="1:4" x14ac:dyDescent="0.2">
      <c r="A18">
        <v>2400</v>
      </c>
      <c r="B18" t="s">
        <v>711</v>
      </c>
      <c r="C18" s="178">
        <f>ROUND('DOE25'!L206+'DOE25'!L224+'DOE25'!L242+'DOE25'!L285+'DOE25'!L304+'DOE25'!L323,0)</f>
        <v>622094</v>
      </c>
      <c r="D18" s="181">
        <f t="shared" si="0"/>
        <v>4.3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878747</v>
      </c>
      <c r="D20" s="181">
        <f t="shared" si="0"/>
        <v>6.1</v>
      </c>
    </row>
    <row r="21" spans="1:4" x14ac:dyDescent="0.2">
      <c r="A21">
        <v>2700</v>
      </c>
      <c r="B21" t="s">
        <v>710</v>
      </c>
      <c r="C21" s="178">
        <f>ROUND('DOE25'!L209+'DOE25'!L227+'DOE25'!L245+'DOE25'!L288+'DOE25'!L307+'DOE25'!L326,0)</f>
        <v>423042</v>
      </c>
      <c r="D21" s="181">
        <f t="shared" si="0"/>
        <v>2.9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143407.04000000001</v>
      </c>
      <c r="D27" s="181">
        <f t="shared" si="0"/>
        <v>1</v>
      </c>
    </row>
    <row r="28" spans="1:4" x14ac:dyDescent="0.2">
      <c r="B28" s="186" t="s">
        <v>719</v>
      </c>
      <c r="C28" s="179">
        <f>SUM(C10:C27)</f>
        <v>14464461.039999999</v>
      </c>
      <c r="D28" s="183">
        <f>ROUND(SUM(D10:D27),0)</f>
        <v>100</v>
      </c>
    </row>
    <row r="29" spans="1:4" x14ac:dyDescent="0.2">
      <c r="A29">
        <v>4000</v>
      </c>
      <c r="B29" t="s">
        <v>724</v>
      </c>
      <c r="C29" s="178">
        <f>ROUND('DOE25'!L256+'DOE25'!L337+'DOE25'!L375+'DOE25'!L376+'DOE25'!L377+'DOE25'!L378+'DOE25'!L379+'DOE25'!L380+'DOE25'!L381,0)</f>
        <v>61035</v>
      </c>
    </row>
    <row r="30" spans="1:4" x14ac:dyDescent="0.2">
      <c r="B30" s="186" t="s">
        <v>725</v>
      </c>
      <c r="C30" s="179">
        <f>SUM(C28:C29)</f>
        <v>14525496.039999999</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9576182</v>
      </c>
      <c r="D35" s="181">
        <f t="shared" ref="D35:D40" si="1">ROUND((C35/$C$41)*100,1)</f>
        <v>64.400000000000006</v>
      </c>
    </row>
    <row r="36" spans="1:4" x14ac:dyDescent="0.2">
      <c r="B36" s="184" t="s">
        <v>739</v>
      </c>
      <c r="C36" s="178">
        <f>SUM('DOE25'!F112:J112)-SUM('DOE25'!G97:G110)+('DOE25'!F175+'DOE25'!F176+'DOE25'!I175+'DOE25'!I176)-C35</f>
        <v>381035.70999999903</v>
      </c>
      <c r="D36" s="181">
        <f t="shared" si="1"/>
        <v>2.6</v>
      </c>
    </row>
    <row r="37" spans="1:4" x14ac:dyDescent="0.2">
      <c r="A37" s="182" t="s">
        <v>835</v>
      </c>
      <c r="B37" s="184" t="s">
        <v>728</v>
      </c>
      <c r="C37" s="178">
        <f>ROUND('DOE25'!F117+'DOE25'!F118,0)</f>
        <v>4611845</v>
      </c>
      <c r="D37" s="181">
        <f t="shared" si="1"/>
        <v>31</v>
      </c>
    </row>
    <row r="38" spans="1:4" x14ac:dyDescent="0.2">
      <c r="A38" s="182" t="s">
        <v>734</v>
      </c>
      <c r="B38" s="184" t="s">
        <v>729</v>
      </c>
      <c r="C38" s="178">
        <f>ROUND(SUM('DOE25'!F140:J140)-SUM('DOE25'!F117:F119),0)</f>
        <v>3579</v>
      </c>
      <c r="D38" s="181">
        <f t="shared" si="1"/>
        <v>0</v>
      </c>
    </row>
    <row r="39" spans="1:4" x14ac:dyDescent="0.2">
      <c r="A39">
        <v>4000</v>
      </c>
      <c r="B39" s="184" t="s">
        <v>730</v>
      </c>
      <c r="C39" s="178">
        <f>ROUND('DOE25'!F170+'DOE25'!G170+'DOE25'!H170+'DOE25'!I170,0)</f>
        <v>291301</v>
      </c>
      <c r="D39" s="181">
        <f t="shared" si="1"/>
        <v>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14863942.709999999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Rye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257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258</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f>IF('School Level Expenditures'!$B$2=A260,'School Tables'!H260,"")</f>
        <v>257</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f>IF('School Level Expenditures'!$B$2=A261,'School Tables'!H261,"")</f>
        <v>258</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2022-09-14T21:44:27Z</cp:lastPrinted>
  <dcterms:created xsi:type="dcterms:W3CDTF">1997-12-04T19:04:30Z</dcterms:created>
  <dcterms:modified xsi:type="dcterms:W3CDTF">2022-12-20T16:20:03Z</dcterms:modified>
</cp:coreProperties>
</file>