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7FB007D-2031-47D3-9A1D-FF75D8858E0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G469" i="1"/>
  <c r="D7" i="14" l="1"/>
  <c r="H209" i="1"/>
  <c r="H199" i="1"/>
  <c r="H522" i="1"/>
  <c r="H542" i="1"/>
  <c r="H593" i="1"/>
  <c r="K205" i="1" l="1"/>
  <c r="G204" i="1"/>
  <c r="F369" i="1"/>
  <c r="I359" i="1"/>
  <c r="H605" i="1" l="1"/>
  <c r="K532" i="1"/>
  <c r="J522" i="1"/>
  <c r="I522" i="1"/>
  <c r="G522" i="1"/>
  <c r="F522" i="1"/>
  <c r="G527" i="1"/>
  <c r="B21" i="12"/>
  <c r="B20" i="12"/>
  <c r="B19" i="12"/>
  <c r="C21" i="12"/>
  <c r="C20" i="12"/>
  <c r="C19" i="12"/>
  <c r="C37" i="12"/>
  <c r="B37" i="12"/>
  <c r="B12" i="12"/>
  <c r="B11" i="12"/>
  <c r="B10" i="12"/>
  <c r="C12" i="12"/>
  <c r="C11" i="12"/>
  <c r="C10" i="12"/>
  <c r="F527" i="1"/>
  <c r="G532" i="1"/>
  <c r="I198" i="1" l="1"/>
  <c r="I201" i="1"/>
  <c r="I251" i="1"/>
  <c r="H604" i="1"/>
  <c r="I208" i="1"/>
  <c r="I204" i="1"/>
  <c r="H208" i="1"/>
  <c r="H205" i="1"/>
  <c r="H204" i="1"/>
  <c r="H203" i="1"/>
  <c r="F204" i="1"/>
  <c r="F203" i="1"/>
  <c r="F201" i="1"/>
  <c r="F29" i="1" l="1"/>
  <c r="F532" i="1"/>
  <c r="J283" i="1"/>
  <c r="I283" i="1"/>
  <c r="H283" i="1"/>
  <c r="E13" i="17"/>
  <c r="E9" i="17"/>
  <c r="J469" i="1"/>
  <c r="J96" i="1"/>
  <c r="H397" i="1"/>
  <c r="H398" i="1"/>
  <c r="F368" i="1"/>
  <c r="G158"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H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H27" i="2" s="1"/>
  <c r="E27" i="2"/>
  <c r="F27" i="2"/>
  <c r="C28" i="2"/>
  <c r="D28" i="2"/>
  <c r="E28" i="2"/>
  <c r="F28" i="2"/>
  <c r="C29" i="2"/>
  <c r="D29" i="2"/>
  <c r="H29" i="2" s="1"/>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J652" i="1" s="1"/>
  <c r="H653" i="1"/>
  <c r="G654" i="1"/>
  <c r="H654" i="1"/>
  <c r="H655" i="1"/>
  <c r="H656" i="1"/>
  <c r="I170" i="1"/>
  <c r="H13" i="2" l="1"/>
  <c r="C12" i="10"/>
  <c r="I409" i="1"/>
  <c r="H94" i="2"/>
  <c r="H69" i="2"/>
  <c r="H47" i="2"/>
  <c r="H30" i="2"/>
  <c r="H28" i="2"/>
  <c r="H25" i="2"/>
  <c r="H24" i="2"/>
  <c r="H17" i="2"/>
  <c r="H15" i="2"/>
  <c r="H8" i="2"/>
  <c r="H132" i="2"/>
  <c r="C110" i="2"/>
  <c r="H36" i="2"/>
  <c r="H38" i="2"/>
  <c r="H43" i="2"/>
  <c r="H44" i="2"/>
  <c r="H48" i="2"/>
  <c r="G646" i="1"/>
  <c r="D144" i="2"/>
  <c r="H102" i="2"/>
  <c r="H101" i="2"/>
  <c r="H100" i="2"/>
  <c r="H99" i="2"/>
  <c r="H98" i="2"/>
  <c r="H97" i="2"/>
  <c r="H79" i="2"/>
  <c r="H76" i="2"/>
  <c r="H73" i="2"/>
  <c r="H61" i="2"/>
  <c r="H58" i="2"/>
  <c r="H143" i="2"/>
  <c r="H57" i="2"/>
  <c r="E121" i="2"/>
  <c r="H137" i="2"/>
  <c r="H96" i="2"/>
  <c r="H93" i="2"/>
  <c r="H87" i="2"/>
  <c r="H80" i="2"/>
  <c r="H34" i="2"/>
  <c r="H26" i="2"/>
  <c r="H22" i="2"/>
  <c r="C13" i="10"/>
  <c r="C120" i="2"/>
  <c r="H120" i="2" s="1"/>
  <c r="C121" i="2"/>
  <c r="H121" i="2" s="1"/>
  <c r="C112" i="2"/>
  <c r="H112" i="2" s="1"/>
  <c r="H125" i="2"/>
  <c r="H59" i="2"/>
  <c r="H12" i="2"/>
  <c r="H477" i="1"/>
  <c r="H625" i="1" s="1"/>
  <c r="J625" i="1" s="1"/>
  <c r="H23" i="2"/>
  <c r="H11" i="2"/>
  <c r="G477" i="1"/>
  <c r="H624" i="1" s="1"/>
  <c r="J624" i="1" s="1"/>
  <c r="G662" i="1"/>
  <c r="D78" i="2"/>
  <c r="D81" i="2" s="1"/>
  <c r="H77"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C81" i="2" s="1"/>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10" i="2" l="1"/>
  <c r="H42" i="2"/>
  <c r="E144" i="2"/>
  <c r="L572" i="1"/>
  <c r="H16" i="2"/>
  <c r="H21" i="2"/>
  <c r="H134" i="2"/>
  <c r="H85" i="2"/>
  <c r="B33" i="16"/>
  <c r="H123" i="2"/>
  <c r="H78" i="2"/>
  <c r="H81" i="2"/>
  <c r="F194" i="1"/>
  <c r="G628" i="1" s="1"/>
  <c r="J628" i="1" s="1"/>
  <c r="E51" i="2"/>
  <c r="E128" i="2"/>
  <c r="H118" i="2"/>
  <c r="E115" i="2"/>
  <c r="H109" i="2"/>
  <c r="F661" i="1"/>
  <c r="F665" i="1" s="1"/>
  <c r="F668" i="1" s="1"/>
  <c r="H91" i="2"/>
  <c r="H50" i="2"/>
  <c r="H18" i="2"/>
  <c r="D128" i="2"/>
  <c r="H127" i="2"/>
  <c r="D63" i="2"/>
  <c r="D104" i="2" s="1"/>
  <c r="H62"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H115" i="2"/>
  <c r="H63" i="2"/>
  <c r="E145" i="2"/>
  <c r="H104" i="2"/>
  <c r="H51" i="2"/>
  <c r="C144" i="2"/>
  <c r="H144" i="2" s="1"/>
  <c r="H141" i="2"/>
  <c r="D145"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<sst xmlns="http://schemas.openxmlformats.org/spreadsheetml/2006/main" count="6533" uniqueCount="1806">
  <si>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</si>
  <si>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</si>
  <si>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</si>
  <si>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</si>
  <si>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</si>
  <si>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</si>
  <si>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</si>
  <si>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</si>
  <si>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</si>
  <si>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</si>
  <si>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</si>
  <si>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</si>
  <si>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</si>
  <si>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</si>
  <si>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</si>
  <si>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</si>
  <si>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</si>
  <si>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</si>
  <si>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</si>
  <si>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</si>
  <si>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</si>
  <si>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</si>
  <si>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</si>
  <si>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</si>
  <si>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</si>
  <si>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</si>
  <si>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</si>
  <si>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</si>
  <si>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</si>
  <si>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</si>
  <si>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</si>
  <si>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</si>
  <si>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</si>
  <si>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</si>
  <si>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</si>
  <si>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</si>
  <si>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</si>
  <si>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</si>
  <si>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</si>
  <si>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</si>
  <si>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</si>
  <si>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</si>
  <si>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</si>
  <si>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</si>
  <si>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</si>
  <si>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</si>
  <si>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</si>
  <si>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</si>
  <si>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</si>
  <si>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</si>
  <si>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</si>
  <si>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</si>
  <si>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</si>
  <si>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</si>
  <si>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</si>
  <si>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</si>
  <si>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</si>
  <si>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</si>
  <si>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</si>
  <si>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</si>
  <si>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</si>
  <si>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</si>
  <si>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</si>
  <si>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</si>
  <si>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</si>
  <si>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</si>
  <si>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</si>
  <si>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</si>
  <si>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</si>
  <si>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</si>
  <si>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</si>
  <si>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</si>
  <si>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</si>
  <si>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</si>
  <si>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</si>
  <si>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</si>
  <si>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</si>
  <si>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</si>
  <si>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</si>
  <si>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</si>
  <si>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</si>
  <si>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</si>
  <si>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</si>
  <si>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</si>
  <si>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</si>
  <si>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</si>
  <si>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</si>
  <si>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</si>
  <si>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</si>
  <si>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</si>
  <si>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</si>
  <si>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</si>
  <si>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</si>
  <si>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</si>
  <si>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</si>
  <si>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</si>
  <si>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</si>
  <si>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</si>
  <si>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</si>
  <si>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</si>
  <si>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</si>
  <si>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</si>
  <si>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</si>
  <si>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</si>
  <si>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</si>
  <si>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</si>
  <si>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</si>
  <si>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</si>
  <si>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</si>
  <si>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</si>
  <si>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</si>
  <si>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</si>
  <si>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</si>
  <si>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</si>
  <si>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</si>
  <si>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</si>
  <si>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</si>
  <si>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</si>
  <si>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</si>
  <si>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</si>
  <si>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</si>
  <si>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</si>
  <si>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</si>
  <si>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</si>
  <si>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</si>
  <si>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</si>
  <si>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</si>
  <si>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</si>
  <si>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</si>
  <si>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</si>
  <si>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</si>
  <si>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</si>
  <si>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</si>
  <si>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</si>
  <si>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</si>
  <si>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</si>
  <si>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</si>
  <si>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</si>
  <si>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</si>
  <si>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</si>
  <si>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</si>
  <si>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</si>
  <si>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</si>
  <si>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</si>
  <si>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</si>
  <si>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</si>
  <si>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</si>
  <si>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</si>
  <si>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</si>
  <si>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</si>
  <si>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</si>
  <si>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</si>
  <si>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</si>
  <si>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</si>
  <si>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</si>
  <si>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</si>
  <si>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</si>
  <si>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</si>
  <si>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</si>
  <si>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</si>
  <si>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</si>
  <si>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</si>
  <si>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</si>
  <si>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</si>
  <si>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</si>
  <si>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</si>
  <si>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</si>
  <si>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</si>
  <si>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</si>
  <si>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</si>
  <si>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</si>
  <si>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</si>
  <si>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</si>
  <si>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</si>
  <si>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</si>
  <si>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</si>
  <si>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</si>
  <si>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</si>
  <si>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</si>
  <si>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</si>
  <si>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</si>
  <si>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</si>
  <si>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</si>
  <si>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</si>
  <si>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</si>
  <si>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</si>
  <si>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</si>
  <si>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</si>
  <si>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</si>
  <si>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</si>
  <si>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</si>
  <si>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</si>
  <si>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</si>
  <si>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</si>
  <si>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</si>
  <si>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</si>
  <si>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</si>
  <si>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</si>
  <si>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</si>
  <si>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</si>
  <si>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</si>
  <si>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</si>
  <si>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</si>
  <si>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</si>
  <si>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</si>
  <si>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</si>
  <si>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</si>
  <si>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</si>
  <si>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</si>
  <si>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</si>
  <si>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</si>
  <si>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</si>
  <si>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</si>
  <si>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</si>
  <si>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</si>
  <si>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</si>
  <si>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</si>
  <si>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</si>
  <si>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</si>
  <si>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</si>
  <si>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</si>
  <si>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</si>
  <si>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</si>
  <si>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</si>
  <si>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</si>
  <si>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</si>
  <si>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</si>
  <si>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</si>
  <si>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</si>
  <si>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</si>
  <si>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</si>
  <si>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</si>
  <si>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</si>
  <si>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</si>
  <si>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</si>
  <si>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</si>
  <si>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</si>
  <si>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</si>
  <si>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</si>
  <si>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</si>
  <si>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</si>
  <si>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</si>
  <si>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</si>
  <si>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</si>
  <si>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</si>
  <si>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</si>
  <si>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</si>
  <si>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</si>
  <si>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</si>
  <si>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</si>
  <si>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</si>
  <si>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</si>
  <si>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</si>
  <si>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</si>
  <si>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</si>
  <si>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</si>
  <si>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</si>
  <si>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</si>
  <si>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</si>
  <si>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</si>
  <si>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</si>
  <si>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</si>
  <si>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</si>
  <si>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</si>
  <si>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</si>
  <si>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</si>
  <si>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</si>
  <si>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</si>
  <si>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</si>
  <si>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</si>
  <si>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</si>
  <si>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</si>
  <si>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</si>
  <si>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</si>
  <si>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</si>
  <si>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</si>
  <si>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</si>
  <si>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</si>
  <si>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</si>
  <si>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</si>
  <si>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</si>
  <si>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</si>
  <si>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</si>
  <si>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</si>
  <si>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</si>
  <si>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</si>
  <si>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</si>
  <si>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</si>
  <si>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</si>
  <si>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</si>
  <si>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</si>
  <si>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</si>
  <si>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</si>
  <si>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</si>
  <si>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</si>
  <si>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</si>
  <si>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</si>
  <si>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</si>
  <si>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</si>
  <si>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</si>
  <si>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</si>
  <si>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</si>
  <si>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</si>
  <si>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</si>
  <si>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</si>
  <si>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</si>
  <si>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</si>
  <si>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</si>
  <si>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</si>
  <si>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</si>
  <si>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</si>
  <si>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</si>
  <si>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</si>
  <si>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</si>
  <si>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</si>
  <si>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</si>
  <si>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</si>
  <si>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</si>
  <si>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</si>
  <si>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</si>
  <si>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</si>
  <si>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</si>
  <si>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</si>
  <si>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</si>
  <si>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</si>
  <si>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</si>
  <si>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</si>
  <si>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</si>
  <si>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</si>
  <si>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</si>
  <si>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</si>
  <si>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</si>
  <si>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</si>
  <si>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</si>
  <si>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</si>
  <si>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</si>
  <si>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</si>
  <si>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</si>
  <si>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</si>
  <si>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</si>
  <si>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</si>
  <si>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</si>
  <si>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</si>
  <si>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</si>
  <si>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</si>
  <si>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</si>
  <si>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</si>
  <si>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</si>
  <si>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</si>
  <si>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</si>
  <si>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</si>
  <si>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</si>
  <si>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</si>
  <si>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</si>
  <si>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</si>
  <si>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</si>
  <si>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</si>
  <si>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</si>
  <si>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</si>
  <si>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</si>
  <si>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</si>
  <si>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</si>
  <si>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</si>
  <si>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</si>
  <si>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</si>
  <si>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</si>
  <si>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</si>
  <si>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</si>
  <si>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</si>
  <si>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</si>
  <si>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</si>
  <si>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</si>
  <si>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</si>
  <si>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</si>
  <si>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</si>
  <si>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</si>
  <si>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</si>
  <si>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</si>
  <si>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</si>
  <si>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</si>
  <si>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</si>
  <si>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</si>
  <si>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</si>
  <si>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</si>
  <si>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</si>
  <si>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</si>
  <si>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</si>
  <si>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</si>
  <si>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</si>
  <si>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</si>
  <si>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</si>
  <si>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</si>
  <si>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</si>
  <si>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</si>
  <si>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</si>
  <si>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</si>
  <si>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</si>
  <si>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</si>
  <si>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</si>
  <si>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</si>
  <si>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</si>
  <si>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</si>
  <si>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</si>
  <si>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</si>
  <si>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</si>
  <si>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</si>
  <si>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</si>
  <si>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</si>
  <si>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</si>
  <si>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</si>
  <si>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</si>
  <si>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</si>
  <si>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</si>
  <si>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</si>
  <si>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</si>
  <si>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</si>
  <si>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</si>
  <si>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</si>
  <si>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</si>
  <si>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</si>
  <si>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</si>
  <si>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</si>
  <si>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</si>
  <si>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</si>
  <si>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</si>
  <si>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</si>
  <si>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</si>
  <si>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</si>
  <si>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</si>
  <si>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</si>
  <si>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</si>
  <si>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</si>
  <si>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</si>
  <si>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</si>
  <si>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</si>
  <si>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</si>
  <si>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</si>
  <si>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</si>
  <si>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</si>
  <si>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</si>
  <si>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</si>
  <si>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</si>
  <si>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</si>
  <si>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</si>
  <si>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</si>
  <si>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</si>
  <si>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</si>
  <si>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</si>
  <si>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</si>
  <si>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</si>
  <si>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</si>
  <si>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</si>
  <si>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</si>
  <si>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</si>
  <si>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</si>
  <si>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</si>
  <si>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</si>
  <si>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</si>
  <si>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</si>
  <si>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</si>
  <si>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</si>
  <si>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</si>
  <si>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</si>
  <si>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</si>
  <si>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</si>
  <si>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</si>
  <si>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</si>
  <si>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</si>
  <si>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</si>
  <si>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</si>
  <si>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</si>
  <si>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</si>
  <si>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</si>
  <si>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</si>
  <si>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</si>
  <si>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</si>
  <si>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</si>
  <si>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</si>
  <si>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</si>
  <si>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</si>
  <si>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</si>
  <si>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</si>
  <si>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</si>
  <si>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</si>
  <si>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</si>
  <si>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</si>
  <si>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</si>
  <si>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</si>
  <si>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</si>
  <si>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</si>
  <si>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</si>
  <si>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</si>
  <si>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</si>
  <si>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</si>
  <si>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</si>
  <si>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</si>
  <si>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</si>
  <si>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</si>
  <si>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</si>
  <si>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</si>
  <si>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</si>
  <si>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</si>
  <si>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</si>
  <si>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</si>
  <si>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</si>
  <si>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</si>
  <si>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</si>
  <si>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</si>
  <si>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</si>
  <si>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</si>
  <si>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</si>
  <si>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</si>
  <si>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</si>
  <si>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</si>
  <si>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</si>
  <si>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</si>
  <si>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</si>
  <si>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</si>
  <si>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</si>
  <si>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</si>
  <si>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</si>
  <si>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</si>
  <si>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</si>
  <si>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</si>
  <si>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</si>
  <si>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</si>
  <si>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</si>
  <si>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</si>
  <si>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</si>
  <si>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</si>
  <si>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</si>
  <si>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</si>
  <si>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</si>
  <si>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</si>
  <si>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</si>
  <si>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</si>
  <si>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</si>
  <si>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</si>
  <si>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</si>
  <si>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</si>
  <si>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</si>
  <si>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</si>
  <si>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</si>
  <si>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</si>
  <si>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</si>
  <si>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</si>
  <si>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</si>
  <si>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</si>
  <si>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</si>
  <si>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</si>
  <si>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</si>
  <si>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</si>
  <si>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</si>
  <si>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</si>
  <si>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</si>
  <si>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</si>
  <si>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</si>
  <si>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</si>
  <si>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</si>
  <si>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</si>
  <si>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</si>
  <si>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</si>
  <si>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</si>
  <si>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</si>
  <si>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</si>
  <si>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</si>
  <si>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</si>
  <si>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</si>
  <si>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</si>
  <si>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</si>
  <si>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</si>
  <si>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</si>
  <si>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</si>
  <si>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</si>
  <si>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</si>
  <si>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</si>
  <si>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</si>
  <si>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</si>
  <si>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</si>
  <si>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</si>
  <si>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</si>
  <si>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</si>
  <si>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</si>
  <si>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</si>
  <si>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</si>
  <si>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</si>
  <si>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</si>
  <si>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</si>
  <si>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</si>
  <si>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</si>
  <si>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</si>
  <si>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</si>
  <si>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</si>
  <si>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</si>
  <si>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</si>
  <si>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</si>
  <si>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</si>
  <si>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</si>
  <si>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</si>
  <si>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</si>
  <si>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</si>
  <si>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</si>
  <si>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</si>
  <si>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</si>
  <si>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</si>
  <si>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</si>
  <si>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</si>
  <si>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</si>
  <si>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</si>
  <si>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</si>
  <si>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</si>
  <si>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</si>
  <si>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</si>
  <si>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</si>
  <si>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</si>
  <si>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</si>
  <si>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</si>
  <si>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</si>
  <si>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</si>
  <si>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</si>
  <si>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</si>
  <si>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</si>
  <si>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</si>
  <si>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</si>
  <si>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</si>
  <si>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</si>
  <si>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</si>
  <si>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</si>
  <si>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</si>
  <si>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</si>
  <si>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</si>
  <si>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</si>
  <si>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</si>
  <si>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</si>
  <si>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</si>
  <si>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</si>
  <si>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</si>
  <si>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</si>
  <si>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</si>
  <si>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</si>
  <si>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</si>
  <si>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</si>
  <si>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</si>
  <si>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</si>
  <si>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</si>
  <si>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</si>
  <si>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</si>
  <si>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</si>
  <si>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</si>
  <si>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</si>
  <si>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</si>
  <si>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</si>
  <si>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</si>
  <si>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</si>
  <si>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</si>
  <si>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</si>
  <si>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</si>
  <si>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</si>
  <si>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</si>
  <si>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</si>
  <si>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</si>
  <si>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</si>
  <si>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</si>
  <si>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</si>
  <si>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</si>
  <si>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</si>
  <si>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</si>
  <si>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</si>
  <si>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</si>
  <si>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</si>
  <si>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</si>
  <si>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</si>
  <si>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</si>
  <si>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</si>
  <si>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</si>
  <si>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</si>
  <si>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</si>
  <si>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</si>
  <si>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</si>
  <si>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</si>
  <si>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</si>
  <si>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</si>
  <si>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</si>
  <si>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</si>
  <si>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</si>
  <si>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</si>
  <si>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</si>
  <si>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</si>
  <si>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</si>
  <si>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</si>
  <si>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</si>
  <si>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</si>
  <si>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</si>
  <si>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</si>
  <si>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</si>
  <si>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</si>
  <si>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</si>
  <si>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</si>
  <si>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</si>
  <si>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</si>
  <si>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</si>
  <si>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</si>
  <si>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</si>
  <si>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</si>
  <si>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</si>
  <si>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</si>
  <si>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</si>
  <si>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</si>
  <si>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</si>
  <si>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</si>
  <si>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</si>
  <si>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</si>
  <si>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</si>
  <si>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</si>
  <si>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</si>
  <si>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</si>
  <si>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</si>
  <si>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</si>
  <si>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</si>
  <si>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</si>
  <si>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</si>
  <si>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</si>
  <si>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</si>
  <si>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</si>
  <si>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</si>
  <si>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</si>
  <si>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</si>
  <si>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</si>
  <si>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</si>
  <si>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</si>
  <si>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</si>
  <si>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</si>
  <si>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</si>
  <si>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</si>
  <si>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</si>
  <si>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</si>
  <si>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</si>
  <si>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</si>
  <si>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</si>
  <si>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</si>
  <si>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</si>
  <si>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</si>
  <si>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</si>
  <si>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</si>
  <si>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</si>
  <si>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</si>
  <si>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</si>
  <si>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</si>
  <si>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</si>
  <si>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</si>
  <si>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</si>
  <si>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</si>
  <si>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</si>
  <si>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</si>
  <si>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</si>
  <si>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</si>
  <si>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</si>
  <si>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</si>
  <si>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</si>
  <si>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</si>
  <si>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</si>
  <si>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</si>
  <si>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</si>
  <si>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</si>
  <si>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</si>
  <si>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</si>
  <si>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</si>
  <si>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</si>
  <si>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</si>
  <si>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</si>
  <si>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</si>
  <si>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</si>
  <si>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</si>
  <si>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</si>
  <si>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</si>
  <si>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</si>
  <si>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</si>
  <si>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</si>
  <si>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</si>
  <si>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</si>
  <si>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</si>
  <si>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</si>
  <si>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</si>
  <si>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</si>
  <si>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</si>
  <si>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</si>
  <si>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</si>
  <si>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</si>
  <si>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</si>
  <si>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</si>
  <si>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</si>
  <si>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</si>
  <si>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</si>
  <si>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</si>
  <si>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</si>
  <si>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</si>
  <si>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</si>
  <si>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</si>
  <si>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</si>
  <si>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</si>
  <si>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</si>
  <si>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</si>
  <si>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</si>
  <si>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</si>
  <si>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</si>
  <si>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</si>
  <si>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</si>
  <si>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</si>
  <si>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</si>
  <si>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</si>
  <si>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</si>
  <si>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</si>
  <si>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</si>
  <si>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</si>
  <si>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</si>
  <si>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</si>
  <si>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</si>
  <si>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</si>
  <si>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</si>
  <si>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</si>
  <si>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</si>
  <si>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</si>
  <si>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</si>
  <si>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</si>
  <si>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</si>
  <si>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</si>
  <si>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</si>
  <si>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</si>
  <si>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</si>
  <si>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</si>
  <si>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</si>
  <si>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</si>
  <si>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</si>
  <si>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</si>
  <si>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</si>
  <si>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</si>
  <si>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</si>
  <si>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</si>
  <si>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</si>
  <si>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</si>
  <si>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</si>
  <si>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</si>
  <si>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</si>
  <si>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</si>
  <si>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</si>
  <si>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</si>
  <si>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</si>
  <si>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</si>
  <si>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</si>
  <si>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</si>
  <si>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</si>
  <si>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</si>
  <si>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</si>
  <si>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</si>
  <si>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</si>
  <si>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</si>
  <si>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</si>
  <si>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</si>
  <si>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</si>
  <si>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</si>
  <si>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</si>
  <si>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</si>
  <si>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</si>
  <si>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</si>
  <si>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</si>
  <si>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</si>
  <si>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</si>
  <si>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</si>
  <si>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</si>
  <si>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</si>
  <si>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</si>
  <si>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</si>
  <si>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</si>
  <si>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</si>
  <si>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</si>
  <si>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</si>
  <si>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</si>
  <si>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</si>
  <si>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</si>
  <si>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</si>
  <si>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</si>
  <si>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</si>
  <si>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</si>
  <si>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</si>
  <si>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</si>
  <si>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</si>
  <si>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</si>
  <si>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</si>
  <si>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</si>
  <si>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</si>
  <si>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</si>
  <si>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</si>
  <si>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</si>
  <si>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</si>
  <si>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</si>
  <si>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</si>
  <si>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</si>
  <si>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</si>
  <si>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</si>
  <si>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</si>
  <si>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</si>
  <si>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</si>
  <si>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</si>
  <si>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</si>
  <si>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</si>
  <si>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</si>
  <si>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</si>
  <si>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</si>
  <si>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</si>
  <si>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</si>
  <si>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</si>
  <si>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</si>
  <si>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</si>
  <si>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</si>
  <si>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</si>
  <si>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</si>
  <si>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</si>
  <si>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</si>
  <si>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</si>
  <si>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</si>
  <si>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</si>
  <si>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</si>
  <si>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</si>
  <si>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</si>
  <si>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</si>
  <si>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</si>
  <si>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</si>
  <si>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</si>
  <si>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</si>
  <si>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</si>
  <si>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</si>
  <si>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</si>
  <si>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</si>
  <si>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</si>
  <si>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</si>
  <si>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</si>
  <si>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</si>
  <si>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</si>
  <si>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</si>
  <si>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</si>
  <si>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</si>
  <si>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</si>
  <si>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</si>
  <si>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</si>
  <si>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</si>
  <si>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</si>
  <si>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</si>
  <si>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</si>
  <si>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</si>
  <si>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</si>
  <si>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</si>
  <si>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</si>
  <si>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</si>
  <si>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</si>
  <si>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</si>
  <si>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</si>
  <si>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</si>
  <si>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</si>
  <si>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</si>
  <si>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</si>
  <si>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</si>
  <si>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</si>
  <si>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</si>
  <si>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</si>
  <si>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</si>
  <si>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</si>
  <si>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</si>
  <si>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</si>
  <si>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</si>
  <si>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</si>
  <si>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</si>
  <si>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</si>
  <si>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</si>
  <si>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</si>
  <si>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</si>
  <si>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</si>
  <si>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</si>
  <si>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</si>
  <si>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</si>
  <si>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</si>
  <si>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</si>
  <si>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</si>
  <si>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</si>
  <si>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</si>
  <si>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</si>
  <si>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</si>
  <si>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</si>
  <si>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</si>
  <si>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</si>
  <si>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</si>
  <si>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</si>
  <si>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</si>
  <si>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</si>
  <si>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</si>
  <si>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</si>
  <si>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</si>
  <si>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</si>
  <si>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</si>
  <si>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</si>
  <si>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</si>
  <si>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</si>
  <si>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</si>
  <si>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</si>
  <si>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</si>
  <si>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</si>
  <si>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</si>
  <si>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</si>
  <si>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</si>
  <si>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</si>
  <si>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</si>
  <si>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</si>
  <si>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</si>
  <si>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</si>
  <si>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</si>
  <si>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</si>
  <si>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</si>
  <si>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</si>
  <si>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</si>
  <si>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</si>
  <si>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</si>
  <si>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</si>
  <si>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</si>
  <si>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</si>
  <si>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</si>
  <si>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</si>
  <si>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</si>
  <si>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</si>
  <si>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</si>
  <si>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</si>
  <si>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</si>
  <si>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</si>
  <si>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</si>
  <si>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</si>
  <si>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</si>
  <si>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</si>
  <si>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</si>
  <si>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</si>
  <si>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</si>
  <si>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</si>
  <si>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</si>
  <si>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</si>
  <si>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</si>
  <si>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</si>
  <si>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</si>
  <si>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</si>
  <si>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</si>
  <si>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</si>
  <si>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</si>
  <si>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</si>
  <si>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</si>
  <si>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</si>
  <si>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</si>
  <si>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</si>
  <si>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</si>
  <si>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</si>
  <si>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</si>
  <si>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</si>
  <si>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</si>
  <si>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</si>
  <si>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</si>
  <si>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</si>
  <si>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</si>
  <si>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</si>
  <si>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</si>
  <si>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</si>
  <si>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</si>
  <si>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</si>
  <si>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</si>
  <si>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</si>
  <si>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</si>
  <si>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</si>
  <si>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</si>
  <si>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</si>
  <si>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</si>
  <si>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</si>
  <si>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</si>
  <si>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</si>
  <si>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</si>
  <si>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</si>
  <si>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</si>
  <si>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</si>
  <si>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</si>
  <si>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</si>
  <si>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</si>
  <si>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</si>
  <si>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</si>
  <si>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</si>
  <si>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</si>
  <si>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</si>
  <si>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</si>
  <si>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</si>
  <si>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</si>
  <si>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</si>
  <si>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</si>
  <si>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</si>
  <si>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</si>
  <si>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</si>
  <si>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</si>
  <si>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</si>
  <si>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</si>
  <si>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</si>
  <si>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</si>
  <si>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</si>
  <si>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</si>
  <si>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</si>
  <si>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</si>
  <si>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</si>
  <si>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</si>
  <si>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</si>
  <si>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</si>
  <si>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</si>
  <si>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</si>
  <si>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</si>
  <si>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</si>
  <si>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</si>
  <si>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</si>
  <si>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</si>
  <si>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</si>
  <si>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</si>
  <si>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</si>
  <si>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</si>
  <si>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</si>
  <si>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</si>
  <si>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</si>
  <si>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</si>
  <si>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</si>
  <si>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</si>
  <si>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</si>
  <si>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</si>
  <si>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</si>
  <si>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</si>
  <si>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</si>
  <si>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</si>
  <si>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</si>
  <si>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</si>
  <si>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</si>
  <si>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</si>
  <si>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</si>
  <si>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</si>
  <si>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</si>
  <si>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</si>
  <si>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</si>
  <si>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</si>
  <si>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</si>
  <si>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</si>
  <si>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</si>
  <si>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</si>
  <si>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</si>
  <si>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</si>
  <si>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</si>
  <si>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</si>
  <si>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</si>
  <si>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</si>
  <si>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</si>
  <si>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</si>
  <si>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</si>
  <si>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</si>
  <si>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</si>
  <si>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</si>
  <si>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</si>
  <si>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</si>
  <si>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</si>
  <si>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</si>
  <si>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</si>
  <si>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</si>
  <si>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</si>
  <si>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</si>
  <si>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</si>
  <si>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</si>
  <si>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</si>
  <si>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</si>
  <si>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</si>
  <si>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</si>
  <si>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</si>
  <si>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</si>
  <si>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</si>
  <si>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</si>
  <si>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</si>
  <si>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</si>
  <si>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</si>
  <si>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</si>
  <si>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</si>
  <si>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</si>
  <si>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</si>
  <si>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</si>
  <si>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</si>
  <si>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</si>
  <si>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</si>
  <si>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</si>
  <si>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</si>
  <si>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</si>
  <si>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</si>
  <si>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</si>
  <si>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</si>
  <si>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</si>
  <si>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</si>
  <si>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</si>
  <si>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</si>
  <si>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</si>
  <si>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</si>
  <si>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</si>
  <si>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</si>
  <si>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</si>
  <si>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</si>
  <si>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</si>
  <si>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</si>
  <si>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</si>
  <si>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</si>
  <si>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</si>
  <si>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</si>
  <si>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</si>
  <si>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</si>
  <si>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</si>
  <si>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</si>
  <si>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</si>
  <si>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</si>
  <si>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</si>
  <si>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</si>
  <si>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</si>
  <si>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</si>
  <si>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</si>
  <si>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</si>
  <si>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</si>
  <si>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</si>
  <si>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</si>
  <si>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</si>
  <si>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</si>
  <si>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</si>
  <si>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</si>
  <si>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</si>
  <si>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</si>
  <si>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</si>
  <si>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</si>
  <si>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</si>
  <si>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</si>
  <si>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</si>
  <si>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</si>
  <si>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</si>
  <si>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</si>
  <si>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</si>
  <si>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</si>
  <si>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</si>
  <si>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</si>
  <si>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</si>
  <si>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</si>
  <si>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</si>
  <si>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</si>
  <si>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</si>
  <si>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</si>
  <si>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</si>
  <si>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</si>
  <si>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</si>
  <si>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</si>
  <si>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</si>
  <si>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</si>
  <si>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</si>
  <si>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</si>
  <si>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</si>
  <si>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</si>
  <si>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</si>
  <si>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</si>
  <si>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</si>
  <si>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</si>
  <si>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</si>
  <si>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</si>
  <si>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</si>
  <si>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</si>
  <si>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</si>
  <si>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</si>
  <si>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</si>
  <si>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</si>
  <si>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</si>
  <si>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</si>
  <si>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</si>
  <si>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</si>
  <si>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</si>
  <si>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</si>
  <si>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</si>
  <si>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</si>
  <si>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</si>
  <si>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</si>
  <si>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</si>
  <si>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</si>
  <si>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</si>
  <si>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</si>
  <si>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</si>
  <si>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</si>
  <si>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</si>
  <si>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</si>
  <si>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</si>
  <si>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</si>
  <si>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</si>
  <si>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</si>
  <si>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</si>
  <si>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</si>
  <si>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</si>
  <si>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</si>
  <si>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</si>
  <si>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</si>
  <si>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</si>
  <si>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</si>
  <si>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</si>
  <si>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</si>
  <si>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</si>
  <si>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</si>
  <si>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</si>
  <si>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</si>
  <si>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</si>
  <si>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</si>
  <si>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</si>
  <si>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</si>
  <si>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</si>
  <si>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</si>
  <si>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</si>
  <si>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</si>
  <si>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</si>
  <si>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</si>
  <si>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</si>
  <si>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</si>
  <si>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</si>
  <si>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</si>
  <si>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</si>
  <si>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</si>
  <si>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</si>
  <si>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</si>
  <si>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</si>
  <si>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</si>
  <si>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</si>
  <si>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</si>
  <si>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</si>
  <si>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</si>
  <si>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</si>
  <si>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</si>
  <si>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</si>
  <si>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</si>
  <si>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</si>
  <si>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</si>
  <si>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</si>
  <si>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</si>
  <si>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</si>
  <si>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</si>
  <si>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</si>
  <si>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</si>
  <si>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</si>
  <si>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</si>
  <si>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</si>
  <si>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</si>
  <si>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</si>
  <si>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</si>
  <si>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</si>
  <si>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</si>
  <si>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</si>
  <si>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</si>
  <si>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</si>
  <si>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</si>
  <si>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</si>
  <si>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</si>
  <si>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</si>
  <si>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</si>
  <si>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</si>
  <si>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</si>
  <si>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</si>
  <si>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</si>
  <si>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</si>
  <si>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</si>
  <si>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</si>
  <si>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</si>
  <si>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</si>
  <si>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</si>
  <si>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</si>
  <si>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</si>
  <si>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</si>
  <si>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</si>
  <si>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</si>
  <si>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</si>
  <si>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</si>
  <si>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</si>
  <si>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</si>
  <si>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</si>
  <si>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</si>
  <si>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</si>
  <si>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</si>
  <si>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</si>
  <si>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</si>
  <si>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</si>
  <si>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</si>
  <si>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</si>
  <si>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</si>
  <si>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</si>
  <si>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</si>
  <si>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</si>
  <si>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</si>
  <si>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</si>
  <si>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</si>
  <si>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</si>
  <si>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</si>
  <si>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</si>
  <si>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</si>
  <si>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</si>
  <si>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</si>
  <si>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</si>
  <si>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</si>
  <si>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</si>
  <si>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</si>
  <si>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</si>
  <si>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</si>
  <si>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</si>
  <si>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</si>
  <si>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</si>
  <si>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</si>
  <si>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</si>
  <si>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</si>
  <si>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</si>
  <si>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</si>
  <si>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</si>
  <si>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</si>
  <si>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</si>
  <si>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</si>
  <si>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</si>
  <si>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</si>
  <si>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</si>
  <si>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</si>
  <si>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</si>
  <si>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</si>
  <si>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</si>
  <si>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</si>
  <si>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</si>
  <si>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</si>
  <si>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</si>
  <si>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</si>
  <si>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</si>
  <si>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</si>
  <si>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</si>
  <si>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</si>
  <si>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</si>
  <si>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</si>
  <si>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</si>
  <si>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</si>
  <si>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</si>
  <si>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</si>
  <si>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</si>
  <si>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</si>
  <si>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</si>
  <si>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</si>
  <si>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</si>
  <si>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</si>
  <si>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</si>
  <si>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</si>
  <si>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</si>
  <si>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</si>
  <si>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</si>
  <si>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</si>
  <si>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</si>
  <si>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</si>
  <si>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</si>
  <si>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</si>
  <si>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</si>
  <si>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</si>
  <si>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</si>
  <si>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</si>
  <si>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</si>
  <si>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</si>
  <si>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</si>
  <si>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</si>
  <si>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</si>
  <si>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</si>
  <si>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</si>
  <si>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</si>
  <si>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</si>
  <si>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</si>
  <si>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</si>
  <si>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</si>
  <si>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</si>
  <si>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</si>
  <si>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</si>
  <si>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</si>
  <si>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</si>
  <si>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</si>
  <si>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</si>
  <si>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</si>
  <si>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</si>
  <si>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</si>
  <si>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</si>
  <si>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</si>
  <si>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</si>
  <si>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</si>
  <si>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</si>
  <si>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</si>
  <si>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</si>
  <si>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</si>
  <si>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</si>
  <si>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</si>
  <si>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</si>
  <si>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</si>
  <si>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</si>
  <si>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</si>
  <si>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</si>
  <si>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</si>
  <si>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</si>
  <si>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</si>
  <si>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</si>
  <si>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</si>
  <si>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</si>
  <si>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</si>
  <si>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</si>
  <si>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</si>
  <si>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</si>
  <si>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</si>
  <si>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</si>
  <si>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</si>
  <si>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</si>
  <si>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</si>
  <si>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</si>
  <si>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</si>
  <si>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</si>
  <si>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</si>
  <si>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</si>
  <si>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</si>
  <si>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</si>
  <si>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</si>
  <si>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</si>
  <si>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</si>
  <si>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</si>
  <si>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</si>
  <si>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</si>
  <si>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</si>
  <si>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</si>
  <si>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</si>
  <si>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</si>
  <si>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</si>
  <si>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</si>
  <si>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</si>
  <si>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</si>
  <si>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</si>
  <si>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</si>
  <si>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</si>
  <si>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</si>
  <si>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</si>
  <si>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</si>
  <si>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</si>
  <si>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</si>
  <si>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</si>
  <si>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</si>
  <si>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</si>
  <si>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</si>
  <si>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</si>
  <si>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</si>
  <si>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</si>
  <si>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</si>
  <si>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</si>
  <si>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</si>
  <si>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</si>
  <si>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</si>
  <si>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</si>
  <si>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</si>
  <si>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</si>
  <si>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</si>
  <si>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</si>
  <si>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</si>
  <si>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</si>
  <si>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</si>
  <si>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</si>
  <si>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</si>
  <si>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</si>
  <si>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</si>
  <si>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</si>
  <si>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</si>
  <si>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</si>
  <si>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</si>
  <si>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</si>
  <si>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</si>
  <si>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</si>
  <si>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</si>
  <si>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</si>
  <si>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</si>
  <si>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</si>
  <si>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</si>
  <si>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</si>
  <si>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</si>
  <si>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</si>
  <si>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</si>
  <si>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</si>
  <si>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</si>
  <si>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</si>
  <si>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</si>
  <si>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</si>
  <si>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</si>
  <si>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</si>
  <si>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</si>
  <si>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</si>
  <si>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</si>
  <si>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</si>
  <si>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</si>
  <si>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</si>
  <si>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</si>
  <si>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</si>
  <si>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</si>
  <si>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</si>
  <si>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</si>
  <si>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</si>
  <si>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</si>
  <si>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</si>
  <si>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</si>
  <si>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</si>
  <si>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</si>
  <si>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</si>
  <si>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</si>
  <si>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</si>
  <si>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</si>
  <si>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</si>
  <si>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</si>
  <si>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</si>
  <si>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</si>
  <si>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</si>
  <si>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</si>
  <si>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</si>
  <si>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</si>
  <si>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</si>
  <si>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</si>
  <si>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</si>
  <si>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</si>
  <si>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</si>
  <si>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</si>
  <si>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</si>
  <si>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</si>
  <si>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</si>
  <si>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</si>
  <si>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</si>
  <si>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</si>
  <si>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</si>
  <si>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</si>
  <si>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</si>
  <si>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</si>
  <si>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</si>
  <si>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</si>
  <si>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</si>
  <si>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</si>
  <si>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</si>
  <si>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</si>
  <si>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</si>
  <si>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</si>
  <si>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</si>
  <si>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</si>
  <si>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</si>
  <si>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</si>
  <si>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</si>
  <si>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</si>
  <si>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</si>
  <si>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</si>
  <si>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</si>
  <si>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</si>
  <si>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</si>
  <si>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</si>
  <si>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</si>
  <si>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</si>
  <si>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</si>
  <si>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</si>
  <si>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</si>
  <si>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</si>
  <si>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</si>
  <si>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</si>
  <si>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</si>
  <si>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</si>
  <si>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</si>
  <si>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</si>
  <si>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</si>
  <si>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</si>
  <si>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</si>
  <si>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</si>
  <si>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</si>
  <si>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</si>
  <si>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</si>
  <si>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</si>
  <si>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</si>
  <si>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</si>
  <si>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</si>
  <si>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</si>
  <si>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</si>
  <si>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</si>
  <si>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</si>
  <si>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</si>
  <si>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</si>
  <si>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</si>
  <si>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</si>
  <si>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</si>
  <si>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</si>
  <si>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</si>
  <si>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</si>
  <si>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</si>
  <si>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</si>
  <si>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</si>
  <si>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</si>
  <si>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</si>
  <si>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</si>
  <si>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</si>
  <si>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</si>
  <si>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</si>
  <si>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</si>
  <si>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</si>
  <si>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</si>
  <si>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</si>
  <si>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</si>
  <si>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</si>
  <si>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</si>
  <si>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</si>
  <si>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</si>
  <si>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</si>
  <si>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</si>
  <si>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</si>
  <si>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</si>
  <si>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</si>
  <si>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</si>
  <si>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</si>
  <si>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</si>
  <si>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</si>
  <si>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</si>
  <si>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</si>
  <si>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</si>
  <si>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</si>
  <si>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</si>
  <si>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</si>
  <si>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</si>
  <si>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</si>
  <si>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</si>
  <si>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</si>
  <si>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</si>
  <si>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</si>
  <si>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</si>
  <si>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</si>
  <si>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</si>
  <si>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</si>
  <si>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</si>
  <si>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</si>
  <si>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</si>
  <si>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</si>
  <si>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</si>
  <si>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</si>
  <si>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</si>
  <si>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</si>
  <si>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</si>
  <si>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</si>
  <si>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</si>
  <si>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</si>
  <si>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</si>
  <si>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</si>
  <si>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</si>
  <si>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</si>
  <si>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</si>
  <si>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</si>
  <si>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</si>
  <si>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</si>
  <si>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</si>
  <si>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</si>
  <si>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</si>
  <si>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</si>
  <si>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</si>
  <si>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</si>
  <si>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</si>
  <si>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</si>
  <si>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</si>
  <si>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</si>
  <si>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</si>
  <si>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</si>
  <si>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</si>
  <si>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</si>
  <si>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</si>
  <si>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</si>
  <si>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</si>
  <si>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</si>
  <si>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</si>
  <si>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</si>
  <si>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</si>
  <si>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</si>
  <si>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</si>
  <si>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</si>
  <si>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</si>
  <si>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</si>
  <si>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</si>
  <si>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</si>
  <si>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</si>
  <si>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</si>
  <si>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</si>
  <si>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</si>
  <si>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</si>
  <si>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</si>
  <si>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</si>
  <si>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</si>
  <si>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</si>
  <si>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</si>
  <si>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</si>
  <si>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</si>
  <si>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</si>
  <si>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</si>
  <si>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</si>
  <si>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</si>
  <si>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</si>
  <si>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</si>
  <si>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</si>
  <si>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</si>
  <si>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</si>
  <si>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</si>
  <si>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</si>
  <si>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April 2010</t>
  </si>
  <si>
    <t>April 2024</t>
  </si>
  <si>
    <t>UNREALIZED CAPITAL GAINS - TRUST</t>
  </si>
  <si>
    <t xml:space="preserve">Food Service expenditures under ESSR Grant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</si>
</sst>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cellStyleXfs>
  <cellXfs count="406">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0" fontId="1" fillId="40" borderId="0" xfId="43" applyFont="1" applyFill="1" applyProtection="1">
      <protection locked="0"/>
    </xf>
    <xf numFmtId="4" fontId="16" fillId="0" borderId="0" xfId="0" applyNumberFormat="1" applyFont="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49" fontId="15" fillId="0" borderId="0" xfId="0" applyNumberFormat="1" applyFont="1" applyAlignment="1" applyProtection="1">
      <alignment horizontal="center"/>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25" zoomScaleNormal="125" workbookViewId="0">
      <selection activeCell="H671" sqref="H671"/>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1628</v>
      </c>
      <c r="I1" s="13"/>
      <c r="J1" s="13"/>
      <c r="K1" s="13"/>
      <c r="L1" s="13"/>
    </row>
    <row r="2" spans="1:14" s="3" customFormat="1" ht="12.4" customHeight="1" x14ac:dyDescent="0.2">
      <c r="A2" s="353" t="s">
        <v>1407</v>
      </c>
      <c r="B2" s="126">
        <f>INDEX('School Tables'!$AH$3:$AH$208,MATCH('DOE25'!A2,'School Tables'!$AJ$3:$AJ$208,0))</f>
        <v>485</v>
      </c>
      <c r="C2" s="126">
        <f>INDEX('School Tables'!$AI$3:$AI$208,MATCH('DOE25'!A2,'School Tables'!$AJ$3:$AJ$208,0))</f>
        <v>485</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4" t="s">
        <v>280</v>
      </c>
      <c r="G6" s="224" t="s">
        <v>281</v>
      </c>
      <c r="H6" s="224" t="s">
        <v>282</v>
      </c>
      <c r="I6" s="224" t="s">
        <v>283</v>
      </c>
      <c r="J6" s="224" t="s">
        <v>284</v>
      </c>
      <c r="K6" s="13"/>
      <c r="L6" s="13"/>
      <c r="M6" s="8"/>
    </row>
    <row r="7" spans="1:14" s="3" customFormat="1" ht="12.4" customHeight="1" x14ac:dyDescent="0.15">
      <c r="A7" s="1" t="s">
        <v>285</v>
      </c>
      <c r="B7" s="7"/>
      <c r="C7" s="7"/>
      <c r="D7" s="7"/>
      <c r="E7" s="7"/>
      <c r="F7" s="224"/>
      <c r="G7" s="225"/>
      <c r="H7" s="224" t="s">
        <v>768</v>
      </c>
      <c r="I7" s="225"/>
      <c r="J7" s="225"/>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611237.06999999995</v>
      </c>
      <c r="G9" s="18"/>
      <c r="H9" s="18"/>
      <c r="I9" s="18"/>
      <c r="J9" s="67">
        <f>SUM(I440)</f>
        <v>0</v>
      </c>
      <c r="K9" s="24" t="s">
        <v>288</v>
      </c>
      <c r="L9" s="24" t="s">
        <v>288</v>
      </c>
      <c r="M9" s="8"/>
      <c r="N9" s="265"/>
    </row>
    <row r="10" spans="1:14" s="3" customFormat="1" ht="12.4" customHeight="1" x14ac:dyDescent="0.15">
      <c r="A10" s="1" t="s">
        <v>562</v>
      </c>
      <c r="B10" s="2" t="s">
        <v>289</v>
      </c>
      <c r="C10" s="6">
        <v>2</v>
      </c>
      <c r="D10" s="2" t="s">
        <v>428</v>
      </c>
      <c r="E10" s="6">
        <v>110</v>
      </c>
      <c r="F10" s="18"/>
      <c r="G10" s="18"/>
      <c r="H10" s="18"/>
      <c r="I10" s="18"/>
      <c r="J10" s="67">
        <f>SUM(I441)</f>
        <v>486749.34</v>
      </c>
      <c r="K10" s="24" t="s">
        <v>288</v>
      </c>
      <c r="L10" s="24" t="s">
        <v>288</v>
      </c>
      <c r="M10" s="8"/>
      <c r="N10" s="265"/>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4" customHeight="1" x14ac:dyDescent="0.15">
      <c r="A12" s="1" t="s">
        <v>564</v>
      </c>
      <c r="B12" s="2" t="s">
        <v>289</v>
      </c>
      <c r="C12" s="6">
        <v>4</v>
      </c>
      <c r="D12" s="2" t="s">
        <v>428</v>
      </c>
      <c r="E12" s="6">
        <v>130</v>
      </c>
      <c r="F12" s="18">
        <v>4200</v>
      </c>
      <c r="G12" s="18">
        <v>315368</v>
      </c>
      <c r="H12" s="18"/>
      <c r="I12" s="18"/>
      <c r="J12" s="67">
        <f>SUM(I442)</f>
        <v>0</v>
      </c>
      <c r="K12" s="24" t="s">
        <v>288</v>
      </c>
      <c r="L12" s="24" t="s">
        <v>288</v>
      </c>
      <c r="M12" s="8"/>
      <c r="N12" s="265"/>
    </row>
    <row r="13" spans="1:14" s="3" customFormat="1" ht="12.4" customHeight="1" x14ac:dyDescent="0.15">
      <c r="A13" s="1" t="s">
        <v>604</v>
      </c>
      <c r="B13" s="2" t="s">
        <v>289</v>
      </c>
      <c r="C13" s="6">
        <v>5</v>
      </c>
      <c r="D13" s="2" t="s">
        <v>428</v>
      </c>
      <c r="E13" s="6">
        <v>140</v>
      </c>
      <c r="F13" s="18">
        <v>5506.06</v>
      </c>
      <c r="G13" s="18"/>
      <c r="H13" s="18">
        <v>319589.78999999998</v>
      </c>
      <c r="I13" s="18"/>
      <c r="J13" s="67">
        <f>SUM(I443)</f>
        <v>0</v>
      </c>
      <c r="K13" s="24" t="s">
        <v>288</v>
      </c>
      <c r="L13" s="24" t="s">
        <v>288</v>
      </c>
      <c r="M13" s="8"/>
      <c r="N13" s="265"/>
    </row>
    <row r="14" spans="1:14" s="3" customFormat="1" ht="12.4" customHeight="1" x14ac:dyDescent="0.15">
      <c r="A14" s="1" t="s">
        <v>565</v>
      </c>
      <c r="B14" s="2" t="s">
        <v>289</v>
      </c>
      <c r="C14" s="6">
        <v>6</v>
      </c>
      <c r="D14" s="2" t="s">
        <v>428</v>
      </c>
      <c r="E14" s="6">
        <v>150</v>
      </c>
      <c r="F14" s="18">
        <v>48818.95</v>
      </c>
      <c r="G14" s="18"/>
      <c r="H14" s="18"/>
      <c r="I14" s="18"/>
      <c r="J14" s="67">
        <f>SUM(I444)</f>
        <v>0</v>
      </c>
      <c r="K14" s="24" t="s">
        <v>288</v>
      </c>
      <c r="L14" s="24" t="s">
        <v>288</v>
      </c>
      <c r="M14" s="8"/>
      <c r="N14" s="265"/>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4" customHeight="1" x14ac:dyDescent="0.15">
      <c r="A16" s="1" t="s">
        <v>566</v>
      </c>
      <c r="B16" s="2" t="s">
        <v>289</v>
      </c>
      <c r="C16" s="6">
        <v>8</v>
      </c>
      <c r="D16" s="2" t="s">
        <v>428</v>
      </c>
      <c r="E16" s="6">
        <v>170</v>
      </c>
      <c r="F16" s="18"/>
      <c r="G16" s="18">
        <v>4755.47</v>
      </c>
      <c r="H16" s="18"/>
      <c r="I16" s="18"/>
      <c r="J16" s="24" t="s">
        <v>288</v>
      </c>
      <c r="K16" s="24" t="s">
        <v>288</v>
      </c>
      <c r="L16" s="24" t="s">
        <v>288</v>
      </c>
      <c r="M16" s="8"/>
      <c r="N16" s="265"/>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4" customHeight="1" thickTop="1" x14ac:dyDescent="0.15">
      <c r="A19" s="38" t="s">
        <v>404</v>
      </c>
      <c r="B19" s="39" t="s">
        <v>289</v>
      </c>
      <c r="C19" s="40">
        <v>11</v>
      </c>
      <c r="D19" s="39" t="s">
        <v>428</v>
      </c>
      <c r="E19" s="39"/>
      <c r="F19" s="41">
        <f>SUM(F9:F18)</f>
        <v>669762.07999999996</v>
      </c>
      <c r="G19" s="41">
        <f>SUM(G9:G18)</f>
        <v>320123.46999999997</v>
      </c>
      <c r="H19" s="41">
        <f>SUM(H9:H18)</f>
        <v>319589.78999999998</v>
      </c>
      <c r="I19" s="41">
        <f>SUM(I9:I18)</f>
        <v>0</v>
      </c>
      <c r="J19" s="41">
        <f>SUM(J9:J18)</f>
        <v>486749.34</v>
      </c>
      <c r="K19" s="45" t="s">
        <v>288</v>
      </c>
      <c r="L19" s="45" t="s">
        <v>288</v>
      </c>
      <c r="M19" s="8"/>
      <c r="N19" s="265"/>
    </row>
    <row r="20" spans="1:14" s="3" customFormat="1" ht="12.4" customHeight="1" x14ac:dyDescent="0.15">
      <c r="A20" s="1" t="s">
        <v>454</v>
      </c>
      <c r="C20" s="159"/>
      <c r="F20" s="13"/>
      <c r="G20" s="13"/>
      <c r="H20" s="13"/>
      <c r="I20" s="13"/>
      <c r="J20" s="13"/>
      <c r="K20" s="13"/>
      <c r="L20" s="13"/>
      <c r="M20" s="8"/>
      <c r="N20" s="265"/>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4" customHeight="1" x14ac:dyDescent="0.15">
      <c r="A22" s="1" t="s">
        <v>569</v>
      </c>
      <c r="B22" s="2" t="s">
        <v>289</v>
      </c>
      <c r="C22" s="6">
        <v>12</v>
      </c>
      <c r="D22" s="2" t="s">
        <v>429</v>
      </c>
      <c r="E22" s="6">
        <v>400</v>
      </c>
      <c r="F22" s="18"/>
      <c r="G22" s="18"/>
      <c r="H22" s="18">
        <v>319567.53000000003</v>
      </c>
      <c r="I22" s="18"/>
      <c r="J22" s="67">
        <f>SUM(I449)</f>
        <v>0</v>
      </c>
      <c r="K22" s="24" t="s">
        <v>288</v>
      </c>
      <c r="L22" s="24" t="s">
        <v>288</v>
      </c>
      <c r="M22" s="8"/>
      <c r="N22" s="265"/>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4" customHeight="1" x14ac:dyDescent="0.15">
      <c r="A24" s="1" t="s">
        <v>570</v>
      </c>
      <c r="B24" s="2" t="s">
        <v>289</v>
      </c>
      <c r="C24" s="6">
        <v>14</v>
      </c>
      <c r="D24" s="2" t="s">
        <v>429</v>
      </c>
      <c r="E24" s="6">
        <v>420</v>
      </c>
      <c r="F24" s="18">
        <v>125893.06</v>
      </c>
      <c r="G24" s="18">
        <v>4070.59</v>
      </c>
      <c r="H24" s="18">
        <v>22.26</v>
      </c>
      <c r="I24" s="18"/>
      <c r="J24" s="67">
        <f>SUM(I451)</f>
        <v>0</v>
      </c>
      <c r="K24" s="24" t="s">
        <v>288</v>
      </c>
      <c r="L24" s="24" t="s">
        <v>288</v>
      </c>
      <c r="M24" s="8"/>
      <c r="N24" s="265"/>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4" customHeight="1" x14ac:dyDescent="0.15">
      <c r="A28" s="1" t="s">
        <v>573</v>
      </c>
      <c r="B28" s="2" t="s">
        <v>289</v>
      </c>
      <c r="C28" s="6">
        <v>18</v>
      </c>
      <c r="D28" s="2" t="s">
        <v>429</v>
      </c>
      <c r="E28" s="6">
        <v>460</v>
      </c>
      <c r="F28" s="18">
        <v>53802.8</v>
      </c>
      <c r="G28" s="18">
        <v>395.86</v>
      </c>
      <c r="H28" s="18"/>
      <c r="I28" s="18"/>
      <c r="J28" s="24" t="s">
        <v>288</v>
      </c>
      <c r="K28" s="24" t="s">
        <v>288</v>
      </c>
      <c r="L28" s="24" t="s">
        <v>288</v>
      </c>
      <c r="M28" s="8"/>
      <c r="N28" s="265"/>
    </row>
    <row r="29" spans="1:14" s="3" customFormat="1" ht="12.4" customHeight="1" x14ac:dyDescent="0.15">
      <c r="A29" s="1" t="s">
        <v>575</v>
      </c>
      <c r="B29" s="2" t="s">
        <v>289</v>
      </c>
      <c r="C29" s="6">
        <v>19</v>
      </c>
      <c r="D29" s="2" t="s">
        <v>429</v>
      </c>
      <c r="E29" s="6">
        <v>470</v>
      </c>
      <c r="F29" s="18">
        <f>3819.85+5134.34</f>
        <v>8954.19</v>
      </c>
      <c r="G29" s="18"/>
      <c r="H29" s="18"/>
      <c r="I29" s="18"/>
      <c r="J29" s="24" t="s">
        <v>288</v>
      </c>
      <c r="K29" s="24" t="s">
        <v>288</v>
      </c>
      <c r="L29" s="24" t="s">
        <v>288</v>
      </c>
      <c r="M29" s="8"/>
      <c r="N29" s="265"/>
    </row>
    <row r="30" spans="1:14" s="3" customFormat="1" ht="12.4" customHeight="1" x14ac:dyDescent="0.15">
      <c r="A30" s="1" t="s">
        <v>576</v>
      </c>
      <c r="B30" s="2" t="s">
        <v>289</v>
      </c>
      <c r="C30" s="6">
        <v>20</v>
      </c>
      <c r="D30" s="2" t="s">
        <v>429</v>
      </c>
      <c r="E30" s="6">
        <v>480</v>
      </c>
      <c r="F30" s="18"/>
      <c r="G30" s="18">
        <v>4443.47</v>
      </c>
      <c r="H30" s="18"/>
      <c r="I30" s="18"/>
      <c r="J30" s="24" t="s">
        <v>288</v>
      </c>
      <c r="K30" s="24" t="s">
        <v>288</v>
      </c>
      <c r="L30" s="24" t="s">
        <v>288</v>
      </c>
      <c r="M30" s="8"/>
      <c r="N30" s="265"/>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4" customHeight="1" thickTop="1" x14ac:dyDescent="0.15">
      <c r="A32" s="38" t="s">
        <v>406</v>
      </c>
      <c r="B32" s="39" t="s">
        <v>289</v>
      </c>
      <c r="C32" s="40">
        <v>22</v>
      </c>
      <c r="D32" s="39" t="s">
        <v>429</v>
      </c>
      <c r="E32" s="39"/>
      <c r="F32" s="41">
        <f>SUM(F22:F31)</f>
        <v>188650.05</v>
      </c>
      <c r="G32" s="41">
        <f>SUM(G22:G31)</f>
        <v>8909.92</v>
      </c>
      <c r="H32" s="41">
        <f>SUM(H22:H31)</f>
        <v>319589.79000000004</v>
      </c>
      <c r="I32" s="41">
        <f>SUM(I22:I31)</f>
        <v>0</v>
      </c>
      <c r="J32" s="41">
        <f>SUM(J22:J31)</f>
        <v>0</v>
      </c>
      <c r="K32" s="45" t="s">
        <v>288</v>
      </c>
      <c r="L32" s="45" t="s">
        <v>288</v>
      </c>
      <c r="M32" s="8"/>
      <c r="N32" s="265"/>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4" customHeight="1" x14ac:dyDescent="0.15">
      <c r="A35" s="1" t="s">
        <v>577</v>
      </c>
      <c r="B35" s="6">
        <v>1</v>
      </c>
      <c r="C35" s="6">
        <v>23</v>
      </c>
      <c r="D35" s="2" t="s">
        <v>653</v>
      </c>
      <c r="E35" s="6">
        <v>751</v>
      </c>
      <c r="F35" s="18"/>
      <c r="G35" s="18">
        <v>4755.47</v>
      </c>
      <c r="H35" s="18"/>
      <c r="I35" s="18"/>
      <c r="J35" s="24" t="s">
        <v>288</v>
      </c>
      <c r="K35" s="24" t="s">
        <v>288</v>
      </c>
      <c r="L35" s="24" t="s">
        <v>288</v>
      </c>
      <c r="M35" s="8"/>
      <c r="N35" s="265"/>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4" customHeight="1" x14ac:dyDescent="0.15">
      <c r="A40" s="1" t="s">
        <v>860</v>
      </c>
      <c r="B40" s="6">
        <v>1</v>
      </c>
      <c r="C40" s="6">
        <v>27</v>
      </c>
      <c r="D40" s="2"/>
      <c r="E40" s="6"/>
      <c r="F40" s="24" t="s">
        <v>288</v>
      </c>
      <c r="G40" s="18">
        <v>306458.08</v>
      </c>
      <c r="H40" s="24" t="s">
        <v>288</v>
      </c>
      <c r="I40" s="24" t="s">
        <v>288</v>
      </c>
      <c r="J40" s="24" t="s">
        <v>288</v>
      </c>
      <c r="K40" s="24" t="s">
        <v>288</v>
      </c>
      <c r="L40" s="24" t="s">
        <v>288</v>
      </c>
      <c r="M40" s="8"/>
      <c r="N40" s="265"/>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4"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4" customHeight="1" x14ac:dyDescent="0.15">
      <c r="A48" s="1" t="s">
        <v>839</v>
      </c>
      <c r="B48" s="2" t="s">
        <v>289</v>
      </c>
      <c r="C48" s="6">
        <v>33</v>
      </c>
      <c r="D48" s="2" t="s">
        <v>653</v>
      </c>
      <c r="E48" s="6">
        <v>760</v>
      </c>
      <c r="F48" s="18">
        <v>4804.1099999999997</v>
      </c>
      <c r="G48" s="18"/>
      <c r="H48" s="18"/>
      <c r="I48" s="18"/>
      <c r="J48" s="13">
        <f>SUM(I460)</f>
        <v>486749.34</v>
      </c>
      <c r="K48" s="24" t="s">
        <v>288</v>
      </c>
      <c r="L48" s="24" t="s">
        <v>288</v>
      </c>
      <c r="M48" s="8"/>
      <c r="N48" s="265"/>
    </row>
    <row r="49" spans="1:14" s="3" customFormat="1" ht="12.4" customHeight="1" x14ac:dyDescent="0.15">
      <c r="A49" s="1" t="s">
        <v>859</v>
      </c>
      <c r="B49" s="2" t="s">
        <v>289</v>
      </c>
      <c r="C49" s="6">
        <v>34</v>
      </c>
      <c r="D49" s="2"/>
      <c r="E49" s="6">
        <v>753</v>
      </c>
      <c r="F49" s="18">
        <v>67828.92</v>
      </c>
      <c r="G49" s="18"/>
      <c r="H49" s="18"/>
      <c r="I49" s="18"/>
      <c r="J49" s="13">
        <f>I455</f>
        <v>0</v>
      </c>
      <c r="K49" s="24"/>
      <c r="L49" s="24"/>
      <c r="M49" s="8"/>
      <c r="N49" s="265"/>
    </row>
    <row r="50" spans="1:14" s="3" customFormat="1" ht="12.4" customHeight="1" thickBot="1" x14ac:dyDescent="0.2">
      <c r="A50" s="29" t="s">
        <v>840</v>
      </c>
      <c r="B50" s="2" t="s">
        <v>289</v>
      </c>
      <c r="C50" s="71">
        <v>35</v>
      </c>
      <c r="D50" s="2" t="s">
        <v>653</v>
      </c>
      <c r="E50" s="6">
        <v>770</v>
      </c>
      <c r="F50" s="18">
        <v>408479</v>
      </c>
      <c r="G50" s="24" t="s">
        <v>288</v>
      </c>
      <c r="H50" s="24" t="s">
        <v>288</v>
      </c>
      <c r="I50" s="24" t="s">
        <v>288</v>
      </c>
      <c r="J50" s="24" t="s">
        <v>288</v>
      </c>
      <c r="K50" s="24" t="s">
        <v>288</v>
      </c>
      <c r="L50" s="24" t="s">
        <v>288</v>
      </c>
      <c r="M50" s="8"/>
      <c r="N50" s="265"/>
    </row>
    <row r="51" spans="1:14" ht="12.4" customHeight="1" thickTop="1" thickBot="1" x14ac:dyDescent="0.25">
      <c r="A51" s="38" t="s">
        <v>407</v>
      </c>
      <c r="B51" s="39" t="s">
        <v>289</v>
      </c>
      <c r="C51" s="51">
        <v>36</v>
      </c>
      <c r="D51" s="39" t="s">
        <v>653</v>
      </c>
      <c r="E51" s="39"/>
      <c r="F51" s="41">
        <f>SUM(F35:F50)</f>
        <v>481112.03</v>
      </c>
      <c r="G51" s="41">
        <f>SUM(G35:G50)</f>
        <v>311213.55</v>
      </c>
      <c r="H51" s="41">
        <f>SUM(H35:H50)</f>
        <v>0</v>
      </c>
      <c r="I51" s="41">
        <f>SUM(I35:I50)</f>
        <v>0</v>
      </c>
      <c r="J51" s="41">
        <f>SUM(J35:J50)</f>
        <v>486749.34</v>
      </c>
      <c r="K51" s="45" t="s">
        <v>288</v>
      </c>
      <c r="L51" s="45" t="s">
        <v>288</v>
      </c>
      <c r="N51" s="263"/>
    </row>
    <row r="52" spans="1:14" s="3" customFormat="1" ht="12.4" customHeight="1" thickTop="1" x14ac:dyDescent="0.15">
      <c r="A52" s="38" t="s">
        <v>455</v>
      </c>
      <c r="B52" s="39" t="s">
        <v>289</v>
      </c>
      <c r="C52" s="6">
        <v>37</v>
      </c>
      <c r="D52" s="39" t="s">
        <v>653</v>
      </c>
      <c r="E52" s="39"/>
      <c r="F52" s="41">
        <f>F51+F32</f>
        <v>669762.08000000007</v>
      </c>
      <c r="G52" s="41">
        <f>G51+G32</f>
        <v>320123.46999999997</v>
      </c>
      <c r="H52" s="41">
        <f>H51+H32</f>
        <v>319589.79000000004</v>
      </c>
      <c r="I52" s="41">
        <f>I51+I32</f>
        <v>0</v>
      </c>
      <c r="J52" s="41">
        <f>J51+J32</f>
        <v>486749.34</v>
      </c>
      <c r="K52" s="45" t="s">
        <v>288</v>
      </c>
      <c r="L52" s="45" t="s">
        <v>288</v>
      </c>
      <c r="M52" s="8"/>
      <c r="N52" s="265"/>
    </row>
    <row r="53" spans="1:14" s="3" customFormat="1" ht="12.4" customHeight="1" x14ac:dyDescent="0.2">
      <c r="A53"/>
      <c r="B53"/>
      <c r="C53"/>
      <c r="D53"/>
      <c r="E53"/>
      <c r="F53" s="23" t="s">
        <v>273</v>
      </c>
      <c r="G53" s="23" t="s">
        <v>274</v>
      </c>
      <c r="H53" s="23" t="s">
        <v>275</v>
      </c>
      <c r="I53" s="23" t="s">
        <v>276</v>
      </c>
      <c r="J53" s="23" t="s">
        <v>277</v>
      </c>
      <c r="K53" s="20"/>
      <c r="L53" s="20"/>
      <c r="M53" s="8"/>
      <c r="N53" s="265"/>
    </row>
    <row r="54" spans="1:14" s="3" customFormat="1" ht="12.4" customHeight="1" x14ac:dyDescent="0.2">
      <c r="A54" s="1" t="s">
        <v>305</v>
      </c>
      <c r="F54" s="23"/>
      <c r="G54" s="23"/>
      <c r="H54" s="23" t="s">
        <v>282</v>
      </c>
      <c r="I54" s="23"/>
      <c r="J54" s="23"/>
      <c r="K54" s="20"/>
      <c r="L54" s="20"/>
      <c r="M54" s="8"/>
      <c r="N54" s="265"/>
    </row>
    <row r="55" spans="1:14" s="3" customFormat="1" ht="12.4" customHeight="1" x14ac:dyDescent="0.2">
      <c r="A55" s="28" t="s">
        <v>307</v>
      </c>
      <c r="E55" s="6"/>
      <c r="F55" s="16" t="s">
        <v>280</v>
      </c>
      <c r="G55" s="16" t="s">
        <v>281</v>
      </c>
      <c r="H55" s="16" t="s">
        <v>768</v>
      </c>
      <c r="I55" s="16" t="s">
        <v>283</v>
      </c>
      <c r="J55" s="16" t="s">
        <v>284</v>
      </c>
      <c r="K55" s="20"/>
      <c r="L55" s="20"/>
      <c r="M55" s="8"/>
      <c r="N55" s="265"/>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4" customHeight="1" x14ac:dyDescent="0.15">
      <c r="A57" s="1" t="s">
        <v>511</v>
      </c>
      <c r="B57" s="2" t="s">
        <v>309</v>
      </c>
      <c r="C57" s="6">
        <v>1</v>
      </c>
      <c r="D57" s="2" t="s">
        <v>430</v>
      </c>
      <c r="E57" s="6">
        <v>1111</v>
      </c>
      <c r="F57" s="18">
        <v>11169383</v>
      </c>
      <c r="G57" s="18"/>
      <c r="H57" s="18"/>
      <c r="I57" s="18"/>
      <c r="J57" s="18"/>
      <c r="K57" s="24" t="s">
        <v>288</v>
      </c>
      <c r="L57" s="24" t="s">
        <v>288</v>
      </c>
      <c r="M57" s="8"/>
      <c r="N57" s="265"/>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4" customHeight="1" thickTop="1" x14ac:dyDescent="0.15">
      <c r="A60" s="38" t="s">
        <v>408</v>
      </c>
      <c r="B60" s="39" t="s">
        <v>309</v>
      </c>
      <c r="C60" s="40">
        <v>4</v>
      </c>
      <c r="D60" s="39" t="s">
        <v>430</v>
      </c>
      <c r="E60" s="40">
        <v>1100</v>
      </c>
      <c r="F60" s="41">
        <f>SUM(F57:F59)</f>
        <v>11169383</v>
      </c>
      <c r="G60" s="41">
        <f>SUM(G57:G59)</f>
        <v>0</v>
      </c>
      <c r="H60" s="41">
        <f>SUM(H57:H59)</f>
        <v>0</v>
      </c>
      <c r="I60" s="41">
        <f>SUM(I57:I59)</f>
        <v>0</v>
      </c>
      <c r="J60" s="41">
        <f>SUM(J57:J59)</f>
        <v>0</v>
      </c>
      <c r="K60" s="45" t="s">
        <v>288</v>
      </c>
      <c r="L60" s="45" t="s">
        <v>288</v>
      </c>
      <c r="M60" s="31"/>
      <c r="N60" s="266"/>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4"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4"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4"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4"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4" customHeight="1" x14ac:dyDescent="0.2">
      <c r="A80"/>
      <c r="B80"/>
      <c r="C80" s="32"/>
      <c r="D80" s="32"/>
      <c r="E80" s="32"/>
      <c r="F80" s="23" t="s">
        <v>273</v>
      </c>
      <c r="G80" s="23" t="s">
        <v>274</v>
      </c>
      <c r="H80" s="23" t="s">
        <v>275</v>
      </c>
      <c r="I80" s="23" t="s">
        <v>276</v>
      </c>
      <c r="J80" s="23" t="s">
        <v>277</v>
      </c>
      <c r="K80" s="20"/>
      <c r="L80" s="20"/>
      <c r="M80" s="8"/>
      <c r="N80" s="265"/>
    </row>
    <row r="81" spans="1:14" s="3" customFormat="1" ht="12.4" customHeight="1" x14ac:dyDescent="0.2">
      <c r="A81" s="170" t="s">
        <v>518</v>
      </c>
      <c r="C81" s="23"/>
      <c r="D81" s="23"/>
      <c r="E81" s="23"/>
      <c r="F81" s="23"/>
      <c r="G81" s="23"/>
      <c r="H81" s="23" t="s">
        <v>282</v>
      </c>
      <c r="I81" s="23"/>
      <c r="J81" s="23"/>
      <c r="K81" s="20"/>
      <c r="L81" s="20"/>
      <c r="M81" s="8"/>
      <c r="N81" s="265"/>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4" customHeight="1" x14ac:dyDescent="0.15">
      <c r="A96" s="1" t="s">
        <v>592</v>
      </c>
      <c r="B96" s="2" t="s">
        <v>315</v>
      </c>
      <c r="C96" s="6">
        <v>11</v>
      </c>
      <c r="D96" s="2" t="s">
        <v>430</v>
      </c>
      <c r="E96" s="6">
        <v>1500</v>
      </c>
      <c r="F96" s="18">
        <v>2367.3200000000002</v>
      </c>
      <c r="G96" s="18"/>
      <c r="H96" s="18"/>
      <c r="I96" s="18"/>
      <c r="J96" s="18">
        <f>10482.43+4636.97</f>
        <v>15119.400000000001</v>
      </c>
      <c r="K96" s="24" t="s">
        <v>288</v>
      </c>
      <c r="L96" s="24" t="s">
        <v>288</v>
      </c>
      <c r="M96" s="8"/>
      <c r="N96" s="265"/>
    </row>
    <row r="97" spans="1:14" s="3" customFormat="1" ht="12.4" customHeight="1" x14ac:dyDescent="0.15">
      <c r="A97" s="1" t="s">
        <v>503</v>
      </c>
      <c r="B97" s="2" t="s">
        <v>315</v>
      </c>
      <c r="C97" s="6">
        <v>12</v>
      </c>
      <c r="D97" s="2" t="s">
        <v>430</v>
      </c>
      <c r="E97" s="6">
        <v>1600</v>
      </c>
      <c r="F97" s="24" t="s">
        <v>288</v>
      </c>
      <c r="G97" s="18">
        <v>3580.51</v>
      </c>
      <c r="H97" s="24" t="s">
        <v>288</v>
      </c>
      <c r="I97" s="24" t="s">
        <v>288</v>
      </c>
      <c r="J97" s="24" t="s">
        <v>288</v>
      </c>
      <c r="K97" s="24" t="s">
        <v>288</v>
      </c>
      <c r="L97" s="24" t="s">
        <v>288</v>
      </c>
      <c r="M97" s="8"/>
      <c r="N97" s="265"/>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4" customHeight="1" x14ac:dyDescent="0.15">
      <c r="A102" s="1" t="s">
        <v>506</v>
      </c>
      <c r="B102" s="2" t="s">
        <v>315</v>
      </c>
      <c r="C102" s="6">
        <v>16</v>
      </c>
      <c r="D102" s="2" t="s">
        <v>430</v>
      </c>
      <c r="E102" s="6">
        <v>1920</v>
      </c>
      <c r="F102" s="18">
        <v>11385.16</v>
      </c>
      <c r="G102" s="18">
        <v>61.17</v>
      </c>
      <c r="H102" s="18"/>
      <c r="I102" s="18"/>
      <c r="J102" s="18"/>
      <c r="K102" s="24" t="s">
        <v>288</v>
      </c>
      <c r="L102" s="24" t="s">
        <v>288</v>
      </c>
      <c r="M102" s="8"/>
      <c r="N102" s="265"/>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4" customHeight="1" x14ac:dyDescent="0.15">
      <c r="A109" s="1" t="s">
        <v>509</v>
      </c>
      <c r="B109" s="2" t="s">
        <v>315</v>
      </c>
      <c r="C109" s="6">
        <v>23</v>
      </c>
      <c r="D109" s="2" t="s">
        <v>430</v>
      </c>
      <c r="E109" s="6">
        <v>1980</v>
      </c>
      <c r="F109" s="18">
        <v>124203.96</v>
      </c>
      <c r="G109" s="18"/>
      <c r="H109" s="18"/>
      <c r="I109" s="18"/>
      <c r="J109" s="24" t="s">
        <v>288</v>
      </c>
      <c r="K109" s="24" t="s">
        <v>288</v>
      </c>
      <c r="L109" s="24" t="s">
        <v>288</v>
      </c>
      <c r="M109" s="8"/>
      <c r="N109" s="265"/>
    </row>
    <row r="110" spans="1:14" s="3" customFormat="1" ht="12.4" customHeight="1" thickBot="1" x14ac:dyDescent="0.2">
      <c r="A110" s="1" t="s">
        <v>510</v>
      </c>
      <c r="B110" s="2" t="s">
        <v>315</v>
      </c>
      <c r="C110" s="6">
        <v>24</v>
      </c>
      <c r="D110" s="2" t="s">
        <v>430</v>
      </c>
      <c r="E110" s="6">
        <v>1990</v>
      </c>
      <c r="F110" s="18">
        <v>26.91</v>
      </c>
      <c r="G110" s="18"/>
      <c r="H110" s="18"/>
      <c r="I110" s="18"/>
      <c r="J110" s="18"/>
      <c r="K110" s="24" t="s">
        <v>288</v>
      </c>
      <c r="L110" s="24" t="s">
        <v>288</v>
      </c>
      <c r="M110" s="8"/>
      <c r="N110" s="265"/>
    </row>
    <row r="111" spans="1:14" ht="12.4" customHeight="1" thickTop="1" thickBot="1" x14ac:dyDescent="0.25">
      <c r="A111" s="38" t="s">
        <v>433</v>
      </c>
      <c r="B111" s="39" t="s">
        <v>315</v>
      </c>
      <c r="C111" s="40">
        <v>25</v>
      </c>
      <c r="D111" s="39" t="s">
        <v>430</v>
      </c>
      <c r="E111" s="40"/>
      <c r="F111" s="41">
        <f>SUM(F96:F110)</f>
        <v>137983.35</v>
      </c>
      <c r="G111" s="41">
        <f>SUM(G96:G110)</f>
        <v>3641.6800000000003</v>
      </c>
      <c r="H111" s="41">
        <f>SUM(H96:H110)</f>
        <v>0</v>
      </c>
      <c r="I111" s="41">
        <f>SUM(I96:I110)</f>
        <v>0</v>
      </c>
      <c r="J111" s="41">
        <f>SUM(J96:J110)</f>
        <v>15119.400000000001</v>
      </c>
      <c r="K111" s="45" t="s">
        <v>288</v>
      </c>
      <c r="L111" s="45" t="s">
        <v>288</v>
      </c>
      <c r="N111" s="263"/>
    </row>
    <row r="112" spans="1:14" s="3" customFormat="1" ht="12.4" customHeight="1" thickTop="1" x14ac:dyDescent="0.15">
      <c r="A112" s="38" t="s">
        <v>414</v>
      </c>
      <c r="B112" s="39" t="s">
        <v>315</v>
      </c>
      <c r="C112" s="40">
        <v>26</v>
      </c>
      <c r="D112" s="39" t="s">
        <v>430</v>
      </c>
      <c r="E112" s="40">
        <v>1000</v>
      </c>
      <c r="F112" s="41">
        <f>F60+F79+F94+F111</f>
        <v>11307366.35</v>
      </c>
      <c r="G112" s="41">
        <f>G60+G111</f>
        <v>3641.6800000000003</v>
      </c>
      <c r="H112" s="41">
        <f>H60+H79+H94+H111</f>
        <v>0</v>
      </c>
      <c r="I112" s="41">
        <f>I60+I111</f>
        <v>0</v>
      </c>
      <c r="J112" s="41">
        <f>J60+J111</f>
        <v>15119.400000000001</v>
      </c>
      <c r="K112" s="45" t="s">
        <v>288</v>
      </c>
      <c r="L112" s="45" t="s">
        <v>288</v>
      </c>
      <c r="M112" s="8"/>
      <c r="N112" s="265"/>
    </row>
    <row r="113" spans="1:14" s="3" customFormat="1" ht="12.4" customHeight="1" x14ac:dyDescent="0.2">
      <c r="A113"/>
      <c r="B113"/>
      <c r="C113"/>
      <c r="D113"/>
      <c r="E113"/>
      <c r="F113" s="23" t="s">
        <v>273</v>
      </c>
      <c r="G113" s="23" t="s">
        <v>274</v>
      </c>
      <c r="H113" s="23" t="s">
        <v>275</v>
      </c>
      <c r="I113" s="23" t="s">
        <v>276</v>
      </c>
      <c r="J113" s="23" t="s">
        <v>277</v>
      </c>
      <c r="K113" s="20"/>
      <c r="L113" s="20"/>
      <c r="M113" s="8"/>
      <c r="N113" s="265"/>
    </row>
    <row r="114" spans="1:14" s="3" customFormat="1" ht="12.4" customHeight="1" x14ac:dyDescent="0.2">
      <c r="A114" s="29" t="s">
        <v>319</v>
      </c>
      <c r="H114" s="23" t="s">
        <v>282</v>
      </c>
      <c r="K114" s="20"/>
      <c r="L114" s="20"/>
      <c r="M114" s="8"/>
      <c r="N114" s="265"/>
    </row>
    <row r="115" spans="1:14" s="3" customFormat="1" ht="12.4" customHeight="1" x14ac:dyDescent="0.2">
      <c r="A115" s="28" t="s">
        <v>320</v>
      </c>
      <c r="F115" s="16" t="s">
        <v>280</v>
      </c>
      <c r="G115" s="14" t="s">
        <v>281</v>
      </c>
      <c r="H115" s="16" t="s">
        <v>768</v>
      </c>
      <c r="I115" s="16" t="s">
        <v>283</v>
      </c>
      <c r="J115" s="16" t="s">
        <v>284</v>
      </c>
      <c r="K115" s="20"/>
      <c r="L115" s="20"/>
      <c r="M115" s="8"/>
      <c r="N115" s="265"/>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4" customHeight="1" x14ac:dyDescent="0.15">
      <c r="A117" s="1" t="s">
        <v>833</v>
      </c>
      <c r="B117" s="2" t="s">
        <v>321</v>
      </c>
      <c r="C117" s="6">
        <v>1</v>
      </c>
      <c r="D117" s="2" t="s">
        <v>430</v>
      </c>
      <c r="E117" s="6">
        <v>3111</v>
      </c>
      <c r="F117" s="18">
        <v>1033835.15</v>
      </c>
      <c r="G117" s="24" t="s">
        <v>288</v>
      </c>
      <c r="H117" s="24" t="s">
        <v>288</v>
      </c>
      <c r="I117" s="24" t="s">
        <v>288</v>
      </c>
      <c r="J117" s="24" t="s">
        <v>288</v>
      </c>
      <c r="K117" s="24" t="s">
        <v>288</v>
      </c>
      <c r="L117" s="24" t="s">
        <v>288</v>
      </c>
      <c r="M117" s="8"/>
      <c r="N117" s="265"/>
    </row>
    <row r="118" spans="1:14" s="3" customFormat="1" ht="12.4" customHeight="1" x14ac:dyDescent="0.15">
      <c r="A118" s="1" t="s">
        <v>769</v>
      </c>
      <c r="B118" s="2" t="s">
        <v>321</v>
      </c>
      <c r="C118" s="6">
        <v>2</v>
      </c>
      <c r="D118" s="2" t="s">
        <v>430</v>
      </c>
      <c r="E118" s="6">
        <v>3112</v>
      </c>
      <c r="F118" s="18">
        <v>2347431</v>
      </c>
      <c r="G118" s="24" t="s">
        <v>288</v>
      </c>
      <c r="H118" s="24" t="s">
        <v>288</v>
      </c>
      <c r="I118" s="24" t="s">
        <v>288</v>
      </c>
      <c r="J118" s="24" t="s">
        <v>288</v>
      </c>
      <c r="K118" s="24" t="s">
        <v>288</v>
      </c>
      <c r="L118" s="24" t="s">
        <v>288</v>
      </c>
      <c r="M118" s="8"/>
      <c r="N118" s="265"/>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4"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4" customHeight="1" thickTop="1" x14ac:dyDescent="0.15">
      <c r="A121" s="38" t="s">
        <v>648</v>
      </c>
      <c r="B121" s="39" t="s">
        <v>321</v>
      </c>
      <c r="C121" s="40">
        <v>5</v>
      </c>
      <c r="D121" s="39" t="s">
        <v>430</v>
      </c>
      <c r="E121" s="40">
        <v>3100</v>
      </c>
      <c r="F121" s="41">
        <f>SUM(F117:F120)</f>
        <v>3381266.15</v>
      </c>
      <c r="G121" s="41">
        <f>SUM(G117:G120)</f>
        <v>0</v>
      </c>
      <c r="H121" s="41">
        <f>SUM(H117:H120)</f>
        <v>0</v>
      </c>
      <c r="I121" s="41">
        <f>SUM(I117:I120)</f>
        <v>0</v>
      </c>
      <c r="J121" s="41">
        <f>SUM(J117:J120)</f>
        <v>0</v>
      </c>
      <c r="K121" s="45" t="s">
        <v>288</v>
      </c>
      <c r="L121" s="45" t="s">
        <v>288</v>
      </c>
      <c r="M121" s="8"/>
      <c r="N121" s="265"/>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4" customHeight="1" x14ac:dyDescent="0.15">
      <c r="A123" s="1" t="s">
        <v>496</v>
      </c>
      <c r="B123" s="2" t="s">
        <v>321</v>
      </c>
      <c r="C123" s="6">
        <v>6</v>
      </c>
      <c r="D123" s="2" t="s">
        <v>430</v>
      </c>
      <c r="E123" s="6">
        <v>3210</v>
      </c>
      <c r="F123" s="18">
        <v>37601.86</v>
      </c>
      <c r="G123" s="24" t="s">
        <v>288</v>
      </c>
      <c r="H123" s="24" t="s">
        <v>288</v>
      </c>
      <c r="I123" s="18"/>
      <c r="J123" s="24" t="s">
        <v>288</v>
      </c>
      <c r="K123" s="24" t="s">
        <v>288</v>
      </c>
      <c r="L123" s="24" t="s">
        <v>288</v>
      </c>
      <c r="M123" s="8"/>
      <c r="N123" s="265"/>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4" customHeight="1" x14ac:dyDescent="0.15">
      <c r="A126" s="1" t="s">
        <v>901</v>
      </c>
      <c r="B126" s="2" t="s">
        <v>321</v>
      </c>
      <c r="C126" s="6">
        <v>9</v>
      </c>
      <c r="D126" s="2" t="s">
        <v>430</v>
      </c>
      <c r="E126" s="6">
        <v>3230</v>
      </c>
      <c r="F126" s="18">
        <v>92148.63</v>
      </c>
      <c r="G126" s="24" t="s">
        <v>288</v>
      </c>
      <c r="H126" s="24" t="s">
        <v>288</v>
      </c>
      <c r="I126" s="24" t="s">
        <v>288</v>
      </c>
      <c r="J126" s="24" t="s">
        <v>288</v>
      </c>
      <c r="K126" s="24" t="s">
        <v>288</v>
      </c>
      <c r="L126" s="24" t="s">
        <v>288</v>
      </c>
      <c r="M126" s="8"/>
      <c r="N126" s="265"/>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4"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4" customHeight="1" x14ac:dyDescent="0.15">
      <c r="A132" s="1" t="s">
        <v>498</v>
      </c>
      <c r="B132" s="2" t="s">
        <v>321</v>
      </c>
      <c r="C132" s="6">
        <v>15</v>
      </c>
      <c r="D132" s="2" t="s">
        <v>430</v>
      </c>
      <c r="E132" s="6">
        <v>3260</v>
      </c>
      <c r="F132" s="24" t="s">
        <v>288</v>
      </c>
      <c r="G132" s="18">
        <v>6647.33</v>
      </c>
      <c r="H132" s="24" t="s">
        <v>288</v>
      </c>
      <c r="I132" s="24" t="s">
        <v>288</v>
      </c>
      <c r="J132" s="24" t="s">
        <v>288</v>
      </c>
      <c r="K132" s="24" t="s">
        <v>288</v>
      </c>
      <c r="L132" s="24" t="s">
        <v>288</v>
      </c>
      <c r="M132" s="8"/>
      <c r="N132" s="265"/>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4" customHeight="1" thickTop="1" x14ac:dyDescent="0.15">
      <c r="A136" s="38" t="s">
        <v>434</v>
      </c>
      <c r="B136" s="39" t="s">
        <v>321</v>
      </c>
      <c r="C136" s="40">
        <v>19</v>
      </c>
      <c r="D136" s="39" t="s">
        <v>430</v>
      </c>
      <c r="E136" s="40">
        <v>3200</v>
      </c>
      <c r="F136" s="41">
        <f>SUM(F123:F135)</f>
        <v>129750.49</v>
      </c>
      <c r="G136" s="41">
        <f>SUM(G123:G135)</f>
        <v>6647.33</v>
      </c>
      <c r="H136" s="41">
        <f>SUM(H123:H135)</f>
        <v>0</v>
      </c>
      <c r="I136" s="41">
        <f>SUM(I123:I135)</f>
        <v>0</v>
      </c>
      <c r="J136" s="41">
        <f>SUM(J123:J135)</f>
        <v>0</v>
      </c>
      <c r="K136" s="45" t="s">
        <v>288</v>
      </c>
      <c r="L136" s="45" t="s">
        <v>288</v>
      </c>
      <c r="M136" s="8"/>
      <c r="N136" s="265"/>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4" customHeight="1" thickTop="1" x14ac:dyDescent="0.15">
      <c r="A140" s="38" t="s">
        <v>415</v>
      </c>
      <c r="B140" s="39" t="s">
        <v>321</v>
      </c>
      <c r="C140" s="40">
        <v>23</v>
      </c>
      <c r="D140" s="39" t="s">
        <v>430</v>
      </c>
      <c r="E140" s="40">
        <v>3000</v>
      </c>
      <c r="F140" s="41">
        <f>F121+SUM(F136:F139)</f>
        <v>3511016.64</v>
      </c>
      <c r="G140" s="41">
        <f>G121+SUM(G136:G137)</f>
        <v>6647.33</v>
      </c>
      <c r="H140" s="41">
        <f>H121+SUM(H136:H139)</f>
        <v>0</v>
      </c>
      <c r="I140" s="41">
        <f>I121+I136</f>
        <v>0</v>
      </c>
      <c r="J140" s="41">
        <f>J121+J136</f>
        <v>0</v>
      </c>
      <c r="K140" s="45" t="s">
        <v>288</v>
      </c>
      <c r="L140" s="45" t="s">
        <v>288</v>
      </c>
      <c r="M140" s="8"/>
      <c r="N140" s="265"/>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4" customHeight="1" x14ac:dyDescent="0.2">
      <c r="A142" s="29" t="s">
        <v>319</v>
      </c>
      <c r="F142" s="23"/>
      <c r="G142" s="23"/>
      <c r="H142" s="16" t="s">
        <v>282</v>
      </c>
      <c r="I142" s="23"/>
      <c r="J142" s="23"/>
      <c r="K142" s="20"/>
      <c r="L142" s="20"/>
      <c r="M142" s="8"/>
      <c r="N142" s="265"/>
    </row>
    <row r="143" spans="1:14" s="3" customFormat="1" ht="12.4" customHeight="1" x14ac:dyDescent="0.2">
      <c r="A143" s="28" t="s">
        <v>456</v>
      </c>
      <c r="F143" s="16" t="s">
        <v>280</v>
      </c>
      <c r="G143" s="16" t="s">
        <v>281</v>
      </c>
      <c r="H143" s="223" t="s">
        <v>768</v>
      </c>
      <c r="I143" s="16" t="s">
        <v>283</v>
      </c>
      <c r="J143" s="16" t="s">
        <v>284</v>
      </c>
      <c r="K143" s="20"/>
      <c r="L143" s="20"/>
      <c r="M143" s="8"/>
      <c r="N143" s="265"/>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4" customHeight="1" x14ac:dyDescent="0.15">
      <c r="A154" s="1" t="s">
        <v>646</v>
      </c>
      <c r="B154" s="2" t="s">
        <v>324</v>
      </c>
      <c r="C154" s="6">
        <v>7</v>
      </c>
      <c r="D154" s="2" t="s">
        <v>430</v>
      </c>
      <c r="E154" s="6">
        <v>4520</v>
      </c>
      <c r="F154" s="24" t="s">
        <v>288</v>
      </c>
      <c r="G154" s="24" t="s">
        <v>288</v>
      </c>
      <c r="H154" s="18">
        <v>248465.26</v>
      </c>
      <c r="I154" s="24" t="s">
        <v>288</v>
      </c>
      <c r="J154" s="24" t="s">
        <v>288</v>
      </c>
      <c r="K154" s="24" t="s">
        <v>288</v>
      </c>
      <c r="L154" s="24" t="s">
        <v>288</v>
      </c>
      <c r="M154" s="8"/>
      <c r="N154" s="265"/>
    </row>
    <row r="155" spans="1:14" s="3" customFormat="1" ht="12.4" customHeight="1" x14ac:dyDescent="0.15">
      <c r="A155" s="1" t="s">
        <v>647</v>
      </c>
      <c r="B155" s="2" t="s">
        <v>324</v>
      </c>
      <c r="C155" s="6">
        <v>8</v>
      </c>
      <c r="D155" s="2" t="s">
        <v>430</v>
      </c>
      <c r="E155" s="6">
        <v>4530</v>
      </c>
      <c r="F155" s="24" t="s">
        <v>288</v>
      </c>
      <c r="G155" s="24" t="s">
        <v>288</v>
      </c>
      <c r="H155" s="18">
        <v>73335.98</v>
      </c>
      <c r="I155" s="24" t="s">
        <v>288</v>
      </c>
      <c r="J155" s="24" t="s">
        <v>288</v>
      </c>
      <c r="K155" s="24" t="s">
        <v>288</v>
      </c>
      <c r="L155" s="24" t="s">
        <v>288</v>
      </c>
      <c r="M155" s="8"/>
      <c r="N155" s="265"/>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4"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4" customHeight="1" x14ac:dyDescent="0.15">
      <c r="A158" s="1" t="s">
        <v>490</v>
      </c>
      <c r="B158" s="2" t="s">
        <v>324</v>
      </c>
      <c r="C158" s="6">
        <v>11</v>
      </c>
      <c r="D158" s="2" t="s">
        <v>430</v>
      </c>
      <c r="E158" s="6">
        <v>4560</v>
      </c>
      <c r="F158" s="24" t="s">
        <v>288</v>
      </c>
      <c r="G158" s="18">
        <f>463964.97+20159.93</f>
        <v>484124.89999999997</v>
      </c>
      <c r="H158" s="24" t="s">
        <v>288</v>
      </c>
      <c r="I158" s="24" t="s">
        <v>288</v>
      </c>
      <c r="J158" s="24" t="s">
        <v>288</v>
      </c>
      <c r="K158" s="24" t="s">
        <v>288</v>
      </c>
      <c r="L158" s="24" t="s">
        <v>288</v>
      </c>
      <c r="M158" s="8"/>
      <c r="N158" s="265"/>
    </row>
    <row r="159" spans="1:14" s="3" customFormat="1" ht="12.4" customHeight="1" x14ac:dyDescent="0.15">
      <c r="A159" s="1" t="s">
        <v>486</v>
      </c>
      <c r="B159" s="2" t="s">
        <v>324</v>
      </c>
      <c r="C159" s="6">
        <v>12</v>
      </c>
      <c r="D159" s="2" t="s">
        <v>430</v>
      </c>
      <c r="E159" s="6">
        <v>4570</v>
      </c>
      <c r="F159" s="24" t="s">
        <v>288</v>
      </c>
      <c r="G159" s="24" t="s">
        <v>288</v>
      </c>
      <c r="H159" s="18">
        <v>164671.43</v>
      </c>
      <c r="I159" s="24" t="s">
        <v>288</v>
      </c>
      <c r="J159" s="24" t="s">
        <v>288</v>
      </c>
      <c r="K159" s="24" t="s">
        <v>288</v>
      </c>
      <c r="L159" s="24" t="s">
        <v>288</v>
      </c>
      <c r="M159" s="8"/>
      <c r="N159" s="265"/>
    </row>
    <row r="160" spans="1:14" s="3" customFormat="1" ht="12.4" customHeight="1" x14ac:dyDescent="0.15">
      <c r="A160" s="1" t="s">
        <v>491</v>
      </c>
      <c r="B160" s="2" t="s">
        <v>324</v>
      </c>
      <c r="C160" s="6">
        <v>13</v>
      </c>
      <c r="D160" s="2" t="s">
        <v>430</v>
      </c>
      <c r="E160" s="6">
        <v>4580</v>
      </c>
      <c r="F160" s="18">
        <v>65993.070000000007</v>
      </c>
      <c r="G160" s="24" t="s">
        <v>288</v>
      </c>
      <c r="H160" s="18"/>
      <c r="I160" s="24" t="s">
        <v>288</v>
      </c>
      <c r="J160" s="24" t="s">
        <v>288</v>
      </c>
      <c r="K160" s="24" t="s">
        <v>288</v>
      </c>
      <c r="L160" s="24" t="s">
        <v>288</v>
      </c>
      <c r="M160" s="8"/>
      <c r="N160" s="265"/>
    </row>
    <row r="161" spans="1:14" s="3" customFormat="1" ht="12.4" customHeight="1" x14ac:dyDescent="0.15">
      <c r="A161" s="1" t="s">
        <v>492</v>
      </c>
      <c r="B161" s="2" t="s">
        <v>324</v>
      </c>
      <c r="C161" s="6">
        <v>14</v>
      </c>
      <c r="D161" s="2" t="s">
        <v>430</v>
      </c>
      <c r="E161" s="6">
        <v>4590</v>
      </c>
      <c r="F161" s="18"/>
      <c r="G161" s="18">
        <v>685.21</v>
      </c>
      <c r="H161" s="18"/>
      <c r="I161" s="18"/>
      <c r="J161" s="24" t="s">
        <v>288</v>
      </c>
      <c r="K161" s="24" t="s">
        <v>288</v>
      </c>
      <c r="L161" s="24" t="s">
        <v>288</v>
      </c>
      <c r="M161" s="8"/>
      <c r="N161" s="265"/>
    </row>
    <row r="162" spans="1:14" s="3" customFormat="1" ht="12.4" customHeight="1" thickBot="1" x14ac:dyDescent="0.2">
      <c r="A162" s="322" t="s">
        <v>1596</v>
      </c>
      <c r="B162" s="320">
        <v>5</v>
      </c>
      <c r="C162" s="320">
        <v>15</v>
      </c>
      <c r="D162" s="321"/>
      <c r="E162" s="320">
        <v>4595</v>
      </c>
      <c r="F162" s="18"/>
      <c r="G162" s="18">
        <v>30781.01</v>
      </c>
      <c r="H162" s="18">
        <v>975424.53</v>
      </c>
      <c r="I162" s="24" t="s">
        <v>288</v>
      </c>
      <c r="J162" s="24"/>
      <c r="K162" s="24"/>
      <c r="L162" s="24"/>
      <c r="M162" s="8"/>
      <c r="N162" s="265"/>
    </row>
    <row r="163" spans="1:14" s="3" customFormat="1" ht="12.4" customHeight="1" thickTop="1" x14ac:dyDescent="0.15">
      <c r="A163" s="38" t="s">
        <v>436</v>
      </c>
      <c r="B163" s="39" t="s">
        <v>324</v>
      </c>
      <c r="C163" s="40">
        <v>16</v>
      </c>
      <c r="D163" s="39" t="s">
        <v>430</v>
      </c>
      <c r="E163" s="40"/>
      <c r="F163" s="41">
        <f>SUM(F150:F162)</f>
        <v>65993.070000000007</v>
      </c>
      <c r="G163" s="41">
        <f>SUM(G150:G162)</f>
        <v>515591.12</v>
      </c>
      <c r="H163" s="41">
        <f>SUM(H150:H162)</f>
        <v>1461897.2</v>
      </c>
      <c r="I163" s="41">
        <f>SUM(I150:I162)</f>
        <v>0</v>
      </c>
      <c r="J163" s="45" t="s">
        <v>288</v>
      </c>
      <c r="K163" s="45" t="s">
        <v>288</v>
      </c>
      <c r="L163" s="45" t="s">
        <v>288</v>
      </c>
      <c r="M163" s="8"/>
      <c r="N163" s="265"/>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4"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4" customHeight="1" thickTop="1" x14ac:dyDescent="0.15">
      <c r="A170" s="38" t="s">
        <v>458</v>
      </c>
      <c r="B170" s="39" t="s">
        <v>324</v>
      </c>
      <c r="C170" s="40">
        <v>21</v>
      </c>
      <c r="D170" s="39" t="s">
        <v>430</v>
      </c>
      <c r="E170" s="44">
        <v>4000</v>
      </c>
      <c r="F170" s="41">
        <f>F147+F163+SUM(F164:F169)</f>
        <v>65993.070000000007</v>
      </c>
      <c r="G170" s="41">
        <f>G147+G163+SUM(G164:G169)</f>
        <v>515591.12</v>
      </c>
      <c r="H170" s="41">
        <f>H147+H163+SUM(H164:H169)</f>
        <v>1461897.2</v>
      </c>
      <c r="I170" s="41">
        <f>I147+I163+SUM(I164:I169)</f>
        <v>0</v>
      </c>
      <c r="J170" s="45" t="s">
        <v>288</v>
      </c>
      <c r="K170" s="45" t="s">
        <v>288</v>
      </c>
      <c r="L170" s="45" t="s">
        <v>288</v>
      </c>
      <c r="M170" s="8"/>
      <c r="N170" s="265"/>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4" customHeight="1" x14ac:dyDescent="0.2">
      <c r="A172" s="29" t="s">
        <v>680</v>
      </c>
      <c r="F172" s="23"/>
      <c r="G172" s="23"/>
      <c r="H172" s="16" t="s">
        <v>282</v>
      </c>
      <c r="I172" s="23"/>
      <c r="J172" s="23"/>
      <c r="K172" s="20"/>
      <c r="L172" s="20"/>
      <c r="M172" s="8"/>
      <c r="N172" s="265"/>
    </row>
    <row r="173" spans="1:14" s="3" customFormat="1" ht="12.4"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4"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4" customHeight="1" x14ac:dyDescent="0.15">
      <c r="A182" s="3" t="s">
        <v>526</v>
      </c>
      <c r="B182" s="2" t="s">
        <v>330</v>
      </c>
      <c r="C182" s="6">
        <v>8</v>
      </c>
      <c r="D182" s="2" t="s">
        <v>430</v>
      </c>
      <c r="E182" s="6">
        <v>5222</v>
      </c>
      <c r="F182" s="18"/>
      <c r="G182" s="18">
        <v>3100</v>
      </c>
      <c r="H182" s="24" t="s">
        <v>288</v>
      </c>
      <c r="I182" s="18"/>
      <c r="J182" s="18"/>
      <c r="K182" s="24" t="s">
        <v>288</v>
      </c>
      <c r="L182" s="24" t="s">
        <v>288</v>
      </c>
      <c r="M182" s="8"/>
      <c r="N182" s="265"/>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4" customHeight="1" thickTop="1" x14ac:dyDescent="0.15">
      <c r="A184" s="38" t="s">
        <v>416</v>
      </c>
      <c r="B184" s="39" t="s">
        <v>330</v>
      </c>
      <c r="C184" s="44">
        <v>10</v>
      </c>
      <c r="D184" s="39" t="s">
        <v>430</v>
      </c>
      <c r="E184" s="44">
        <v>5200</v>
      </c>
      <c r="F184" s="41">
        <f>SUM(F180:F183)</f>
        <v>0</v>
      </c>
      <c r="G184" s="41">
        <f>SUM(G180:G183)</f>
        <v>3100</v>
      </c>
      <c r="H184" s="41">
        <f>SUM(H180:H183)</f>
        <v>0</v>
      </c>
      <c r="I184" s="41">
        <f>SUM(I180:I183)</f>
        <v>0</v>
      </c>
      <c r="J184" s="41">
        <f>SUM(J180:J183)</f>
        <v>0</v>
      </c>
      <c r="K184" s="45" t="s">
        <v>288</v>
      </c>
      <c r="L184" s="45" t="s">
        <v>288</v>
      </c>
      <c r="M184" s="8"/>
      <c r="N184" s="265"/>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4"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4" customHeight="1" thickTop="1" thickBot="1" x14ac:dyDescent="0.25">
      <c r="A193" s="38" t="s">
        <v>418</v>
      </c>
      <c r="B193" s="39" t="s">
        <v>330</v>
      </c>
      <c r="C193" s="40">
        <v>18</v>
      </c>
      <c r="D193" s="156" t="s">
        <v>430</v>
      </c>
      <c r="E193" s="51">
        <v>5000</v>
      </c>
      <c r="F193" s="41">
        <f>F178+F184+SUM(F189:F192)</f>
        <v>0</v>
      </c>
      <c r="G193" s="41">
        <f>G184+SUM(G189:G192)</f>
        <v>3100</v>
      </c>
      <c r="H193" s="41">
        <f>+H184+SUM(H189:H192)</f>
        <v>0</v>
      </c>
      <c r="I193" s="41">
        <f>I178+I184+SUM(I189:I192)</f>
        <v>0</v>
      </c>
      <c r="J193" s="41">
        <f>J184</f>
        <v>0</v>
      </c>
      <c r="K193" s="45" t="s">
        <v>288</v>
      </c>
      <c r="L193" s="45" t="s">
        <v>288</v>
      </c>
      <c r="M193" s="8"/>
      <c r="N193" s="265"/>
    </row>
    <row r="194" spans="1:14" s="3" customFormat="1" ht="12.4" customHeight="1" thickTop="1" x14ac:dyDescent="0.2">
      <c r="A194" s="46" t="s">
        <v>457</v>
      </c>
      <c r="B194" s="39" t="s">
        <v>330</v>
      </c>
      <c r="C194" s="40">
        <v>19</v>
      </c>
      <c r="D194" s="157" t="s">
        <v>430</v>
      </c>
      <c r="E194" s="44"/>
      <c r="F194" s="47">
        <f>F112+F140+F170+F193</f>
        <v>14884376.060000001</v>
      </c>
      <c r="G194" s="47">
        <f>G112+G140+G170+G193</f>
        <v>528980.13</v>
      </c>
      <c r="H194" s="47">
        <f>H112+H140+H170+H193</f>
        <v>1461897.2</v>
      </c>
      <c r="I194" s="47">
        <f>I112+I140+I170+I193</f>
        <v>0</v>
      </c>
      <c r="J194" s="47">
        <f>J112+J140+J193</f>
        <v>15119.400000000001</v>
      </c>
      <c r="K194" s="45" t="s">
        <v>288</v>
      </c>
      <c r="L194" s="45" t="s">
        <v>288</v>
      </c>
      <c r="M194" s="8"/>
      <c r="N194" s="265"/>
    </row>
    <row r="195" spans="1:14" s="3" customFormat="1" ht="12.4"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4" customHeight="1" x14ac:dyDescent="0.15">
      <c r="A198" s="1" t="s">
        <v>438</v>
      </c>
      <c r="B198" s="2" t="s">
        <v>341</v>
      </c>
      <c r="C198" s="2" t="s">
        <v>290</v>
      </c>
      <c r="D198" s="2" t="s">
        <v>431</v>
      </c>
      <c r="E198" s="6">
        <v>1100</v>
      </c>
      <c r="F198" s="18">
        <v>4470326.99</v>
      </c>
      <c r="G198" s="18">
        <v>2192140.61</v>
      </c>
      <c r="H198" s="18">
        <v>33362.379999999997</v>
      </c>
      <c r="I198" s="18">
        <f>113172+1035.24+2.46</f>
        <v>114209.70000000001</v>
      </c>
      <c r="J198" s="18">
        <v>19485.509999999998</v>
      </c>
      <c r="K198" s="18"/>
      <c r="L198" s="19">
        <f>SUM(F198:K198)</f>
        <v>6829525.1899999995</v>
      </c>
      <c r="M198" s="8"/>
      <c r="N198" s="265"/>
    </row>
    <row r="199" spans="1:14" s="3" customFormat="1" ht="12.4" customHeight="1" x14ac:dyDescent="0.15">
      <c r="A199" s="1" t="s">
        <v>439</v>
      </c>
      <c r="B199" s="2" t="s">
        <v>341</v>
      </c>
      <c r="C199" s="2" t="s">
        <v>291</v>
      </c>
      <c r="D199" s="2" t="s">
        <v>431</v>
      </c>
      <c r="E199" s="6">
        <v>1200</v>
      </c>
      <c r="F199" s="18">
        <v>1665977.2</v>
      </c>
      <c r="G199" s="18">
        <v>630029.13</v>
      </c>
      <c r="H199" s="18">
        <f>480759.03-29100</f>
        <v>451659.03</v>
      </c>
      <c r="I199" s="18">
        <v>3940.07</v>
      </c>
      <c r="J199" s="18">
        <v>2343.84</v>
      </c>
      <c r="K199" s="18">
        <v>835</v>
      </c>
      <c r="L199" s="19">
        <f>SUM(F199:K199)</f>
        <v>2754784.27</v>
      </c>
      <c r="M199" s="8"/>
      <c r="N199" s="265"/>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4" customHeight="1" x14ac:dyDescent="0.15">
      <c r="A201" s="1" t="s">
        <v>441</v>
      </c>
      <c r="B201" s="2" t="s">
        <v>341</v>
      </c>
      <c r="C201" s="2" t="s">
        <v>293</v>
      </c>
      <c r="D201" s="2" t="s">
        <v>431</v>
      </c>
      <c r="E201" s="6">
        <v>1400</v>
      </c>
      <c r="F201" s="18">
        <f>39644+1300</f>
        <v>40944</v>
      </c>
      <c r="G201" s="18">
        <v>3589.72</v>
      </c>
      <c r="H201" s="18">
        <v>2500</v>
      </c>
      <c r="I201" s="18">
        <f>4467.39+1000.03</f>
        <v>5467.42</v>
      </c>
      <c r="J201" s="18">
        <v>4565.88</v>
      </c>
      <c r="K201" s="18">
        <v>3700</v>
      </c>
      <c r="L201" s="19">
        <f>SUM(F201:K201)</f>
        <v>60767.02</v>
      </c>
      <c r="M201" s="8"/>
      <c r="N201" s="265"/>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4" customHeight="1" x14ac:dyDescent="0.15">
      <c r="A203" s="1" t="s">
        <v>442</v>
      </c>
      <c r="B203" s="2" t="s">
        <v>341</v>
      </c>
      <c r="C203" s="2" t="s">
        <v>294</v>
      </c>
      <c r="D203" s="2" t="s">
        <v>431</v>
      </c>
      <c r="E203" s="6">
        <v>2100</v>
      </c>
      <c r="F203" s="18">
        <f>170483+199769.74+232176.22</f>
        <v>602428.96</v>
      </c>
      <c r="G203" s="18">
        <v>282084.26</v>
      </c>
      <c r="H203" s="18">
        <f>943+340.24</f>
        <v>1283.24</v>
      </c>
      <c r="I203" s="18">
        <v>1850.15</v>
      </c>
      <c r="J203" s="18"/>
      <c r="K203" s="18"/>
      <c r="L203" s="19">
        <f t="shared" ref="L203:L209" si="0">SUM(F203:K203)</f>
        <v>887646.61</v>
      </c>
      <c r="M203" s="8"/>
      <c r="N203" s="265"/>
    </row>
    <row r="204" spans="1:14" s="3" customFormat="1" ht="12.4" customHeight="1" x14ac:dyDescent="0.15">
      <c r="A204" s="1" t="s">
        <v>443</v>
      </c>
      <c r="B204" s="2" t="s">
        <v>341</v>
      </c>
      <c r="C204" s="2" t="s">
        <v>295</v>
      </c>
      <c r="D204" s="2" t="s">
        <v>431</v>
      </c>
      <c r="E204" s="6">
        <v>2200</v>
      </c>
      <c r="F204" s="18">
        <f>90631+169331.68+162464.2</f>
        <v>422426.88</v>
      </c>
      <c r="G204" s="18">
        <f>18027.3+199003.35</f>
        <v>217030.65</v>
      </c>
      <c r="H204" s="18">
        <f>21810.15+2162.9+123878.44</f>
        <v>147851.49</v>
      </c>
      <c r="I204" s="18">
        <f>242.16+14918.55+83708.83</f>
        <v>98869.540000000008</v>
      </c>
      <c r="J204" s="18">
        <v>27650.44</v>
      </c>
      <c r="K204" s="18"/>
      <c r="L204" s="19">
        <f t="shared" si="0"/>
        <v>913829</v>
      </c>
      <c r="M204" s="8"/>
      <c r="N204" s="265"/>
    </row>
    <row r="205" spans="1:14" s="3" customFormat="1" ht="12.4" customHeight="1" x14ac:dyDescent="0.15">
      <c r="A205" s="1" t="s">
        <v>444</v>
      </c>
      <c r="B205" s="2" t="s">
        <v>341</v>
      </c>
      <c r="C205" s="2" t="s">
        <v>296</v>
      </c>
      <c r="D205" s="2" t="s">
        <v>431</v>
      </c>
      <c r="E205" s="6">
        <v>2300</v>
      </c>
      <c r="F205" s="18">
        <v>26322.5</v>
      </c>
      <c r="G205" s="18">
        <v>2132.12</v>
      </c>
      <c r="H205" s="18">
        <f>16343.68+630159</f>
        <v>646502.68000000005</v>
      </c>
      <c r="I205" s="18"/>
      <c r="J205" s="18"/>
      <c r="K205" s="18">
        <f>5066.62+14685</f>
        <v>19751.62</v>
      </c>
      <c r="L205" s="19">
        <f t="shared" si="0"/>
        <v>694708.92</v>
      </c>
      <c r="M205" s="8"/>
      <c r="N205" s="265"/>
    </row>
    <row r="206" spans="1:14" s="3" customFormat="1" ht="12.4" customHeight="1" x14ac:dyDescent="0.15">
      <c r="A206" s="1" t="s">
        <v>445</v>
      </c>
      <c r="B206" s="2" t="s">
        <v>341</v>
      </c>
      <c r="C206" s="2" t="s">
        <v>297</v>
      </c>
      <c r="D206" s="2" t="s">
        <v>431</v>
      </c>
      <c r="E206" s="6">
        <v>2400</v>
      </c>
      <c r="F206" s="18">
        <v>586115.23</v>
      </c>
      <c r="G206" s="18">
        <v>263565.90000000002</v>
      </c>
      <c r="H206" s="18">
        <v>3664.62</v>
      </c>
      <c r="I206" s="18">
        <v>2314.1799999999998</v>
      </c>
      <c r="J206" s="18"/>
      <c r="K206" s="18">
        <v>4067.54</v>
      </c>
      <c r="L206" s="19">
        <f t="shared" si="0"/>
        <v>859727.47000000009</v>
      </c>
      <c r="M206" s="8"/>
      <c r="N206" s="265"/>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4" customHeight="1" x14ac:dyDescent="0.15">
      <c r="A208" s="1" t="s">
        <v>447</v>
      </c>
      <c r="B208" s="2" t="s">
        <v>341</v>
      </c>
      <c r="C208" s="2" t="s">
        <v>299</v>
      </c>
      <c r="D208" s="2" t="s">
        <v>431</v>
      </c>
      <c r="E208" s="6">
        <v>2600</v>
      </c>
      <c r="F208" s="18">
        <v>422387.65</v>
      </c>
      <c r="G208" s="18">
        <v>161186.70000000001</v>
      </c>
      <c r="H208" s="18">
        <f>137708.95+54863.48+5527.47</f>
        <v>198099.90000000002</v>
      </c>
      <c r="I208" s="18">
        <f>187089.29+1341.1</f>
        <v>188430.39</v>
      </c>
      <c r="J208" s="18">
        <v>59350.43</v>
      </c>
      <c r="K208" s="18"/>
      <c r="L208" s="19">
        <f t="shared" si="0"/>
        <v>1029455.0700000002</v>
      </c>
      <c r="M208" s="8"/>
      <c r="N208" s="265"/>
    </row>
    <row r="209" spans="1:14" s="3" customFormat="1" ht="12.4" customHeight="1" x14ac:dyDescent="0.15">
      <c r="A209" s="1" t="s">
        <v>448</v>
      </c>
      <c r="B209" s="2" t="s">
        <v>341</v>
      </c>
      <c r="C209" s="2" t="s">
        <v>300</v>
      </c>
      <c r="D209" s="2" t="s">
        <v>431</v>
      </c>
      <c r="E209" s="6">
        <v>2700</v>
      </c>
      <c r="F209" s="18"/>
      <c r="G209" s="18"/>
      <c r="H209" s="18">
        <f>696195.5+141893.71+7917.68+6537.72+34654.91+29100</f>
        <v>916299.52</v>
      </c>
      <c r="I209" s="18"/>
      <c r="J209" s="18"/>
      <c r="K209" s="18"/>
      <c r="L209" s="19">
        <f t="shared" si="0"/>
        <v>916299.52</v>
      </c>
      <c r="M209" s="8"/>
      <c r="N209" s="265"/>
    </row>
    <row r="210" spans="1:14" s="3" customFormat="1" ht="12.4" customHeight="1" x14ac:dyDescent="0.15">
      <c r="A210" s="1" t="s">
        <v>449</v>
      </c>
      <c r="B210" s="2" t="s">
        <v>341</v>
      </c>
      <c r="C210" s="2" t="s">
        <v>343</v>
      </c>
      <c r="D210" s="2" t="s">
        <v>431</v>
      </c>
      <c r="E210" s="6">
        <v>2800</v>
      </c>
      <c r="F210" s="18"/>
      <c r="G210" s="18">
        <v>6615.2</v>
      </c>
      <c r="H210" s="18"/>
      <c r="I210" s="18"/>
      <c r="J210" s="18"/>
      <c r="K210" s="18">
        <v>1525.3</v>
      </c>
      <c r="L210" s="19">
        <f>SUM(F210:K210)</f>
        <v>8140.5</v>
      </c>
      <c r="M210" s="8"/>
      <c r="N210" s="265"/>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4" customHeight="1" thickTop="1" x14ac:dyDescent="0.15">
      <c r="A212" s="38" t="s">
        <v>419</v>
      </c>
      <c r="B212" s="39" t="s">
        <v>341</v>
      </c>
      <c r="C212" s="39" t="s">
        <v>345</v>
      </c>
      <c r="D212" s="39" t="s">
        <v>431</v>
      </c>
      <c r="E212" s="39"/>
      <c r="F212" s="41">
        <f t="shared" ref="F212:L212" si="1">SUM(F198:F211)</f>
        <v>8236929.4100000001</v>
      </c>
      <c r="G212" s="41">
        <f t="shared" si="1"/>
        <v>3758374.29</v>
      </c>
      <c r="H212" s="41">
        <f t="shared" si="1"/>
        <v>2401222.8600000003</v>
      </c>
      <c r="I212" s="41">
        <f t="shared" si="1"/>
        <v>415081.45</v>
      </c>
      <c r="J212" s="41">
        <f t="shared" si="1"/>
        <v>113396.1</v>
      </c>
      <c r="K212" s="41">
        <f t="shared" si="1"/>
        <v>29879.46</v>
      </c>
      <c r="L212" s="41">
        <f t="shared" si="1"/>
        <v>14954883.569999998</v>
      </c>
      <c r="M212" s="8"/>
      <c r="N212" s="265"/>
    </row>
    <row r="213" spans="1:14" s="3" customFormat="1" ht="12.4"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4"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4"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4"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4"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4"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4"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4"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4"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4"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4"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4"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4"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4"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4"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4" customHeight="1" x14ac:dyDescent="0.15">
      <c r="A251" s="1" t="s">
        <v>656</v>
      </c>
      <c r="B251" s="2" t="s">
        <v>352</v>
      </c>
      <c r="C251" s="2" t="s">
        <v>289</v>
      </c>
      <c r="D251" s="2" t="s">
        <v>431</v>
      </c>
      <c r="E251" s="6">
        <v>1500</v>
      </c>
      <c r="F251" s="18"/>
      <c r="G251" s="18"/>
      <c r="H251" s="18"/>
      <c r="I251" s="18">
        <f>2749.7+2686.39</f>
        <v>5436.09</v>
      </c>
      <c r="J251" s="18">
        <v>6716.98</v>
      </c>
      <c r="K251" s="18"/>
      <c r="L251" s="19">
        <f t="shared" ref="L251:L256" si="6">SUM(F251:K251)</f>
        <v>12153.07</v>
      </c>
      <c r="M251" s="8"/>
      <c r="N251" s="265"/>
    </row>
    <row r="252" spans="1:14" s="3" customFormat="1" ht="12.4"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4"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4"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5436.09</v>
      </c>
      <c r="J257" s="41">
        <f t="shared" si="7"/>
        <v>6716.98</v>
      </c>
      <c r="K257" s="41">
        <f t="shared" si="7"/>
        <v>0</v>
      </c>
      <c r="L257" s="41">
        <f>SUM(F257:K257)</f>
        <v>12153.07</v>
      </c>
      <c r="M257" s="8"/>
      <c r="N257" s="265"/>
    </row>
    <row r="258" spans="1:14" s="3" customFormat="1" ht="12.4" customHeight="1" thickTop="1" x14ac:dyDescent="0.15">
      <c r="A258" s="38" t="s">
        <v>462</v>
      </c>
      <c r="B258" s="40">
        <v>10</v>
      </c>
      <c r="C258" s="40">
        <v>8</v>
      </c>
      <c r="D258" s="39" t="s">
        <v>431</v>
      </c>
      <c r="E258" s="40"/>
      <c r="F258" s="41">
        <f t="shared" ref="F258:L258" si="8">F212+F230+F248+F257</f>
        <v>8236929.4100000001</v>
      </c>
      <c r="G258" s="41">
        <f t="shared" si="8"/>
        <v>3758374.29</v>
      </c>
      <c r="H258" s="41">
        <f t="shared" si="8"/>
        <v>2401222.8600000003</v>
      </c>
      <c r="I258" s="41">
        <f t="shared" si="8"/>
        <v>420517.54000000004</v>
      </c>
      <c r="J258" s="41">
        <f t="shared" si="8"/>
        <v>120113.08</v>
      </c>
      <c r="K258" s="41">
        <f t="shared" si="8"/>
        <v>29879.46</v>
      </c>
      <c r="L258" s="41">
        <f t="shared" si="8"/>
        <v>14967036.639999999</v>
      </c>
      <c r="M258" s="8"/>
      <c r="N258" s="265"/>
    </row>
    <row r="259" spans="1:14" s="3" customFormat="1" ht="12.4" customHeight="1" x14ac:dyDescent="0.15">
      <c r="A259" s="34" t="s">
        <v>354</v>
      </c>
      <c r="F259" s="13"/>
      <c r="G259" s="13"/>
      <c r="H259" s="13"/>
      <c r="I259" s="13"/>
      <c r="J259" s="13"/>
      <c r="K259" s="14" t="s">
        <v>286</v>
      </c>
      <c r="L259" s="14" t="s">
        <v>355</v>
      </c>
      <c r="M259" s="8"/>
      <c r="N259" s="265"/>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135673</v>
      </c>
      <c r="L261" s="19">
        <f>SUM(F261:K261)</f>
        <v>135673</v>
      </c>
      <c r="N261" s="263"/>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7798.12</v>
      </c>
      <c r="L262" s="19">
        <f>SUM(F262:K262)</f>
        <v>7798.12</v>
      </c>
      <c r="N262" s="263"/>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143471.12</v>
      </c>
      <c r="L271" s="41">
        <f t="shared" si="9"/>
        <v>143471.12</v>
      </c>
      <c r="M271" s="8"/>
      <c r="N271" s="265"/>
    </row>
    <row r="272" spans="1:14" s="34" customFormat="1" ht="12.4" customHeight="1" thickTop="1" x14ac:dyDescent="0.2">
      <c r="A272" s="43" t="s">
        <v>464</v>
      </c>
      <c r="B272" s="40">
        <v>10</v>
      </c>
      <c r="C272" s="40">
        <v>18</v>
      </c>
      <c r="D272" s="39" t="s">
        <v>431</v>
      </c>
      <c r="E272" s="40"/>
      <c r="F272" s="42">
        <f t="shared" ref="F272:L272" si="11">F258+F271</f>
        <v>8236929.4100000001</v>
      </c>
      <c r="G272" s="42">
        <f t="shared" si="11"/>
        <v>3758374.29</v>
      </c>
      <c r="H272" s="42">
        <f t="shared" si="11"/>
        <v>2401222.8600000003</v>
      </c>
      <c r="I272" s="42">
        <f t="shared" si="11"/>
        <v>420517.54000000004</v>
      </c>
      <c r="J272" s="42">
        <f t="shared" si="11"/>
        <v>120113.08</v>
      </c>
      <c r="K272" s="42">
        <f t="shared" si="11"/>
        <v>173350.58</v>
      </c>
      <c r="L272" s="42">
        <f t="shared" si="11"/>
        <v>15110507.759999998</v>
      </c>
      <c r="M272" s="35"/>
      <c r="N272" s="265"/>
    </row>
    <row r="273" spans="1:14" s="3" customFormat="1" ht="12.4" customHeight="1" x14ac:dyDescent="0.2">
      <c r="A273" s="33"/>
      <c r="B273" s="6"/>
      <c r="C273" s="6"/>
      <c r="D273" s="6"/>
      <c r="E273" s="6"/>
      <c r="F273" s="20"/>
      <c r="G273" s="20"/>
      <c r="H273" s="20"/>
      <c r="I273" s="20"/>
      <c r="J273" s="20"/>
      <c r="K273" s="20"/>
      <c r="L273" s="20"/>
      <c r="M273" s="8"/>
      <c r="N273" s="265"/>
    </row>
    <row r="274" spans="1:14" s="3" customFormat="1" ht="12.4" customHeight="1" x14ac:dyDescent="0.15">
      <c r="A274" s="29" t="s">
        <v>466</v>
      </c>
      <c r="F274" s="176" t="s">
        <v>689</v>
      </c>
      <c r="G274" s="176" t="s">
        <v>690</v>
      </c>
      <c r="H274" s="176" t="s">
        <v>691</v>
      </c>
      <c r="I274" s="176" t="s">
        <v>692</v>
      </c>
      <c r="J274" s="176" t="s">
        <v>693</v>
      </c>
      <c r="K274" s="176" t="s">
        <v>694</v>
      </c>
      <c r="M274" s="8"/>
      <c r="N274" s="265"/>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4" customHeight="1" x14ac:dyDescent="0.15">
      <c r="A277" s="1" t="s">
        <v>438</v>
      </c>
      <c r="B277" s="2" t="s">
        <v>357</v>
      </c>
      <c r="C277" s="2" t="s">
        <v>290</v>
      </c>
      <c r="D277" s="2" t="s">
        <v>431</v>
      </c>
      <c r="E277" s="6">
        <v>1100</v>
      </c>
      <c r="F277" s="18">
        <v>370282.73</v>
      </c>
      <c r="G277" s="18">
        <v>145753.69</v>
      </c>
      <c r="H277" s="18">
        <v>27638</v>
      </c>
      <c r="I277" s="18">
        <v>80932.28</v>
      </c>
      <c r="J277" s="18">
        <v>20836.39</v>
      </c>
      <c r="K277" s="18"/>
      <c r="L277" s="19">
        <f>SUM(F277:K277)</f>
        <v>645443.09</v>
      </c>
      <c r="M277" s="8"/>
      <c r="N277" s="265"/>
    </row>
    <row r="278" spans="1:14" s="3" customFormat="1" ht="12.4" customHeight="1" x14ac:dyDescent="0.15">
      <c r="A278" s="1" t="s">
        <v>439</v>
      </c>
      <c r="B278" s="2" t="s">
        <v>357</v>
      </c>
      <c r="C278" s="2" t="s">
        <v>291</v>
      </c>
      <c r="D278" s="2" t="s">
        <v>431</v>
      </c>
      <c r="E278" s="6">
        <v>1200</v>
      </c>
      <c r="F278" s="18">
        <v>98707.77</v>
      </c>
      <c r="G278" s="18">
        <v>45049</v>
      </c>
      <c r="H278" s="18">
        <v>69064</v>
      </c>
      <c r="I278" s="18">
        <v>30406.1</v>
      </c>
      <c r="J278" s="18">
        <v>5886.09</v>
      </c>
      <c r="K278" s="18"/>
      <c r="L278" s="19">
        <f>SUM(F278:K278)</f>
        <v>249112.96000000002</v>
      </c>
      <c r="M278" s="8"/>
      <c r="N278" s="265"/>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4" customHeight="1" x14ac:dyDescent="0.15">
      <c r="A280" s="1" t="s">
        <v>441</v>
      </c>
      <c r="B280" s="2" t="s">
        <v>357</v>
      </c>
      <c r="C280" s="2" t="s">
        <v>293</v>
      </c>
      <c r="D280" s="2" t="s">
        <v>431</v>
      </c>
      <c r="E280" s="6">
        <v>1400</v>
      </c>
      <c r="F280" s="18">
        <v>38841.15</v>
      </c>
      <c r="G280" s="18">
        <v>8068.71</v>
      </c>
      <c r="H280" s="18"/>
      <c r="I280" s="18"/>
      <c r="J280" s="18"/>
      <c r="K280" s="18"/>
      <c r="L280" s="19">
        <f>SUM(F280:K280)</f>
        <v>46909.86</v>
      </c>
      <c r="M280" s="8"/>
      <c r="N280" s="265"/>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4" customHeight="1" x14ac:dyDescent="0.15">
      <c r="A282" s="1" t="s">
        <v>442</v>
      </c>
      <c r="B282" s="2" t="s">
        <v>357</v>
      </c>
      <c r="C282" s="2" t="s">
        <v>294</v>
      </c>
      <c r="D282" s="2" t="s">
        <v>431</v>
      </c>
      <c r="E282" s="6">
        <v>2100</v>
      </c>
      <c r="F282" s="18">
        <v>147374.22</v>
      </c>
      <c r="G282" s="18">
        <v>89671.99</v>
      </c>
      <c r="H282" s="18"/>
      <c r="I282" s="18"/>
      <c r="J282" s="18"/>
      <c r="K282" s="18"/>
      <c r="L282" s="19">
        <f t="shared" ref="L282:L288" si="12">SUM(F282:K282)</f>
        <v>237046.21000000002</v>
      </c>
      <c r="M282" s="8"/>
      <c r="N282" s="265"/>
    </row>
    <row r="283" spans="1:14" s="3" customFormat="1" ht="12.4" customHeight="1" x14ac:dyDescent="0.15">
      <c r="A283" s="1" t="s">
        <v>443</v>
      </c>
      <c r="B283" s="2" t="s">
        <v>357</v>
      </c>
      <c r="C283" s="2" t="s">
        <v>295</v>
      </c>
      <c r="D283" s="2" t="s">
        <v>431</v>
      </c>
      <c r="E283" s="6">
        <v>2200</v>
      </c>
      <c r="F283" s="18">
        <v>7350</v>
      </c>
      <c r="G283" s="18">
        <v>2107.2800000000002</v>
      </c>
      <c r="H283" s="18">
        <f>79828.5+35000</f>
        <v>114828.5</v>
      </c>
      <c r="I283" s="18">
        <f>10865.05+1878.7</f>
        <v>12743.75</v>
      </c>
      <c r="J283" s="18">
        <f>49.9+84091.95</f>
        <v>84141.849999999991</v>
      </c>
      <c r="K283" s="18"/>
      <c r="L283" s="19">
        <f t="shared" si="12"/>
        <v>221171.38</v>
      </c>
      <c r="M283" s="8"/>
      <c r="N283" s="265"/>
    </row>
    <row r="284" spans="1:14" s="3" customFormat="1" ht="12.4" customHeight="1" x14ac:dyDescent="0.15">
      <c r="A284" s="1" t="s">
        <v>444</v>
      </c>
      <c r="B284" s="2" t="s">
        <v>357</v>
      </c>
      <c r="C284" s="2" t="s">
        <v>296</v>
      </c>
      <c r="D284" s="2" t="s">
        <v>431</v>
      </c>
      <c r="E284" s="6">
        <v>2300</v>
      </c>
      <c r="F284" s="18"/>
      <c r="G284" s="18"/>
      <c r="H284" s="18"/>
      <c r="I284" s="18"/>
      <c r="J284" s="18"/>
      <c r="K284" s="18">
        <v>31841.7</v>
      </c>
      <c r="L284" s="19">
        <f t="shared" si="12"/>
        <v>31841.7</v>
      </c>
      <c r="M284" s="8"/>
      <c r="N284" s="265"/>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4" customHeight="1" x14ac:dyDescent="0.15">
      <c r="A287" s="1" t="s">
        <v>447</v>
      </c>
      <c r="B287" s="2" t="s">
        <v>357</v>
      </c>
      <c r="C287" s="2" t="s">
        <v>299</v>
      </c>
      <c r="D287" s="2" t="s">
        <v>431</v>
      </c>
      <c r="E287" s="6">
        <v>2600</v>
      </c>
      <c r="F287" s="18"/>
      <c r="G287" s="18"/>
      <c r="H287" s="18"/>
      <c r="I287" s="18"/>
      <c r="J287" s="18">
        <v>14753</v>
      </c>
      <c r="K287" s="18"/>
      <c r="L287" s="19">
        <f t="shared" si="12"/>
        <v>14753</v>
      </c>
      <c r="M287" s="8"/>
      <c r="N287" s="265"/>
    </row>
    <row r="288" spans="1:14" s="3" customFormat="1" ht="12.4" customHeight="1" x14ac:dyDescent="0.15">
      <c r="A288" s="1" t="s">
        <v>448</v>
      </c>
      <c r="B288" s="2" t="s">
        <v>357</v>
      </c>
      <c r="C288" s="2" t="s">
        <v>300</v>
      </c>
      <c r="D288" s="2" t="s">
        <v>431</v>
      </c>
      <c r="E288" s="6">
        <v>2700</v>
      </c>
      <c r="F288" s="18"/>
      <c r="G288" s="18"/>
      <c r="H288" s="18">
        <v>12519</v>
      </c>
      <c r="I288" s="18"/>
      <c r="J288" s="18"/>
      <c r="K288" s="18"/>
      <c r="L288" s="19">
        <f t="shared" si="12"/>
        <v>12519</v>
      </c>
      <c r="M288" s="8"/>
      <c r="N288" s="265"/>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4" customHeight="1" thickTop="1" x14ac:dyDescent="0.2">
      <c r="A291" s="38" t="s">
        <v>419</v>
      </c>
      <c r="B291" s="39" t="s">
        <v>357</v>
      </c>
      <c r="C291" s="39" t="s">
        <v>345</v>
      </c>
      <c r="D291" s="39" t="s">
        <v>431</v>
      </c>
      <c r="E291" s="39"/>
      <c r="F291" s="42">
        <f t="shared" ref="F291:L291" si="13">SUM(F277:F290)</f>
        <v>662555.87</v>
      </c>
      <c r="G291" s="42">
        <f t="shared" si="13"/>
        <v>290650.67000000004</v>
      </c>
      <c r="H291" s="42">
        <f t="shared" si="13"/>
        <v>224049.5</v>
      </c>
      <c r="I291" s="42">
        <f t="shared" si="13"/>
        <v>124082.13</v>
      </c>
      <c r="J291" s="42">
        <f t="shared" si="13"/>
        <v>125617.32999999999</v>
      </c>
      <c r="K291" s="42">
        <f t="shared" si="13"/>
        <v>31841.7</v>
      </c>
      <c r="L291" s="41">
        <f t="shared" si="13"/>
        <v>1458797.2</v>
      </c>
      <c r="M291" s="8"/>
      <c r="N291" s="265"/>
    </row>
    <row r="292" spans="1:14" s="3" customFormat="1" ht="12.4" customHeight="1" x14ac:dyDescent="0.2">
      <c r="A292" s="70"/>
      <c r="B292" s="36"/>
      <c r="C292" s="36"/>
      <c r="D292" s="36"/>
      <c r="E292" s="36"/>
      <c r="F292" s="53"/>
      <c r="G292" s="53"/>
      <c r="H292" s="53"/>
      <c r="I292" s="53"/>
      <c r="J292" s="53"/>
      <c r="K292" s="53"/>
      <c r="L292" s="67"/>
      <c r="M292" s="8"/>
      <c r="N292" s="265"/>
    </row>
    <row r="293" spans="1:14" s="3" customFormat="1" ht="12.4"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4" customHeight="1" x14ac:dyDescent="0.2">
      <c r="A311" s="70"/>
      <c r="B311" s="36"/>
      <c r="C311" s="37"/>
      <c r="D311" s="37"/>
      <c r="E311" s="37"/>
      <c r="F311" s="53"/>
      <c r="G311" s="53"/>
      <c r="H311" s="53"/>
      <c r="I311" s="53"/>
      <c r="J311" s="53"/>
      <c r="K311" s="53"/>
      <c r="L311" s="67"/>
      <c r="M311" s="8"/>
      <c r="N311" s="265"/>
    </row>
    <row r="312" spans="1:14" s="3" customFormat="1" ht="12.4"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4"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4"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4"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4"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4"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4"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4" customHeight="1" x14ac:dyDescent="0.2">
      <c r="A330" s="70"/>
      <c r="B330" s="36"/>
      <c r="C330" s="37"/>
      <c r="D330" s="37"/>
      <c r="E330" s="37"/>
      <c r="F330" s="53"/>
      <c r="G330" s="53"/>
      <c r="H330" s="53"/>
      <c r="I330" s="53"/>
      <c r="J330" s="53"/>
      <c r="K330" s="53"/>
      <c r="L330" s="67"/>
      <c r="M330" s="8"/>
      <c r="N330" s="265"/>
    </row>
    <row r="331" spans="1:14" s="3" customFormat="1" ht="12.4"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4"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4"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4" customHeight="1" thickTop="1" x14ac:dyDescent="0.15">
      <c r="A339" s="38" t="s">
        <v>468</v>
      </c>
      <c r="B339" s="40">
        <v>14</v>
      </c>
      <c r="C339" s="40">
        <v>7</v>
      </c>
      <c r="D339" s="39" t="s">
        <v>431</v>
      </c>
      <c r="E339" s="40"/>
      <c r="F339" s="41">
        <f t="shared" ref="F339:L339" si="20">F291+F310+F329+F338</f>
        <v>662555.87</v>
      </c>
      <c r="G339" s="41">
        <f t="shared" si="20"/>
        <v>290650.67000000004</v>
      </c>
      <c r="H339" s="41">
        <f t="shared" si="20"/>
        <v>224049.5</v>
      </c>
      <c r="I339" s="41">
        <f t="shared" si="20"/>
        <v>124082.13</v>
      </c>
      <c r="J339" s="41">
        <f t="shared" si="20"/>
        <v>125617.32999999999</v>
      </c>
      <c r="K339" s="41">
        <f t="shared" si="20"/>
        <v>31841.7</v>
      </c>
      <c r="L339" s="41">
        <f t="shared" si="20"/>
        <v>1458797.2</v>
      </c>
      <c r="M339" s="8"/>
      <c r="N339" s="265"/>
    </row>
    <row r="340" spans="1:43" s="3" customFormat="1" ht="12.4" customHeight="1" x14ac:dyDescent="0.15">
      <c r="A340" s="29" t="s">
        <v>354</v>
      </c>
      <c r="F340" s="18"/>
      <c r="G340" s="18"/>
      <c r="H340" s="18"/>
      <c r="I340" s="18"/>
      <c r="J340" s="18"/>
      <c r="K340" s="18"/>
      <c r="L340" s="19"/>
      <c r="M340" s="8"/>
      <c r="N340" s="265"/>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v>3100</v>
      </c>
      <c r="L346" s="19">
        <f t="shared" si="21"/>
        <v>3100</v>
      </c>
      <c r="M346" s="8"/>
      <c r="N346" s="265"/>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3100</v>
      </c>
      <c r="L352" s="41">
        <f>SUM(L342:L351)</f>
        <v>3100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662555.87</v>
      </c>
      <c r="G353" s="41">
        <f>G339</f>
        <v>290650.67000000004</v>
      </c>
      <c r="H353" s="41">
        <f>H339</f>
        <v>224049.5</v>
      </c>
      <c r="I353" s="41">
        <f>I339</f>
        <v>124082.13</v>
      </c>
      <c r="J353" s="41">
        <f>J339</f>
        <v>125617.32999999999</v>
      </c>
      <c r="K353" s="47">
        <f>K339+K352</f>
        <v>34941.699999999997</v>
      </c>
      <c r="L353" s="41">
        <f>L339+L352</f>
        <v>1461897.2</v>
      </c>
      <c r="M353" s="8"/>
      <c r="N353" s="265"/>
    </row>
    <row r="354" spans="1:22" s="3" customFormat="1" ht="12.4" customHeight="1" x14ac:dyDescent="0.15">
      <c r="A354" s="70"/>
      <c r="B354" s="37"/>
      <c r="C354" s="23"/>
      <c r="D354" s="23"/>
      <c r="E354" s="23"/>
      <c r="F354" s="67"/>
      <c r="G354" s="67"/>
      <c r="H354" s="67"/>
      <c r="I354" s="67"/>
      <c r="J354" s="67"/>
      <c r="K354" s="56"/>
      <c r="L354" s="67"/>
      <c r="M354" s="8"/>
      <c r="N354" s="265"/>
    </row>
    <row r="355" spans="1:22" s="3" customFormat="1" ht="12.4"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4" customHeight="1" x14ac:dyDescent="0.15">
      <c r="A359" s="3" t="s">
        <v>541</v>
      </c>
      <c r="B359" s="2" t="s">
        <v>366</v>
      </c>
      <c r="C359" s="6">
        <v>1</v>
      </c>
      <c r="D359" s="2" t="s">
        <v>431</v>
      </c>
      <c r="E359" s="6"/>
      <c r="F359" s="18">
        <v>182591.15</v>
      </c>
      <c r="G359" s="18">
        <v>844.22</v>
      </c>
      <c r="H359" s="18">
        <v>14788.36</v>
      </c>
      <c r="I359" s="18">
        <f>198038.65+0.07</f>
        <v>198038.72</v>
      </c>
      <c r="J359" s="18">
        <v>5668</v>
      </c>
      <c r="K359" s="18">
        <v>1929.94</v>
      </c>
      <c r="L359" s="13">
        <f>SUM(F359:K359)</f>
        <v>403860.38999999996</v>
      </c>
      <c r="M359" s="8"/>
      <c r="N359" s="265"/>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4"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4" customHeight="1" thickTop="1" x14ac:dyDescent="0.15">
      <c r="A363" s="46" t="s">
        <v>469</v>
      </c>
      <c r="B363" s="39" t="s">
        <v>366</v>
      </c>
      <c r="C363" s="40">
        <v>5</v>
      </c>
      <c r="D363" s="39" t="s">
        <v>431</v>
      </c>
      <c r="E363" s="40"/>
      <c r="F363" s="47">
        <f t="shared" ref="F363:L363" si="22">SUM(F359:F362)</f>
        <v>182591.15</v>
      </c>
      <c r="G363" s="47">
        <f t="shared" si="22"/>
        <v>844.22</v>
      </c>
      <c r="H363" s="47">
        <f t="shared" si="22"/>
        <v>14788.36</v>
      </c>
      <c r="I363" s="47">
        <f t="shared" si="22"/>
        <v>198038.72</v>
      </c>
      <c r="J363" s="47">
        <f t="shared" si="22"/>
        <v>5668</v>
      </c>
      <c r="K363" s="47">
        <f t="shared" si="22"/>
        <v>1929.94</v>
      </c>
      <c r="L363" s="47">
        <f t="shared" si="22"/>
        <v>403860.38999999996</v>
      </c>
      <c r="M363" s="8"/>
      <c r="N363" s="265"/>
    </row>
    <row r="364" spans="1:22" s="3" customFormat="1" ht="12.4" customHeight="1" x14ac:dyDescent="0.15">
      <c r="A364" s="55"/>
      <c r="B364" s="36"/>
      <c r="C364" s="37"/>
      <c r="D364" s="37"/>
      <c r="E364" s="37"/>
      <c r="F364" s="56"/>
      <c r="G364" s="56"/>
      <c r="H364" s="56"/>
      <c r="I364" s="56"/>
      <c r="J364" s="56"/>
      <c r="K364" s="56"/>
      <c r="L364" s="56"/>
      <c r="M364" s="8"/>
      <c r="N364" s="265"/>
    </row>
    <row r="365" spans="1:22" s="3" customFormat="1" ht="12.4" customHeight="1" x14ac:dyDescent="0.15">
      <c r="A365" s="55" t="s">
        <v>369</v>
      </c>
      <c r="B365" s="36"/>
      <c r="C365" s="37"/>
      <c r="D365" s="37"/>
      <c r="E365" s="37"/>
      <c r="F365" s="56"/>
      <c r="G365" s="56"/>
      <c r="H365" s="56"/>
      <c r="I365" s="56"/>
      <c r="J365" s="56"/>
      <c r="K365" s="56"/>
      <c r="L365" s="56"/>
      <c r="M365" s="8"/>
      <c r="N365" s="265"/>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4" customHeight="1" x14ac:dyDescent="0.15">
      <c r="A368" s="58" t="s">
        <v>371</v>
      </c>
      <c r="B368" s="2" t="s">
        <v>366</v>
      </c>
      <c r="C368" s="2" t="s">
        <v>295</v>
      </c>
      <c r="D368" s="2" t="s">
        <v>432</v>
      </c>
      <c r="E368" s="2"/>
      <c r="F368" s="18">
        <f>138690.09+30781.01+10644.85</f>
        <v>180115.95</v>
      </c>
      <c r="G368" s="18"/>
      <c r="H368" s="18"/>
      <c r="I368" s="56">
        <f>SUM(F368:H368)</f>
        <v>180115.95</v>
      </c>
      <c r="J368" s="24" t="s">
        <v>288</v>
      </c>
      <c r="K368" s="24" t="s">
        <v>288</v>
      </c>
      <c r="L368" s="24" t="s">
        <v>288</v>
      </c>
      <c r="M368" s="8"/>
      <c r="N368" s="265"/>
    </row>
    <row r="369" spans="1:14" s="3" customFormat="1" ht="12.4" customHeight="1" thickBot="1" x14ac:dyDescent="0.2">
      <c r="A369" s="61" t="s">
        <v>372</v>
      </c>
      <c r="B369" s="62" t="s">
        <v>366</v>
      </c>
      <c r="C369" s="62" t="s">
        <v>296</v>
      </c>
      <c r="D369" s="2" t="s">
        <v>432</v>
      </c>
      <c r="E369" s="62"/>
      <c r="F369" s="63">
        <f>11791.81+4387.5+1743.39+0.07</f>
        <v>17922.77</v>
      </c>
      <c r="G369" s="63"/>
      <c r="H369" s="63"/>
      <c r="I369" s="56">
        <f>SUM(F369:H369)</f>
        <v>17922.77</v>
      </c>
      <c r="J369" s="24" t="s">
        <v>288</v>
      </c>
      <c r="K369" s="24" t="s">
        <v>288</v>
      </c>
      <c r="L369" s="24" t="s">
        <v>288</v>
      </c>
      <c r="M369" s="8"/>
      <c r="N369" s="265"/>
    </row>
    <row r="370" spans="1:14" s="3" customFormat="1" ht="12.4" customHeight="1" thickTop="1" x14ac:dyDescent="0.15">
      <c r="A370" s="34" t="s">
        <v>340</v>
      </c>
      <c r="B370" s="2" t="s">
        <v>366</v>
      </c>
      <c r="C370" s="2" t="s">
        <v>297</v>
      </c>
      <c r="D370" s="39" t="s">
        <v>432</v>
      </c>
      <c r="E370" s="2"/>
      <c r="F370" s="47">
        <f>SUM(F368:F369)</f>
        <v>198038.72</v>
      </c>
      <c r="G370" s="47">
        <f>SUM(G368:G369)</f>
        <v>0</v>
      </c>
      <c r="H370" s="47">
        <f>SUM(H368:H369)</f>
        <v>0</v>
      </c>
      <c r="I370" s="47">
        <f>SUM(I368:I369)</f>
        <v>198038.72</v>
      </c>
      <c r="J370" s="24" t="s">
        <v>288</v>
      </c>
      <c r="K370" s="24" t="s">
        <v>288</v>
      </c>
      <c r="L370" s="24" t="s">
        <v>288</v>
      </c>
      <c r="M370" s="8"/>
      <c r="N370" s="265"/>
    </row>
    <row r="371" spans="1:14" s="3" customFormat="1" ht="12.4" customHeight="1" x14ac:dyDescent="0.15">
      <c r="A371" s="34"/>
      <c r="B371" s="2"/>
      <c r="C371" s="2"/>
      <c r="D371" s="2"/>
      <c r="E371" s="2"/>
      <c r="F371" s="64"/>
      <c r="G371" s="64"/>
      <c r="H371" s="64"/>
      <c r="I371" s="56"/>
      <c r="J371" s="56"/>
      <c r="K371" s="56"/>
      <c r="L371" s="56"/>
      <c r="M371" s="8"/>
      <c r="N371" s="265"/>
    </row>
    <row r="372" spans="1:14" s="3" customFormat="1" ht="12.4"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4" customHeight="1" x14ac:dyDescent="0.15">
      <c r="A384" s="29"/>
      <c r="B384" s="2"/>
      <c r="C384" s="2"/>
      <c r="D384" s="2"/>
      <c r="E384" s="2"/>
      <c r="F384" s="66"/>
      <c r="G384" s="66"/>
      <c r="H384" s="66"/>
      <c r="I384" s="67"/>
      <c r="J384" s="56"/>
      <c r="K384" s="56"/>
      <c r="L384" s="56"/>
      <c r="M384" s="8"/>
      <c r="N384" s="265"/>
    </row>
    <row r="385" spans="1:14" s="3" customFormat="1" ht="12.4" customHeight="1" x14ac:dyDescent="0.15">
      <c r="A385" s="26" t="s">
        <v>482</v>
      </c>
      <c r="B385" s="76"/>
      <c r="C385" s="76"/>
      <c r="D385" s="76"/>
      <c r="E385" s="76"/>
      <c r="F385" s="66"/>
      <c r="G385" s="66"/>
      <c r="H385" s="66"/>
      <c r="I385" s="67"/>
      <c r="J385" s="56"/>
      <c r="K385" s="56"/>
      <c r="L385" s="56"/>
      <c r="M385" s="8"/>
      <c r="N385" s="265"/>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4"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4" customHeight="1" x14ac:dyDescent="0.15">
      <c r="A397" s="79" t="s">
        <v>557</v>
      </c>
      <c r="B397" s="2" t="s">
        <v>381</v>
      </c>
      <c r="C397" s="6">
        <v>9</v>
      </c>
      <c r="D397" s="2" t="s">
        <v>432</v>
      </c>
      <c r="E397" s="6"/>
      <c r="F397" s="18"/>
      <c r="G397" s="18"/>
      <c r="H397" s="18">
        <f>3799.13+1680.56</f>
        <v>5479.6900000000005</v>
      </c>
      <c r="I397" s="18"/>
      <c r="J397" s="24" t="s">
        <v>288</v>
      </c>
      <c r="K397" s="24" t="s">
        <v>288</v>
      </c>
      <c r="L397" s="56">
        <f t="shared" si="26"/>
        <v>5479.6900000000005</v>
      </c>
      <c r="M397" s="8"/>
      <c r="N397" s="265"/>
    </row>
    <row r="398" spans="1:14" s="3" customFormat="1" ht="12.4" customHeight="1" x14ac:dyDescent="0.15">
      <c r="A398" s="79" t="s">
        <v>515</v>
      </c>
      <c r="B398" s="2" t="s">
        <v>381</v>
      </c>
      <c r="C398" s="6">
        <v>10</v>
      </c>
      <c r="D398" s="2" t="s">
        <v>432</v>
      </c>
      <c r="E398" s="6"/>
      <c r="F398" s="18"/>
      <c r="G398" s="18"/>
      <c r="H398" s="18">
        <f>6683.3+2956.41</f>
        <v>9639.7099999999991</v>
      </c>
      <c r="I398" s="18"/>
      <c r="J398" s="24" t="s">
        <v>288</v>
      </c>
      <c r="K398" s="24" t="s">
        <v>288</v>
      </c>
      <c r="L398" s="56">
        <f t="shared" si="26"/>
        <v>9639.7099999999991</v>
      </c>
      <c r="M398" s="8"/>
      <c r="N398" s="265"/>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4"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4" customHeight="1" thickTop="1" x14ac:dyDescent="0.15">
      <c r="A402" s="160" t="s">
        <v>470</v>
      </c>
      <c r="B402" s="2" t="s">
        <v>381</v>
      </c>
      <c r="C402" s="6">
        <v>14</v>
      </c>
      <c r="D402" s="2" t="s">
        <v>432</v>
      </c>
      <c r="E402" s="40">
        <v>5252</v>
      </c>
      <c r="F402" s="47">
        <f>SUM(F396:F401)</f>
        <v>0</v>
      </c>
      <c r="G402" s="47">
        <f>SUM(G396:G401)</f>
        <v>0</v>
      </c>
      <c r="H402" s="47">
        <f>SUM(H396:H401)</f>
        <v>15119.4</v>
      </c>
      <c r="I402" s="47">
        <f>SUM(I396:I401)</f>
        <v>0</v>
      </c>
      <c r="J402" s="45" t="s">
        <v>288</v>
      </c>
      <c r="K402" s="45" t="s">
        <v>288</v>
      </c>
      <c r="L402" s="47">
        <f>SUM(L396:L401)</f>
        <v>15119.4</v>
      </c>
      <c r="M402" s="8"/>
      <c r="N402" s="265"/>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4" customHeight="1" thickTop="1" x14ac:dyDescent="0.15">
      <c r="A409" s="78" t="s">
        <v>421</v>
      </c>
      <c r="B409" s="2" t="s">
        <v>381</v>
      </c>
      <c r="C409" s="6">
        <v>20</v>
      </c>
      <c r="D409" s="6"/>
      <c r="E409" s="40"/>
      <c r="F409" s="47">
        <f>F394+F402+F408</f>
        <v>0</v>
      </c>
      <c r="G409" s="47">
        <f>G394+G402+G408</f>
        <v>0</v>
      </c>
      <c r="H409" s="47">
        <f>H394+H402+H408</f>
        <v>15119.4</v>
      </c>
      <c r="I409" s="47">
        <f>I394+I402+I408</f>
        <v>0</v>
      </c>
      <c r="J409" s="24" t="s">
        <v>288</v>
      </c>
      <c r="K409" s="24" t="s">
        <v>288</v>
      </c>
      <c r="L409" s="47">
        <f>L394+L402+L408</f>
        <v>15119.4</v>
      </c>
      <c r="M409" s="8"/>
      <c r="N409" s="265"/>
    </row>
    <row r="410" spans="1:21" s="3" customFormat="1" ht="12.4"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4" customHeight="1" x14ac:dyDescent="0.15">
      <c r="A411" s="26" t="s">
        <v>482</v>
      </c>
      <c r="B411" s="76"/>
      <c r="C411" s="76"/>
      <c r="D411" s="76"/>
      <c r="E411" s="76"/>
      <c r="F411" s="66"/>
      <c r="G411" s="16" t="s">
        <v>384</v>
      </c>
      <c r="H411" s="16" t="s">
        <v>385</v>
      </c>
      <c r="I411" s="67"/>
      <c r="J411" s="56"/>
      <c r="K411" s="56"/>
      <c r="L411" s="56"/>
      <c r="M411" s="8"/>
      <c r="N411" s="265"/>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4"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6"/>
    </row>
    <row r="431" spans="1:21" ht="12.4" customHeight="1" x14ac:dyDescent="0.2">
      <c r="A431" s="110"/>
      <c r="B431" s="6">
        <v>17</v>
      </c>
      <c r="C431" s="6">
        <v>16</v>
      </c>
      <c r="D431" s="2" t="s">
        <v>432</v>
      </c>
      <c r="E431" s="6"/>
      <c r="F431" s="18"/>
      <c r="G431" s="18"/>
      <c r="H431" s="18"/>
      <c r="I431" s="18"/>
      <c r="J431" s="18"/>
      <c r="K431" s="18"/>
      <c r="L431" s="56">
        <f>SUM(F431:K431)</f>
        <v>0</v>
      </c>
      <c r="N431" s="263"/>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4" customHeight="1" x14ac:dyDescent="0.15">
      <c r="A436" s="78"/>
      <c r="B436" s="6"/>
      <c r="C436" s="6"/>
      <c r="D436" s="6"/>
      <c r="E436" s="6"/>
      <c r="F436" s="56"/>
      <c r="G436" s="56"/>
      <c r="H436" s="56"/>
      <c r="I436" s="56"/>
      <c r="J436" s="56"/>
      <c r="K436" s="56"/>
      <c r="L436" s="56"/>
      <c r="M436" s="8"/>
      <c r="N436" s="265"/>
    </row>
    <row r="437" spans="1:14" s="3" customFormat="1" ht="12.4" customHeight="1" x14ac:dyDescent="0.15">
      <c r="A437" s="34" t="s">
        <v>0</v>
      </c>
      <c r="K437" s="56"/>
      <c r="L437" s="13"/>
      <c r="M437" s="8"/>
      <c r="N437" s="265"/>
    </row>
    <row r="438" spans="1:14" s="3" customFormat="1" ht="12.4" customHeight="1" x14ac:dyDescent="0.15">
      <c r="A438" s="34" t="s">
        <v>1</v>
      </c>
      <c r="F438" s="23" t="s">
        <v>2</v>
      </c>
      <c r="G438" s="23" t="s">
        <v>3</v>
      </c>
      <c r="H438" s="23" t="s">
        <v>4</v>
      </c>
      <c r="I438" s="23" t="s">
        <v>5</v>
      </c>
      <c r="M438" s="8"/>
      <c r="N438" s="265"/>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4" customHeight="1" x14ac:dyDescent="0.15">
      <c r="A441" s="69" t="s">
        <v>562</v>
      </c>
      <c r="B441" s="23">
        <v>18</v>
      </c>
      <c r="C441" s="6">
        <v>2</v>
      </c>
      <c r="D441" s="2" t="s">
        <v>432</v>
      </c>
      <c r="E441" s="6">
        <v>110</v>
      </c>
      <c r="F441" s="18"/>
      <c r="G441" s="18">
        <v>486749.34</v>
      </c>
      <c r="H441" s="18"/>
      <c r="I441" s="56">
        <f t="shared" si="33"/>
        <v>486749.34</v>
      </c>
      <c r="J441" s="24" t="s">
        <v>288</v>
      </c>
      <c r="K441" s="24" t="s">
        <v>288</v>
      </c>
      <c r="L441" s="24" t="s">
        <v>288</v>
      </c>
      <c r="M441" s="8"/>
      <c r="N441" s="265"/>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4" customHeight="1" thickBot="1" x14ac:dyDescent="0.2">
      <c r="A447" s="70" t="s">
        <v>404</v>
      </c>
      <c r="B447" s="23">
        <v>18</v>
      </c>
      <c r="C447" s="37">
        <v>8</v>
      </c>
      <c r="D447" s="2" t="s">
        <v>432</v>
      </c>
      <c r="E447" s="37"/>
      <c r="F447" s="13">
        <f>SUM(F440:F446)</f>
        <v>0</v>
      </c>
      <c r="G447" s="13">
        <f>SUM(G440:G446)</f>
        <v>486749.34</v>
      </c>
      <c r="H447" s="13">
        <f>SUM(H440:H446)</f>
        <v>0</v>
      </c>
      <c r="I447" s="13">
        <f>SUM(I440:I446)</f>
        <v>486749.34</v>
      </c>
      <c r="J447" s="24" t="s">
        <v>288</v>
      </c>
      <c r="K447" s="24" t="s">
        <v>288</v>
      </c>
      <c r="L447" s="24" t="s">
        <v>288</v>
      </c>
      <c r="M447" s="8"/>
      <c r="N447" s="265"/>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486749.34</v>
      </c>
      <c r="H460" s="18"/>
      <c r="I460" s="56">
        <f t="shared" si="34"/>
        <v>486749.34</v>
      </c>
      <c r="J460" s="24" t="s">
        <v>288</v>
      </c>
      <c r="K460" s="24" t="s">
        <v>288</v>
      </c>
      <c r="L460" s="24" t="s">
        <v>288</v>
      </c>
      <c r="N460" s="264"/>
    </row>
    <row r="461" spans="1:86" s="52" customFormat="1" ht="12.4" customHeight="1" thickTop="1" thickBot="1" x14ac:dyDescent="0.25">
      <c r="A461" s="50" t="s">
        <v>407</v>
      </c>
      <c r="B461" s="81">
        <v>18</v>
      </c>
      <c r="C461" s="51">
        <v>20</v>
      </c>
      <c r="D461" s="48" t="s">
        <v>432</v>
      </c>
      <c r="E461" s="51"/>
      <c r="F461" s="83">
        <f>SUM(F455:F460)</f>
        <v>0</v>
      </c>
      <c r="G461" s="83">
        <f>SUM(G455:G460)</f>
        <v>486749.34</v>
      </c>
      <c r="H461" s="83">
        <f>SUM(H455:H460)</f>
        <v>0</v>
      </c>
      <c r="I461" s="83">
        <f>SUM(I455:I460)</f>
        <v>486749.34</v>
      </c>
      <c r="J461" s="24" t="s">
        <v>288</v>
      </c>
      <c r="K461" s="24" t="s">
        <v>288</v>
      </c>
      <c r="L461" s="24" t="s">
        <v>288</v>
      </c>
      <c r="N461" s="264"/>
    </row>
    <row r="462" spans="1:86" s="52" customFormat="1" ht="12.4" customHeight="1" thickTop="1" x14ac:dyDescent="0.2">
      <c r="A462" s="91" t="s">
        <v>424</v>
      </c>
      <c r="B462" s="44">
        <v>18</v>
      </c>
      <c r="C462" s="82">
        <v>21</v>
      </c>
      <c r="D462" s="157" t="s">
        <v>432</v>
      </c>
      <c r="E462" s="82"/>
      <c r="F462" s="42">
        <f>F453+F461</f>
        <v>0</v>
      </c>
      <c r="G462" s="42">
        <f>G453+G461</f>
        <v>486749.34</v>
      </c>
      <c r="H462" s="42">
        <f>H453+H461</f>
        <v>0</v>
      </c>
      <c r="I462" s="42">
        <f>I453+I461</f>
        <v>486749.34</v>
      </c>
      <c r="J462" s="24" t="s">
        <v>288</v>
      </c>
      <c r="K462" s="24" t="s">
        <v>288</v>
      </c>
      <c r="L462" s="24" t="s">
        <v>288</v>
      </c>
      <c r="N462" s="264"/>
    </row>
    <row r="463" spans="1:86" s="52" customFormat="1" ht="12.4" customHeight="1" x14ac:dyDescent="0.2">
      <c r="A463" s="92"/>
      <c r="B463" s="75"/>
      <c r="C463" s="80"/>
      <c r="D463" s="80"/>
      <c r="E463" s="80"/>
      <c r="F463" s="53"/>
      <c r="G463" s="53"/>
      <c r="H463" s="53"/>
      <c r="I463" s="53"/>
      <c r="J463" s="53"/>
      <c r="K463" s="53"/>
      <c r="L463" s="53"/>
      <c r="N463" s="264"/>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4" customHeight="1" x14ac:dyDescent="0.2">
      <c r="A466" s="188" t="s">
        <v>1629</v>
      </c>
      <c r="B466" s="105">
        <v>19</v>
      </c>
      <c r="C466" s="111">
        <v>1</v>
      </c>
      <c r="D466" s="2" t="s">
        <v>432</v>
      </c>
      <c r="E466" s="111"/>
      <c r="F466" s="18">
        <v>707243.73</v>
      </c>
      <c r="G466" s="18">
        <v>189193.81</v>
      </c>
      <c r="H466" s="18">
        <v>0</v>
      </c>
      <c r="I466" s="18"/>
      <c r="J466" s="18">
        <v>519629.43</v>
      </c>
      <c r="K466" s="24" t="s">
        <v>288</v>
      </c>
      <c r="L466" s="24" t="s">
        <v>288</v>
      </c>
      <c r="N466" s="264"/>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4" customHeight="1" x14ac:dyDescent="0.2">
      <c r="A469" s="93" t="s">
        <v>610</v>
      </c>
      <c r="B469" s="75">
        <v>19</v>
      </c>
      <c r="C469" s="80">
        <v>2</v>
      </c>
      <c r="D469" s="2" t="s">
        <v>432</v>
      </c>
      <c r="E469" s="80"/>
      <c r="F469" s="18">
        <v>14884376.060000001</v>
      </c>
      <c r="G469" s="18">
        <f>525880.13+3100</f>
        <v>528980.13</v>
      </c>
      <c r="H469" s="18">
        <v>1461897.2</v>
      </c>
      <c r="I469" s="18"/>
      <c r="J469" s="18">
        <f>10482.43+4636.97</f>
        <v>15119.400000000001</v>
      </c>
      <c r="K469" s="24" t="s">
        <v>288</v>
      </c>
      <c r="L469" s="24" t="s">
        <v>288</v>
      </c>
      <c r="N469" s="264"/>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4" customHeight="1" x14ac:dyDescent="0.2">
      <c r="A471" s="92" t="s">
        <v>425</v>
      </c>
      <c r="B471" s="75">
        <v>19</v>
      </c>
      <c r="C471" s="80">
        <v>4</v>
      </c>
      <c r="D471" s="2" t="s">
        <v>432</v>
      </c>
      <c r="E471" s="80"/>
      <c r="F471" s="53">
        <f>SUM(F469:F470)</f>
        <v>14884376.060000001</v>
      </c>
      <c r="G471" s="53">
        <f>SUM(G469:G470)</f>
        <v>528980.13</v>
      </c>
      <c r="H471" s="53">
        <f>SUM(H469:H470)</f>
        <v>1461897.2</v>
      </c>
      <c r="I471" s="53">
        <f>SUM(I469:I470)</f>
        <v>0</v>
      </c>
      <c r="J471" s="53">
        <f>SUM(J469:J470)</f>
        <v>15119.400000000001</v>
      </c>
      <c r="K471" s="24" t="s">
        <v>288</v>
      </c>
      <c r="L471" s="24" t="s">
        <v>288</v>
      </c>
      <c r="N471" s="264"/>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4" customHeight="1" x14ac:dyDescent="0.2">
      <c r="A473" s="93" t="s">
        <v>612</v>
      </c>
      <c r="B473" s="75">
        <v>19</v>
      </c>
      <c r="C473" s="80">
        <v>5</v>
      </c>
      <c r="D473" s="2" t="s">
        <v>432</v>
      </c>
      <c r="E473" s="80"/>
      <c r="F473" s="18">
        <v>15110507.76</v>
      </c>
      <c r="G473" s="18">
        <v>403860.39</v>
      </c>
      <c r="H473" s="18">
        <v>1461897.2</v>
      </c>
      <c r="I473" s="18"/>
      <c r="J473" s="18"/>
      <c r="K473" s="24" t="s">
        <v>288</v>
      </c>
      <c r="L473" s="24" t="s">
        <v>288</v>
      </c>
      <c r="N473" s="264"/>
    </row>
    <row r="474" spans="1:14" s="52" customFormat="1" ht="12.4" customHeight="1" x14ac:dyDescent="0.2">
      <c r="A474" s="93" t="s">
        <v>613</v>
      </c>
      <c r="B474" s="75">
        <v>19</v>
      </c>
      <c r="C474" s="80">
        <v>6</v>
      </c>
      <c r="D474" s="2" t="s">
        <v>432</v>
      </c>
      <c r="E474" s="80"/>
      <c r="F474" s="18"/>
      <c r="G474" s="18">
        <v>3100</v>
      </c>
      <c r="H474" s="18"/>
      <c r="I474" s="18"/>
      <c r="J474" s="18">
        <v>47999.49</v>
      </c>
      <c r="K474" s="24" t="s">
        <v>288</v>
      </c>
      <c r="L474" s="24" t="s">
        <v>288</v>
      </c>
      <c r="N474" s="264"/>
    </row>
    <row r="475" spans="1:14" s="52" customFormat="1" ht="12.4" customHeight="1" x14ac:dyDescent="0.2">
      <c r="A475" s="92" t="s">
        <v>426</v>
      </c>
      <c r="B475" s="75">
        <v>19</v>
      </c>
      <c r="C475" s="80">
        <v>7</v>
      </c>
      <c r="D475" s="2" t="s">
        <v>432</v>
      </c>
      <c r="E475" s="80"/>
      <c r="F475" s="53">
        <f>SUM(F473:F474)</f>
        <v>15110507.76</v>
      </c>
      <c r="G475" s="53">
        <f>SUM(G473:G474)</f>
        <v>406960.39</v>
      </c>
      <c r="H475" s="53">
        <f>SUM(H473:H474)</f>
        <v>1461897.2</v>
      </c>
      <c r="I475" s="53">
        <f>SUM(I473:I474)</f>
        <v>0</v>
      </c>
      <c r="J475" s="53">
        <f>SUM(J473:J474)</f>
        <v>47999.49</v>
      </c>
      <c r="K475" s="24" t="s">
        <v>288</v>
      </c>
      <c r="L475" s="24" t="s">
        <v>288</v>
      </c>
      <c r="N475" s="264"/>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4" customHeight="1" x14ac:dyDescent="0.2">
      <c r="A477" s="189" t="s">
        <v>1630</v>
      </c>
      <c r="B477" s="75">
        <v>19</v>
      </c>
      <c r="C477" s="115">
        <v>8</v>
      </c>
      <c r="D477" s="2" t="s">
        <v>432</v>
      </c>
      <c r="E477" s="115"/>
      <c r="F477" s="53">
        <f>(F466+F471)- F475</f>
        <v>481112.03000000119</v>
      </c>
      <c r="G477" s="53">
        <f>(G466+G471)- G475</f>
        <v>311213.54999999993</v>
      </c>
      <c r="H477" s="53">
        <f>(H466+H471)- H475</f>
        <v>0</v>
      </c>
      <c r="I477" s="53">
        <f>(I466+I471)- I475</f>
        <v>0</v>
      </c>
      <c r="J477" s="53">
        <f>(J466+J471)- J475</f>
        <v>486749.33999999997</v>
      </c>
      <c r="K477" s="24" t="s">
        <v>288</v>
      </c>
      <c r="L477" s="24" t="s">
        <v>288</v>
      </c>
      <c r="N477" s="264"/>
    </row>
    <row r="478" spans="1:14" s="52" customFormat="1" ht="12.4" customHeight="1" x14ac:dyDescent="0.2">
      <c r="A478" s="95"/>
      <c r="B478" s="95"/>
      <c r="C478" s="95"/>
      <c r="D478" s="95"/>
      <c r="E478" s="95"/>
      <c r="F478" s="95"/>
      <c r="G478" s="95"/>
      <c r="H478" s="95"/>
      <c r="I478" s="95"/>
      <c r="J478" s="95"/>
      <c r="K478" s="95"/>
      <c r="L478" s="95"/>
      <c r="N478" s="264"/>
    </row>
    <row r="479" spans="1:14" s="52" customFormat="1" ht="12.4" customHeight="1" x14ac:dyDescent="0.2">
      <c r="A479" s="95" t="s">
        <v>657</v>
      </c>
      <c r="B479" s="95"/>
      <c r="C479" s="95"/>
      <c r="D479" s="95"/>
      <c r="E479" s="95"/>
      <c r="F479" s="95"/>
      <c r="G479" s="95"/>
      <c r="H479" s="95"/>
      <c r="I479" s="95"/>
      <c r="J479" s="95"/>
      <c r="K479" s="95"/>
      <c r="L479" s="95"/>
      <c r="N479" s="264"/>
    </row>
    <row r="480" spans="1:14" s="52" customFormat="1" ht="12.4" customHeight="1" x14ac:dyDescent="0.2">
      <c r="A480" s="95" t="s">
        <v>695</v>
      </c>
      <c r="B480" s="112"/>
      <c r="C480" s="112"/>
      <c r="D480" s="112"/>
      <c r="E480" s="112"/>
      <c r="F480" s="112"/>
      <c r="G480" s="112"/>
      <c r="H480" s="112"/>
      <c r="I480" s="112" t="s">
        <v>17</v>
      </c>
      <c r="J480" s="112"/>
      <c r="K480" s="95"/>
      <c r="L480" s="95"/>
      <c r="N480" s="264"/>
    </row>
    <row r="481" spans="1:14" s="52" customFormat="1" ht="12.4" customHeight="1" x14ac:dyDescent="0.2">
      <c r="A481" s="18"/>
      <c r="B481" s="112"/>
      <c r="C481" s="112"/>
      <c r="D481" s="112"/>
      <c r="E481" s="112"/>
      <c r="F481" s="112"/>
      <c r="G481" s="112"/>
      <c r="H481" s="112"/>
      <c r="I481" s="112" t="s">
        <v>401</v>
      </c>
      <c r="J481" s="112"/>
      <c r="K481" s="95"/>
      <c r="L481" s="95"/>
      <c r="N481" s="264"/>
    </row>
    <row r="482" spans="1:14" s="52" customFormat="1" ht="12.4" customHeight="1" x14ac:dyDescent="0.2">
      <c r="A482" s="175"/>
      <c r="B482" s="112"/>
      <c r="C482" s="112"/>
      <c r="D482" s="112"/>
      <c r="E482" s="112"/>
      <c r="F482" s="112"/>
      <c r="G482" s="112"/>
      <c r="H482" s="112"/>
      <c r="I482" s="112" t="s">
        <v>650</v>
      </c>
      <c r="J482" s="112"/>
      <c r="K482" s="95"/>
      <c r="L482" s="95"/>
      <c r="N482" s="264"/>
    </row>
    <row r="483" spans="1:14" s="52" customFormat="1" ht="12.4" customHeight="1" x14ac:dyDescent="0.2">
      <c r="A483" s="95" t="s">
        <v>696</v>
      </c>
      <c r="B483" s="112"/>
      <c r="C483" s="112"/>
      <c r="D483" s="112"/>
      <c r="E483" s="112"/>
      <c r="F483" s="112"/>
      <c r="G483" s="112"/>
      <c r="H483" s="112"/>
      <c r="I483" s="112" t="s">
        <v>473</v>
      </c>
      <c r="J483" s="112"/>
      <c r="K483" s="95"/>
      <c r="L483" s="95"/>
      <c r="N483" s="264"/>
    </row>
    <row r="484" spans="1:14" s="52" customFormat="1" ht="12.4" customHeight="1" x14ac:dyDescent="0.2">
      <c r="A484" s="174" t="s">
        <v>1804</v>
      </c>
      <c r="B484" s="112"/>
      <c r="C484" s="112"/>
      <c r="D484" s="112"/>
      <c r="E484" s="112"/>
      <c r="F484" s="112"/>
      <c r="G484" s="112"/>
      <c r="H484" s="112"/>
      <c r="I484" s="112" t="s">
        <v>18</v>
      </c>
      <c r="J484" s="112"/>
      <c r="K484" s="95"/>
      <c r="L484" s="95"/>
      <c r="N484" s="264"/>
    </row>
    <row r="485" spans="1:14" s="52" customFormat="1" ht="12.4" customHeight="1" x14ac:dyDescent="0.2">
      <c r="A485" s="174" t="s">
        <v>1805</v>
      </c>
      <c r="B485" s="112"/>
      <c r="C485" s="112"/>
      <c r="D485" s="112"/>
      <c r="E485" s="112"/>
      <c r="F485" s="112"/>
      <c r="G485" s="112"/>
      <c r="H485" s="112"/>
      <c r="I485" s="112" t="s">
        <v>474</v>
      </c>
      <c r="J485" s="112"/>
      <c r="K485" s="95"/>
      <c r="L485" s="95"/>
      <c r="N485" s="264"/>
    </row>
    <row r="486" spans="1:14" s="52" customFormat="1" ht="12.4" customHeight="1" x14ac:dyDescent="0.2">
      <c r="A486" s="174"/>
      <c r="B486" s="112"/>
      <c r="C486" s="112"/>
      <c r="D486" s="112"/>
      <c r="E486" s="112"/>
      <c r="F486" s="112"/>
      <c r="G486" s="112"/>
      <c r="H486" s="112"/>
      <c r="I486" s="112" t="s">
        <v>475</v>
      </c>
      <c r="J486" s="112"/>
      <c r="K486" s="95"/>
      <c r="L486" s="95"/>
      <c r="N486" s="264"/>
    </row>
    <row r="487" spans="1:14" s="52" customFormat="1" ht="12.4" customHeight="1" x14ac:dyDescent="0.2">
      <c r="A487" s="22"/>
      <c r="B487" s="112"/>
      <c r="C487" s="112"/>
      <c r="D487" s="112"/>
      <c r="E487" s="112"/>
      <c r="F487" s="112"/>
      <c r="G487" s="112"/>
      <c r="H487" s="112"/>
      <c r="I487" s="112"/>
      <c r="J487" s="112"/>
      <c r="K487" s="95"/>
      <c r="L487" s="95"/>
      <c r="N487" s="264"/>
    </row>
    <row r="488" spans="1:14" s="52" customFormat="1" ht="12.4" customHeight="1" x14ac:dyDescent="0.2">
      <c r="A488" s="96" t="s">
        <v>19</v>
      </c>
      <c r="B488" s="105"/>
      <c r="C488" s="115"/>
      <c r="D488" s="115"/>
      <c r="E488" s="115"/>
      <c r="F488" s="116"/>
      <c r="G488" s="116"/>
      <c r="H488" s="116"/>
      <c r="I488" s="116"/>
      <c r="J488" s="116"/>
      <c r="K488" s="116"/>
      <c r="L488" s="116"/>
      <c r="N488" s="264"/>
    </row>
    <row r="489" spans="1:14" s="52" customFormat="1" ht="12.4"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4" customHeight="1" x14ac:dyDescent="0.2">
      <c r="A491" s="22" t="s">
        <v>614</v>
      </c>
      <c r="B491" s="75">
        <v>20</v>
      </c>
      <c r="C491" s="115">
        <v>1</v>
      </c>
      <c r="D491" s="2" t="s">
        <v>432</v>
      </c>
      <c r="E491" s="115"/>
      <c r="F491" s="154">
        <v>15</v>
      </c>
      <c r="G491" s="154"/>
      <c r="H491" s="154"/>
      <c r="I491" s="154"/>
      <c r="J491" s="154"/>
      <c r="K491" s="24" t="s">
        <v>288</v>
      </c>
      <c r="L491" s="24" t="s">
        <v>288</v>
      </c>
      <c r="N491" s="264"/>
    </row>
    <row r="492" spans="1:14" s="52" customFormat="1" ht="12.4"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4"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4" customHeight="1" x14ac:dyDescent="0.2">
      <c r="A494" s="22" t="s">
        <v>617</v>
      </c>
      <c r="B494" s="75">
        <v>20</v>
      </c>
      <c r="C494" s="115">
        <v>4</v>
      </c>
      <c r="D494" s="2" t="s">
        <v>432</v>
      </c>
      <c r="E494" s="115"/>
      <c r="F494" s="18">
        <v>1780093</v>
      </c>
      <c r="G494" s="18"/>
      <c r="H494" s="18"/>
      <c r="I494" s="18"/>
      <c r="J494" s="18"/>
      <c r="K494" s="24" t="s">
        <v>288</v>
      </c>
      <c r="L494" s="24" t="s">
        <v>288</v>
      </c>
      <c r="N494" s="264"/>
    </row>
    <row r="495" spans="1:14" s="52" customFormat="1" ht="12.4" customHeight="1" x14ac:dyDescent="0.2">
      <c r="A495" s="22" t="s">
        <v>618</v>
      </c>
      <c r="B495" s="75">
        <v>20</v>
      </c>
      <c r="C495" s="115">
        <v>5</v>
      </c>
      <c r="D495" s="2" t="s">
        <v>432</v>
      </c>
      <c r="E495" s="115"/>
      <c r="F495" s="18">
        <v>1.26</v>
      </c>
      <c r="G495" s="18"/>
      <c r="H495" s="18"/>
      <c r="I495" s="18"/>
      <c r="J495" s="18"/>
      <c r="K495" s="24" t="s">
        <v>288</v>
      </c>
      <c r="L495" s="24" t="s">
        <v>288</v>
      </c>
      <c r="N495" s="264"/>
    </row>
    <row r="496" spans="1:14" s="52" customFormat="1" ht="12.4" customHeight="1" x14ac:dyDescent="0.2">
      <c r="A496" s="22" t="s">
        <v>619</v>
      </c>
      <c r="B496" s="75">
        <v>20</v>
      </c>
      <c r="C496" s="115">
        <v>6</v>
      </c>
      <c r="D496" s="2" t="s">
        <v>432</v>
      </c>
      <c r="E496" s="115"/>
      <c r="F496" s="18">
        <v>421382.93</v>
      </c>
      <c r="G496" s="18"/>
      <c r="H496" s="18"/>
      <c r="I496" s="18"/>
      <c r="J496" s="18"/>
      <c r="K496" s="53">
        <f>SUM(F496:J496)</f>
        <v>421382.93</v>
      </c>
      <c r="L496" s="24" t="s">
        <v>288</v>
      </c>
      <c r="N496" s="264"/>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4" customHeight="1" x14ac:dyDescent="0.2">
      <c r="A498" s="22" t="s">
        <v>621</v>
      </c>
      <c r="B498" s="75">
        <v>20</v>
      </c>
      <c r="C498" s="115">
        <v>8</v>
      </c>
      <c r="D498" s="2" t="s">
        <v>432</v>
      </c>
      <c r="E498" s="115"/>
      <c r="F498" s="18">
        <v>141837.04</v>
      </c>
      <c r="G498" s="18"/>
      <c r="H498" s="18"/>
      <c r="I498" s="18"/>
      <c r="J498" s="18"/>
      <c r="K498" s="53">
        <f t="shared" si="35"/>
        <v>141837.04</v>
      </c>
      <c r="L498" s="24" t="s">
        <v>288</v>
      </c>
      <c r="N498" s="264"/>
    </row>
    <row r="499" spans="1:14" s="52" customFormat="1" ht="12.4" customHeight="1" x14ac:dyDescent="0.2">
      <c r="A499" s="199" t="s">
        <v>622</v>
      </c>
      <c r="B499" s="200">
        <v>20</v>
      </c>
      <c r="C499" s="201">
        <v>9</v>
      </c>
      <c r="D499" s="202" t="s">
        <v>432</v>
      </c>
      <c r="E499" s="201"/>
      <c r="F499" s="203">
        <v>282710.07</v>
      </c>
      <c r="G499" s="203"/>
      <c r="H499" s="203"/>
      <c r="I499" s="203"/>
      <c r="J499" s="203"/>
      <c r="K499" s="204">
        <f t="shared" si="35"/>
        <v>282710.07</v>
      </c>
      <c r="L499" s="205" t="s">
        <v>288</v>
      </c>
      <c r="N499" s="264"/>
    </row>
    <row r="500" spans="1:14" s="52" customFormat="1" ht="12.4" customHeight="1" thickBot="1" x14ac:dyDescent="0.25">
      <c r="A500" s="22" t="s">
        <v>623</v>
      </c>
      <c r="B500" s="75">
        <v>20</v>
      </c>
      <c r="C500" s="115">
        <v>10</v>
      </c>
      <c r="D500" s="2" t="s">
        <v>432</v>
      </c>
      <c r="E500" s="115"/>
      <c r="F500" s="18">
        <v>8031.73</v>
      </c>
      <c r="G500" s="18"/>
      <c r="H500" s="18"/>
      <c r="I500" s="18"/>
      <c r="J500" s="18"/>
      <c r="K500" s="53">
        <f t="shared" si="35"/>
        <v>8031.73</v>
      </c>
      <c r="L500" s="24" t="s">
        <v>288</v>
      </c>
      <c r="N500" s="264"/>
    </row>
    <row r="501" spans="1:14" s="52" customFormat="1" ht="12.4" customHeight="1" thickTop="1" x14ac:dyDescent="0.2">
      <c r="A501" s="139" t="s">
        <v>624</v>
      </c>
      <c r="B501" s="44">
        <v>20</v>
      </c>
      <c r="C501" s="194">
        <v>11</v>
      </c>
      <c r="D501" s="39" t="s">
        <v>432</v>
      </c>
      <c r="E501" s="194"/>
      <c r="F501" s="42">
        <f>SUM(F499:F500)</f>
        <v>290741.8</v>
      </c>
      <c r="G501" s="42">
        <f>SUM(G499:G500)</f>
        <v>0</v>
      </c>
      <c r="H501" s="42">
        <f>SUM(H499:H500)</f>
        <v>0</v>
      </c>
      <c r="I501" s="42">
        <f>SUM(I499:I500)</f>
        <v>0</v>
      </c>
      <c r="J501" s="42">
        <f>SUM(J499:J500)</f>
        <v>0</v>
      </c>
      <c r="K501" s="42">
        <f t="shared" si="35"/>
        <v>290741.8</v>
      </c>
      <c r="L501" s="45" t="s">
        <v>288</v>
      </c>
      <c r="N501" s="264"/>
    </row>
    <row r="502" spans="1:14" s="52" customFormat="1" ht="12.4" customHeight="1" x14ac:dyDescent="0.2">
      <c r="A502" s="199" t="s">
        <v>651</v>
      </c>
      <c r="B502" s="200">
        <v>20</v>
      </c>
      <c r="C502" s="201">
        <v>12</v>
      </c>
      <c r="D502" s="202" t="s">
        <v>432</v>
      </c>
      <c r="E502" s="201"/>
      <c r="F502" s="203">
        <v>138672.87</v>
      </c>
      <c r="G502" s="203"/>
      <c r="H502" s="203"/>
      <c r="I502" s="203"/>
      <c r="J502" s="203"/>
      <c r="K502" s="204">
        <f t="shared" si="35"/>
        <v>138672.87</v>
      </c>
      <c r="L502" s="205" t="s">
        <v>288</v>
      </c>
      <c r="N502" s="264"/>
    </row>
    <row r="503" spans="1:14" s="52" customFormat="1" ht="12.4" customHeight="1" thickBot="1" x14ac:dyDescent="0.25">
      <c r="A503" s="22" t="s">
        <v>625</v>
      </c>
      <c r="B503" s="75">
        <v>20</v>
      </c>
      <c r="C503" s="115">
        <v>13</v>
      </c>
      <c r="D503" s="2" t="s">
        <v>432</v>
      </c>
      <c r="E503" s="115"/>
      <c r="F503" s="18">
        <v>4435.79</v>
      </c>
      <c r="G503" s="18"/>
      <c r="H503" s="18"/>
      <c r="I503" s="18"/>
      <c r="J503" s="18"/>
      <c r="K503" s="53">
        <f t="shared" si="35"/>
        <v>4435.79</v>
      </c>
      <c r="L503" s="24" t="s">
        <v>288</v>
      </c>
      <c r="N503" s="264"/>
    </row>
    <row r="504" spans="1:14" s="52" customFormat="1" ht="12.4" customHeight="1" thickTop="1" x14ac:dyDescent="0.2">
      <c r="A504" s="139" t="s">
        <v>626</v>
      </c>
      <c r="B504" s="44">
        <v>20</v>
      </c>
      <c r="C504" s="194">
        <v>14</v>
      </c>
      <c r="D504" s="39" t="s">
        <v>432</v>
      </c>
      <c r="E504" s="194"/>
      <c r="F504" s="42">
        <f>SUM(F502:F503)</f>
        <v>143108.66</v>
      </c>
      <c r="G504" s="42">
        <f>SUM(G502:G503)</f>
        <v>0</v>
      </c>
      <c r="H504" s="42">
        <f>SUM(H502:H503)</f>
        <v>0</v>
      </c>
      <c r="I504" s="42">
        <f>SUM(I502:I503)</f>
        <v>0</v>
      </c>
      <c r="J504" s="42">
        <f>SUM(J502:J503)</f>
        <v>0</v>
      </c>
      <c r="K504" s="42">
        <f t="shared" si="35"/>
        <v>143108.66</v>
      </c>
      <c r="L504" s="45" t="s">
        <v>288</v>
      </c>
      <c r="N504" s="264"/>
    </row>
    <row r="505" spans="1:14" s="52" customFormat="1" ht="12.4" customHeight="1" x14ac:dyDescent="0.2">
      <c r="A505" s="96"/>
      <c r="B505" s="105"/>
      <c r="C505" s="115"/>
      <c r="D505" s="115"/>
      <c r="E505" s="115"/>
      <c r="F505" s="103"/>
      <c r="G505" s="103"/>
      <c r="H505" s="106"/>
      <c r="I505" s="106"/>
      <c r="J505" s="106"/>
      <c r="K505" s="106"/>
      <c r="L505" s="106"/>
      <c r="N505" s="264"/>
    </row>
    <row r="506" spans="1:14" s="52" customFormat="1" ht="12.4" customHeight="1" x14ac:dyDescent="0.2">
      <c r="C506" s="115"/>
      <c r="D506" s="115"/>
      <c r="E506" s="115"/>
      <c r="F506" s="103"/>
      <c r="G506" s="103"/>
      <c r="H506" s="106"/>
      <c r="I506" s="106"/>
      <c r="J506" s="106"/>
      <c r="K506" s="106"/>
      <c r="L506" s="106"/>
      <c r="N506" s="264"/>
    </row>
    <row r="507" spans="1:14" s="52" customFormat="1" ht="12.4" customHeight="1" x14ac:dyDescent="0.2">
      <c r="B507" s="105"/>
      <c r="F507" s="52" t="s">
        <v>41</v>
      </c>
      <c r="G507" s="103" t="s">
        <v>42</v>
      </c>
      <c r="H507" s="103" t="s">
        <v>43</v>
      </c>
      <c r="I507" s="106" t="s">
        <v>44</v>
      </c>
      <c r="J507" s="24" t="s">
        <v>288</v>
      </c>
      <c r="K507" s="24" t="s">
        <v>288</v>
      </c>
      <c r="L507" s="24" t="s">
        <v>288</v>
      </c>
      <c r="N507" s="264"/>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4" customHeight="1" x14ac:dyDescent="0.2">
      <c r="A509" s="96" t="s">
        <v>45</v>
      </c>
      <c r="B509" s="22"/>
      <c r="C509" s="22"/>
      <c r="D509" s="22"/>
      <c r="E509" s="22"/>
      <c r="F509" s="22"/>
      <c r="G509" s="22"/>
      <c r="H509" s="22"/>
      <c r="I509" s="22"/>
      <c r="J509" s="53"/>
      <c r="K509" s="53"/>
      <c r="L509" s="53"/>
      <c r="N509" s="264"/>
    </row>
    <row r="510" spans="1:14" s="52" customFormat="1" ht="12.4" customHeight="1" x14ac:dyDescent="0.2">
      <c r="A510" s="337" t="s">
        <v>1632</v>
      </c>
      <c r="B510" s="22"/>
      <c r="C510" s="22"/>
      <c r="D510" s="22"/>
      <c r="E510" s="22"/>
      <c r="F510" s="122" t="s">
        <v>46</v>
      </c>
      <c r="G510" s="122"/>
      <c r="H510" s="123" t="s">
        <v>47</v>
      </c>
      <c r="I510" s="123"/>
      <c r="J510" s="53"/>
      <c r="K510" s="53"/>
      <c r="L510" s="53"/>
      <c r="N510" s="264"/>
    </row>
    <row r="511" spans="1:14" s="52" customFormat="1" ht="12.4" customHeight="1" x14ac:dyDescent="0.2">
      <c r="A511" s="96"/>
      <c r="B511" s="22"/>
      <c r="C511" s="22"/>
      <c r="D511" s="22"/>
      <c r="E511" s="22"/>
      <c r="F511" s="113" t="s">
        <v>48</v>
      </c>
      <c r="G511" s="113" t="s">
        <v>49</v>
      </c>
      <c r="H511" s="114" t="s">
        <v>48</v>
      </c>
      <c r="I511" s="114" t="s">
        <v>49</v>
      </c>
      <c r="J511" s="53"/>
      <c r="K511" s="53"/>
      <c r="L511" s="53"/>
      <c r="N511" s="264"/>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4"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4"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4" customHeight="1" x14ac:dyDescent="0.2">
      <c r="A522" s="22" t="s">
        <v>633</v>
      </c>
      <c r="B522" s="105">
        <v>21</v>
      </c>
      <c r="C522" s="115">
        <v>1</v>
      </c>
      <c r="D522" s="2" t="s">
        <v>432</v>
      </c>
      <c r="E522" s="115"/>
      <c r="F522" s="18">
        <f>782314.16+435077.32+1544.66+41867.11</f>
        <v>1260803.25</v>
      </c>
      <c r="G522" s="18">
        <f>375864.68+36894.56+37.63+85.2+118.17+3202.76+324.69</f>
        <v>416527.69</v>
      </c>
      <c r="H522" s="18">
        <f>480759.03-24296.14+69064-29100</f>
        <v>496426.89</v>
      </c>
      <c r="I522" s="18">
        <f>3940.07+29905.43</f>
        <v>33845.5</v>
      </c>
      <c r="J522" s="18">
        <f>2343.84+5886.09</f>
        <v>8229.93</v>
      </c>
      <c r="K522" s="18"/>
      <c r="L522" s="88">
        <f>SUM(F522:K522)</f>
        <v>2215833.2600000002</v>
      </c>
      <c r="N522" s="264"/>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4"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4" customHeight="1" thickTop="1" x14ac:dyDescent="0.2">
      <c r="A525" s="139" t="s">
        <v>63</v>
      </c>
      <c r="B525" s="107">
        <v>21</v>
      </c>
      <c r="C525" s="194">
        <v>4</v>
      </c>
      <c r="D525" s="195" t="s">
        <v>432</v>
      </c>
      <c r="E525" s="194"/>
      <c r="F525" s="108">
        <f>SUM(F522:F524)</f>
        <v>1260803.25</v>
      </c>
      <c r="G525" s="108">
        <f t="shared" ref="G525:L525" si="36">SUM(G522:G524)</f>
        <v>416527.69</v>
      </c>
      <c r="H525" s="108">
        <f t="shared" si="36"/>
        <v>496426.89</v>
      </c>
      <c r="I525" s="108">
        <f t="shared" si="36"/>
        <v>33845.5</v>
      </c>
      <c r="J525" s="108">
        <f t="shared" si="36"/>
        <v>8229.93</v>
      </c>
      <c r="K525" s="108">
        <f t="shared" si="36"/>
        <v>0</v>
      </c>
      <c r="L525" s="89">
        <f t="shared" si="36"/>
        <v>2215833.2600000002</v>
      </c>
      <c r="N525" s="264"/>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4" customHeight="1" x14ac:dyDescent="0.15">
      <c r="A527" s="22" t="s">
        <v>633</v>
      </c>
      <c r="B527" s="105">
        <v>21</v>
      </c>
      <c r="C527" s="115">
        <v>5</v>
      </c>
      <c r="D527" s="2" t="s">
        <v>432</v>
      </c>
      <c r="E527" s="115"/>
      <c r="F527" s="18">
        <f>288194.25+232176.22</f>
        <v>520370.47</v>
      </c>
      <c r="G527" s="18">
        <f>147289.3+122906.98</f>
        <v>270196.27999999997</v>
      </c>
      <c r="H527" s="18"/>
      <c r="I527" s="18"/>
      <c r="J527" s="18"/>
      <c r="K527" s="18"/>
      <c r="L527" s="88">
        <f>SUM(F527:K527)</f>
        <v>790566.75</v>
      </c>
      <c r="M527" s="8"/>
      <c r="N527" s="265"/>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4"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4" customHeight="1" thickTop="1" x14ac:dyDescent="0.15">
      <c r="A530" s="139" t="s">
        <v>65</v>
      </c>
      <c r="B530" s="107">
        <v>21</v>
      </c>
      <c r="C530" s="107">
        <v>8</v>
      </c>
      <c r="D530" s="158" t="s">
        <v>432</v>
      </c>
      <c r="E530" s="107"/>
      <c r="F530" s="89">
        <f>SUM(F527:F529)</f>
        <v>520370.47</v>
      </c>
      <c r="G530" s="89">
        <f t="shared" ref="G530:L530" si="37">SUM(G527:G529)</f>
        <v>270196.27999999997</v>
      </c>
      <c r="H530" s="89">
        <f t="shared" si="37"/>
        <v>0</v>
      </c>
      <c r="I530" s="89">
        <f t="shared" si="37"/>
        <v>0</v>
      </c>
      <c r="J530" s="89">
        <f t="shared" si="37"/>
        <v>0</v>
      </c>
      <c r="K530" s="89">
        <f t="shared" si="37"/>
        <v>0</v>
      </c>
      <c r="L530" s="89">
        <f t="shared" si="37"/>
        <v>790566.75</v>
      </c>
      <c r="M530" s="8"/>
      <c r="N530" s="265"/>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4" customHeight="1" x14ac:dyDescent="0.15">
      <c r="A532" s="22" t="s">
        <v>633</v>
      </c>
      <c r="B532" s="105">
        <v>21</v>
      </c>
      <c r="C532" s="105">
        <v>9</v>
      </c>
      <c r="D532" s="2" t="s">
        <v>432</v>
      </c>
      <c r="E532" s="105"/>
      <c r="F532" s="18">
        <f>105144.01+55247.46</f>
        <v>160391.47</v>
      </c>
      <c r="G532" s="18">
        <f>47880.48+22100.11</f>
        <v>69980.59</v>
      </c>
      <c r="H532" s="18"/>
      <c r="I532" s="18"/>
      <c r="J532" s="18"/>
      <c r="K532" s="18">
        <f>835+3508.41</f>
        <v>4343.41</v>
      </c>
      <c r="L532" s="88">
        <f>SUM(F532:K532)</f>
        <v>234715.47</v>
      </c>
      <c r="M532" s="8"/>
      <c r="N532" s="265"/>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4"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4" customHeight="1" thickTop="1" x14ac:dyDescent="0.15">
      <c r="A535" s="139" t="s">
        <v>67</v>
      </c>
      <c r="B535" s="107">
        <v>21</v>
      </c>
      <c r="C535" s="107">
        <v>12</v>
      </c>
      <c r="D535" s="158" t="s">
        <v>432</v>
      </c>
      <c r="E535" s="107"/>
      <c r="F535" s="89">
        <f>SUM(F532:F534)</f>
        <v>160391.47</v>
      </c>
      <c r="G535" s="89">
        <f t="shared" ref="G535:L535" si="38">SUM(G532:G534)</f>
        <v>69980.59</v>
      </c>
      <c r="H535" s="89">
        <f t="shared" si="38"/>
        <v>0</v>
      </c>
      <c r="I535" s="89">
        <f t="shared" si="38"/>
        <v>0</v>
      </c>
      <c r="J535" s="89">
        <f t="shared" si="38"/>
        <v>0</v>
      </c>
      <c r="K535" s="89">
        <f t="shared" si="38"/>
        <v>4343.41</v>
      </c>
      <c r="L535" s="89">
        <f t="shared" si="38"/>
        <v>234715.47</v>
      </c>
      <c r="M535" s="8"/>
      <c r="N535" s="265"/>
    </row>
    <row r="536" spans="1:14" s="3" customFormat="1" ht="12.4"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4" customHeight="1" x14ac:dyDescent="0.15">
      <c r="A537" s="22" t="s">
        <v>633</v>
      </c>
      <c r="B537" s="105">
        <v>21</v>
      </c>
      <c r="C537" s="105">
        <v>13</v>
      </c>
      <c r="D537" s="2" t="s">
        <v>432</v>
      </c>
      <c r="E537" s="105"/>
      <c r="F537" s="18"/>
      <c r="G537" s="18"/>
      <c r="H537" s="18">
        <v>24296.14</v>
      </c>
      <c r="I537" s="18"/>
      <c r="J537" s="18"/>
      <c r="K537" s="18"/>
      <c r="L537" s="88">
        <f>SUM(F537:K537)</f>
        <v>24296.14</v>
      </c>
      <c r="M537" s="8"/>
      <c r="N537" s="265"/>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4"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24296.14</v>
      </c>
      <c r="I540" s="89">
        <f t="shared" si="39"/>
        <v>0</v>
      </c>
      <c r="J540" s="89">
        <f t="shared" si="39"/>
        <v>0</v>
      </c>
      <c r="K540" s="89">
        <f t="shared" si="39"/>
        <v>0</v>
      </c>
      <c r="L540" s="89">
        <f t="shared" si="39"/>
        <v>24296.14</v>
      </c>
      <c r="M540" s="8"/>
      <c r="N540" s="265"/>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4" customHeight="1" x14ac:dyDescent="0.15">
      <c r="A542" s="22" t="s">
        <v>633</v>
      </c>
      <c r="B542" s="105">
        <v>21</v>
      </c>
      <c r="C542" s="105">
        <v>17</v>
      </c>
      <c r="D542" s="2" t="s">
        <v>432</v>
      </c>
      <c r="E542" s="105"/>
      <c r="F542" s="18"/>
      <c r="G542" s="18"/>
      <c r="H542" s="18">
        <f>141893.71+29100</f>
        <v>170993.71</v>
      </c>
      <c r="I542" s="18"/>
      <c r="J542" s="18"/>
      <c r="K542" s="18"/>
      <c r="L542" s="88">
        <f>SUM(F542:K542)</f>
        <v>170993.71</v>
      </c>
      <c r="M542" s="8"/>
      <c r="N542" s="265"/>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4"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4" customHeight="1" thickTop="1" thickBot="1" x14ac:dyDescent="0.2">
      <c r="A545" s="130" t="s">
        <v>71</v>
      </c>
      <c r="B545" s="190">
        <v>21</v>
      </c>
      <c r="C545" s="190">
        <v>20</v>
      </c>
      <c r="D545" s="191" t="s">
        <v>432</v>
      </c>
      <c r="E545" s="190"/>
      <c r="F545" s="192">
        <f>SUM(F542:F544)</f>
        <v>0</v>
      </c>
      <c r="G545" s="192">
        <f t="shared" ref="G545:L545" si="40">SUM(G542:G544)</f>
        <v>0</v>
      </c>
      <c r="H545" s="192">
        <f t="shared" si="40"/>
        <v>170993.71</v>
      </c>
      <c r="I545" s="192">
        <f t="shared" si="40"/>
        <v>0</v>
      </c>
      <c r="J545" s="192">
        <f t="shared" si="40"/>
        <v>0</v>
      </c>
      <c r="K545" s="192">
        <f t="shared" si="40"/>
        <v>0</v>
      </c>
      <c r="L545" s="192">
        <f t="shared" si="40"/>
        <v>170993.71</v>
      </c>
      <c r="M545" s="8"/>
      <c r="N545" s="265"/>
    </row>
    <row r="546" spans="1:14" s="3" customFormat="1" ht="12.4" customHeight="1" thickTop="1" x14ac:dyDescent="0.15">
      <c r="A546" s="98" t="s">
        <v>72</v>
      </c>
      <c r="B546" s="107">
        <v>21</v>
      </c>
      <c r="C546" s="107">
        <v>21</v>
      </c>
      <c r="D546" s="158" t="s">
        <v>432</v>
      </c>
      <c r="E546" s="107"/>
      <c r="F546" s="89">
        <f>F525+F530+F535+F540+F545</f>
        <v>1941565.19</v>
      </c>
      <c r="G546" s="89">
        <f t="shared" ref="G546:L546" si="41">G525+G530+G535+G540+G545</f>
        <v>756704.55999999994</v>
      </c>
      <c r="H546" s="89">
        <f t="shared" si="41"/>
        <v>691716.74</v>
      </c>
      <c r="I546" s="89">
        <f t="shared" si="41"/>
        <v>33845.5</v>
      </c>
      <c r="J546" s="89">
        <f t="shared" si="41"/>
        <v>8229.93</v>
      </c>
      <c r="K546" s="89">
        <f t="shared" si="41"/>
        <v>4343.41</v>
      </c>
      <c r="L546" s="89">
        <f t="shared" si="41"/>
        <v>3436405.3300000005</v>
      </c>
      <c r="M546" s="8"/>
      <c r="N546" s="265"/>
    </row>
    <row r="547" spans="1:14" s="3" customFormat="1" ht="12.4" customHeight="1" x14ac:dyDescent="0.15">
      <c r="A547" s="99"/>
      <c r="B547" s="105"/>
      <c r="C547" s="105"/>
      <c r="D547" s="105"/>
      <c r="E547" s="105"/>
      <c r="F547" s="87"/>
      <c r="G547" s="87"/>
      <c r="H547" s="87"/>
      <c r="I547" s="87"/>
      <c r="J547" s="87"/>
      <c r="K547" s="87"/>
      <c r="L547" s="87"/>
      <c r="M547" s="8"/>
      <c r="N547" s="265"/>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4" customHeight="1" x14ac:dyDescent="0.15">
      <c r="A550" s="22" t="s">
        <v>633</v>
      </c>
      <c r="B550" s="75">
        <v>21</v>
      </c>
      <c r="C550" s="75">
        <v>22</v>
      </c>
      <c r="D550" s="2" t="s">
        <v>432</v>
      </c>
      <c r="E550" s="75"/>
      <c r="F550" s="87">
        <f>L522</f>
        <v>2215833.2600000002</v>
      </c>
      <c r="G550" s="87">
        <f>L527</f>
        <v>790566.75</v>
      </c>
      <c r="H550" s="87">
        <f>L532</f>
        <v>234715.47</v>
      </c>
      <c r="I550" s="87">
        <f>L537</f>
        <v>24296.14</v>
      </c>
      <c r="J550" s="87">
        <f>L542</f>
        <v>170993.71</v>
      </c>
      <c r="K550" s="87">
        <f>SUM(F550:J550)</f>
        <v>3436405.3300000005</v>
      </c>
      <c r="L550" s="24" t="s">
        <v>288</v>
      </c>
      <c r="M550" s="8"/>
      <c r="N550" s="265"/>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4"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4" customHeight="1" thickTop="1" x14ac:dyDescent="0.15">
      <c r="A553" s="172" t="s">
        <v>340</v>
      </c>
      <c r="B553" s="44">
        <v>21</v>
      </c>
      <c r="C553" s="44">
        <v>25</v>
      </c>
      <c r="D553" s="39" t="s">
        <v>432</v>
      </c>
      <c r="E553" s="44"/>
      <c r="F553" s="89">
        <f t="shared" ref="F553:K553" si="42">SUM(F550:F552)</f>
        <v>2215833.2600000002</v>
      </c>
      <c r="G553" s="89">
        <f t="shared" si="42"/>
        <v>790566.75</v>
      </c>
      <c r="H553" s="89">
        <f t="shared" si="42"/>
        <v>234715.47</v>
      </c>
      <c r="I553" s="89">
        <f t="shared" si="42"/>
        <v>24296.14</v>
      </c>
      <c r="J553" s="89">
        <f t="shared" si="42"/>
        <v>170993.71</v>
      </c>
      <c r="K553" s="89">
        <f t="shared" si="42"/>
        <v>3436405.3300000005</v>
      </c>
      <c r="L553" s="24"/>
      <c r="M553" s="8"/>
      <c r="N553" s="265"/>
    </row>
    <row r="554" spans="1:14" s="3" customFormat="1" ht="12.4" customHeight="1" x14ac:dyDescent="0.15">
      <c r="A554" s="96" t="s">
        <v>580</v>
      </c>
      <c r="B554" s="105"/>
      <c r="C554" s="105"/>
      <c r="D554" s="105"/>
      <c r="E554" s="105"/>
      <c r="F554" s="87"/>
      <c r="G554" s="87"/>
      <c r="H554" s="87"/>
      <c r="I554" s="87"/>
      <c r="J554" s="87"/>
      <c r="K554" s="87"/>
      <c r="L554" s="87"/>
      <c r="M554" s="8"/>
      <c r="N554" s="265"/>
    </row>
    <row r="555" spans="1:14" s="3" customFormat="1" ht="12.4"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4"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4"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4"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4" customHeight="1" x14ac:dyDescent="0.15">
      <c r="A573" s="97"/>
      <c r="B573" s="75"/>
      <c r="C573" s="75"/>
      <c r="D573" s="75"/>
      <c r="E573" s="75"/>
      <c r="F573" s="87"/>
      <c r="G573" s="87"/>
      <c r="H573" s="87"/>
      <c r="I573" s="87"/>
      <c r="J573" s="87"/>
      <c r="K573" s="87"/>
      <c r="L573" s="87"/>
      <c r="M573" s="8"/>
      <c r="N573" s="265"/>
    </row>
    <row r="574" spans="1:14" s="3" customFormat="1" ht="12.4" customHeight="1" x14ac:dyDescent="0.15">
      <c r="A574" s="97" t="s">
        <v>771</v>
      </c>
      <c r="B574" s="75"/>
      <c r="C574" s="75"/>
      <c r="D574" s="75"/>
      <c r="E574" s="75"/>
      <c r="F574" s="87"/>
      <c r="G574" s="87"/>
      <c r="H574" s="87"/>
      <c r="I574" s="87"/>
      <c r="J574" s="87"/>
      <c r="K574" s="87"/>
      <c r="L574" s="87"/>
      <c r="M574" s="8"/>
      <c r="N574" s="265"/>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4" customHeight="1" x14ac:dyDescent="0.15">
      <c r="A583" s="146" t="s">
        <v>673</v>
      </c>
      <c r="B583" s="75">
        <v>22</v>
      </c>
      <c r="C583" s="75">
        <v>21</v>
      </c>
      <c r="D583" s="2" t="s">
        <v>432</v>
      </c>
      <c r="E583" s="75">
        <v>564</v>
      </c>
      <c r="F583" s="18">
        <v>232598.92</v>
      </c>
      <c r="G583" s="18"/>
      <c r="H583" s="18"/>
      <c r="I583" s="87">
        <f t="shared" si="47"/>
        <v>232598.92</v>
      </c>
      <c r="J583" s="24" t="s">
        <v>288</v>
      </c>
      <c r="K583" s="24" t="s">
        <v>288</v>
      </c>
      <c r="L583" s="24" t="s">
        <v>288</v>
      </c>
      <c r="M583" s="8"/>
      <c r="N583" s="265"/>
    </row>
    <row r="584" spans="1:14" s="3" customFormat="1" ht="12.4" customHeight="1" x14ac:dyDescent="0.15">
      <c r="A584" s="146" t="s">
        <v>636</v>
      </c>
      <c r="B584" s="75">
        <v>22</v>
      </c>
      <c r="C584" s="75">
        <v>22</v>
      </c>
      <c r="D584" s="2" t="s">
        <v>432</v>
      </c>
      <c r="E584" s="75">
        <v>569</v>
      </c>
      <c r="F584" s="18">
        <v>81216.28</v>
      </c>
      <c r="G584" s="18"/>
      <c r="H584" s="18"/>
      <c r="I584" s="87">
        <f t="shared" si="47"/>
        <v>81216.28</v>
      </c>
      <c r="J584" s="24" t="s">
        <v>288</v>
      </c>
      <c r="K584" s="24" t="s">
        <v>288</v>
      </c>
      <c r="L584" s="24" t="s">
        <v>288</v>
      </c>
      <c r="M584" s="8"/>
      <c r="N584" s="265"/>
    </row>
    <row r="585" spans="1:14" s="3" customFormat="1" ht="12.4"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4" customHeight="1" x14ac:dyDescent="0.15">
      <c r="A589" s="173" t="s">
        <v>743</v>
      </c>
      <c r="B589" s="105"/>
      <c r="C589" s="105"/>
      <c r="D589" s="105"/>
      <c r="E589" s="105"/>
      <c r="F589" s="103"/>
      <c r="G589" s="103"/>
      <c r="H589" s="103"/>
      <c r="I589" s="103"/>
      <c r="J589" s="103"/>
      <c r="K589" s="103"/>
      <c r="L589" s="103"/>
      <c r="M589" s="8"/>
      <c r="N589" s="265"/>
    </row>
    <row r="590" spans="1:14" s="3" customFormat="1" ht="12.4" customHeight="1" x14ac:dyDescent="0.15">
      <c r="A590" s="147" t="s">
        <v>654</v>
      </c>
      <c r="B590" s="105"/>
      <c r="C590" s="105"/>
      <c r="D590" s="105"/>
      <c r="E590" s="105"/>
      <c r="F590" s="103"/>
      <c r="G590" s="103"/>
      <c r="H590" s="103"/>
      <c r="I590" s="103"/>
      <c r="J590" s="103"/>
      <c r="K590" s="103"/>
      <c r="L590" s="103"/>
      <c r="M590" s="8"/>
      <c r="N590" s="265"/>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4" customHeight="1" x14ac:dyDescent="0.15">
      <c r="A592" s="3" t="s">
        <v>637</v>
      </c>
      <c r="B592" s="75">
        <v>23</v>
      </c>
      <c r="C592" s="75">
        <v>1</v>
      </c>
      <c r="D592" s="2" t="s">
        <v>432</v>
      </c>
      <c r="E592" s="75"/>
      <c r="F592" s="102">
        <v>2721</v>
      </c>
      <c r="G592" s="103" t="s">
        <v>97</v>
      </c>
      <c r="H592" s="18">
        <v>696195.5</v>
      </c>
      <c r="I592" s="18"/>
      <c r="J592" s="18"/>
      <c r="K592" s="104">
        <f t="shared" ref="K592:K598" si="48">SUM(H592:J592)</f>
        <v>696195.5</v>
      </c>
      <c r="L592" s="24" t="s">
        <v>288</v>
      </c>
      <c r="M592" s="8"/>
      <c r="N592" s="265"/>
    </row>
    <row r="593" spans="1:14" s="3" customFormat="1" ht="12.4" customHeight="1" x14ac:dyDescent="0.15">
      <c r="A593" s="3" t="s">
        <v>638</v>
      </c>
      <c r="B593" s="75">
        <v>23</v>
      </c>
      <c r="C593" s="75">
        <v>2</v>
      </c>
      <c r="D593" s="2" t="s">
        <v>432</v>
      </c>
      <c r="E593" s="75"/>
      <c r="F593" s="102">
        <v>2722</v>
      </c>
      <c r="G593" s="103" t="s">
        <v>97</v>
      </c>
      <c r="H593" s="18">
        <f>141893.71+29100</f>
        <v>170993.71</v>
      </c>
      <c r="I593" s="18"/>
      <c r="J593" s="18"/>
      <c r="K593" s="104">
        <f t="shared" si="48"/>
        <v>170993.71</v>
      </c>
      <c r="L593" s="24" t="s">
        <v>288</v>
      </c>
      <c r="M593" s="8"/>
      <c r="N593" s="265"/>
    </row>
    <row r="594" spans="1:14" s="3" customFormat="1" ht="12.4"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4" customHeight="1" x14ac:dyDescent="0.15">
      <c r="A595" s="22" t="s">
        <v>640</v>
      </c>
      <c r="B595" s="75">
        <v>23</v>
      </c>
      <c r="C595" s="75">
        <v>4</v>
      </c>
      <c r="D595" s="2" t="s">
        <v>432</v>
      </c>
      <c r="E595" s="75"/>
      <c r="F595" s="102">
        <v>2724</v>
      </c>
      <c r="G595" s="103" t="s">
        <v>97</v>
      </c>
      <c r="H595" s="18">
        <v>7917.68</v>
      </c>
      <c r="I595" s="18"/>
      <c r="J595" s="18"/>
      <c r="K595" s="104">
        <f t="shared" si="48"/>
        <v>7917.68</v>
      </c>
      <c r="L595" s="24" t="s">
        <v>288</v>
      </c>
      <c r="M595" s="8"/>
      <c r="N595" s="265"/>
    </row>
    <row r="596" spans="1:14" s="3" customFormat="1" ht="12.4" customHeight="1" x14ac:dyDescent="0.15">
      <c r="A596" s="171" t="s">
        <v>652</v>
      </c>
      <c r="B596" s="75">
        <v>23</v>
      </c>
      <c r="C596" s="75">
        <v>5</v>
      </c>
      <c r="D596" s="2" t="s">
        <v>432</v>
      </c>
      <c r="E596" s="75"/>
      <c r="F596" s="102">
        <v>2725</v>
      </c>
      <c r="G596" s="103" t="s">
        <v>97</v>
      </c>
      <c r="H596" s="18">
        <v>6537.72</v>
      </c>
      <c r="I596" s="18"/>
      <c r="J596" s="18"/>
      <c r="K596" s="104">
        <f t="shared" si="48"/>
        <v>6537.72</v>
      </c>
      <c r="L596" s="24" t="s">
        <v>288</v>
      </c>
      <c r="M596" s="8"/>
      <c r="N596" s="265"/>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4" customHeight="1" thickBot="1" x14ac:dyDescent="0.2">
      <c r="A598" s="3" t="s">
        <v>655</v>
      </c>
      <c r="B598" s="75">
        <v>23</v>
      </c>
      <c r="C598" s="75">
        <v>7</v>
      </c>
      <c r="D598" s="2" t="s">
        <v>432</v>
      </c>
      <c r="E598" s="75"/>
      <c r="F598" s="102">
        <v>2729</v>
      </c>
      <c r="G598" s="103" t="s">
        <v>97</v>
      </c>
      <c r="H598" s="18">
        <v>34654.910000000003</v>
      </c>
      <c r="I598" s="18"/>
      <c r="J598" s="18"/>
      <c r="K598" s="104">
        <f t="shared" si="48"/>
        <v>34654.910000000003</v>
      </c>
      <c r="L598" s="24" t="s">
        <v>288</v>
      </c>
      <c r="M598" s="8"/>
      <c r="N598" s="265"/>
    </row>
    <row r="599" spans="1:14" s="3" customFormat="1" ht="12.4" customHeight="1" thickTop="1" x14ac:dyDescent="0.15">
      <c r="A599" s="98" t="s">
        <v>340</v>
      </c>
      <c r="B599" s="44">
        <v>23</v>
      </c>
      <c r="C599" s="44">
        <v>8</v>
      </c>
      <c r="D599" s="39" t="s">
        <v>432</v>
      </c>
      <c r="E599" s="44"/>
      <c r="F599" s="148">
        <v>2700</v>
      </c>
      <c r="G599" s="149" t="s">
        <v>97</v>
      </c>
      <c r="H599" s="108">
        <f>SUM(H592:H598)</f>
        <v>916299.52</v>
      </c>
      <c r="I599" s="108">
        <f>SUM(I592:I598)</f>
        <v>0</v>
      </c>
      <c r="J599" s="108">
        <f>SUM(J592:J598)</f>
        <v>0</v>
      </c>
      <c r="K599" s="108">
        <f>SUM(K592:K598)</f>
        <v>916299.52</v>
      </c>
      <c r="L599" s="24" t="s">
        <v>288</v>
      </c>
      <c r="M599" s="8"/>
      <c r="N599" s="265"/>
    </row>
    <row r="600" spans="1:14" s="3" customFormat="1" ht="12.4" customHeight="1" x14ac:dyDescent="0.15">
      <c r="A600" s="22"/>
      <c r="B600" s="105"/>
      <c r="C600" s="105"/>
      <c r="D600" s="105"/>
      <c r="E600" s="105"/>
      <c r="F600" s="103"/>
      <c r="G600" s="103"/>
      <c r="H600" s="103"/>
      <c r="I600" s="103"/>
      <c r="J600" s="103"/>
      <c r="K600" s="103"/>
      <c r="L600" s="103"/>
      <c r="M600" s="8"/>
      <c r="N600" s="265"/>
    </row>
    <row r="601" spans="1:14" s="3" customFormat="1" ht="12.4" customHeight="1" x14ac:dyDescent="0.15">
      <c r="A601" s="96" t="s">
        <v>98</v>
      </c>
      <c r="B601" s="105"/>
      <c r="C601" s="105"/>
      <c r="D601" s="105"/>
      <c r="E601" s="105"/>
      <c r="F601" s="103"/>
      <c r="G601" s="103"/>
      <c r="H601" s="103"/>
      <c r="I601" s="103"/>
      <c r="J601" s="103"/>
      <c r="K601" s="103"/>
      <c r="L601" s="103"/>
      <c r="M601" s="8"/>
      <c r="N601" s="265"/>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4" customHeight="1" x14ac:dyDescent="0.15">
      <c r="A604" s="22" t="s">
        <v>643</v>
      </c>
      <c r="B604" s="105">
        <v>23</v>
      </c>
      <c r="C604" s="105">
        <v>10</v>
      </c>
      <c r="D604" s="2" t="s">
        <v>432</v>
      </c>
      <c r="E604" s="105"/>
      <c r="F604" s="103" t="s">
        <v>476</v>
      </c>
      <c r="G604" s="102">
        <v>720</v>
      </c>
      <c r="H604" s="18">
        <f>14753+3865.33</f>
        <v>18618.330000000002</v>
      </c>
      <c r="I604" s="18"/>
      <c r="J604" s="18"/>
      <c r="K604" s="104">
        <f>SUM(H604:J604)</f>
        <v>18618.330000000002</v>
      </c>
      <c r="L604" s="24" t="s">
        <v>288</v>
      </c>
      <c r="M604" s="8"/>
      <c r="N604" s="265"/>
    </row>
    <row r="605" spans="1:14" s="3" customFormat="1" ht="12.4" customHeight="1" thickBot="1" x14ac:dyDescent="0.2">
      <c r="A605" s="22" t="s">
        <v>644</v>
      </c>
      <c r="B605" s="105">
        <v>23</v>
      </c>
      <c r="C605" s="105">
        <v>11</v>
      </c>
      <c r="D605" s="2" t="s">
        <v>432</v>
      </c>
      <c r="E605" s="105"/>
      <c r="F605" s="103" t="s">
        <v>476</v>
      </c>
      <c r="G605" s="102">
        <v>730</v>
      </c>
      <c r="H605" s="18">
        <f>110864.33+109530.77+6716.98</f>
        <v>227112.08000000002</v>
      </c>
      <c r="I605" s="18"/>
      <c r="J605" s="18"/>
      <c r="K605" s="104">
        <f>SUM(H605:J605)</f>
        <v>227112.08000000002</v>
      </c>
      <c r="L605" s="24" t="s">
        <v>288</v>
      </c>
      <c r="M605" s="8"/>
      <c r="N605" s="265"/>
    </row>
    <row r="606" spans="1:14" s="3" customFormat="1" ht="12.4" customHeight="1" thickTop="1" x14ac:dyDescent="0.15">
      <c r="A606" s="98" t="s">
        <v>340</v>
      </c>
      <c r="B606" s="44">
        <v>23</v>
      </c>
      <c r="C606" s="44">
        <v>12</v>
      </c>
      <c r="D606" s="39" t="s">
        <v>432</v>
      </c>
      <c r="E606" s="44"/>
      <c r="F606" s="149" t="s">
        <v>476</v>
      </c>
      <c r="G606" s="148">
        <v>700</v>
      </c>
      <c r="H606" s="108">
        <f>SUM(H603:H605)</f>
        <v>245730.41000000003</v>
      </c>
      <c r="I606" s="108">
        <f>SUM(I603:I605)</f>
        <v>0</v>
      </c>
      <c r="J606" s="108">
        <f>SUM(J603:J605)</f>
        <v>0</v>
      </c>
      <c r="K606" s="108">
        <f>SUM(K603:K605)</f>
        <v>245730.41000000003</v>
      </c>
      <c r="L606" s="24" t="s">
        <v>288</v>
      </c>
      <c r="M606" s="8"/>
      <c r="N606" s="265"/>
    </row>
    <row r="607" spans="1:14" s="3" customFormat="1" ht="12.4" customHeight="1" x14ac:dyDescent="0.15">
      <c r="A607" s="22"/>
      <c r="B607" s="105"/>
      <c r="C607" s="105"/>
      <c r="D607" s="105"/>
      <c r="E607" s="105"/>
      <c r="F607" s="103"/>
      <c r="G607" s="103"/>
      <c r="H607" s="103"/>
      <c r="I607" s="103"/>
      <c r="J607" s="103"/>
      <c r="K607" s="103"/>
      <c r="L607" s="88"/>
      <c r="M607" s="8"/>
      <c r="N607" s="265"/>
    </row>
    <row r="608" spans="1:14" s="3" customFormat="1" ht="12.4" customHeight="1" x14ac:dyDescent="0.15">
      <c r="A608" s="96"/>
      <c r="B608" s="105"/>
      <c r="C608" s="105"/>
      <c r="D608" s="105"/>
      <c r="E608" s="105"/>
      <c r="F608" s="103"/>
      <c r="G608" s="103"/>
      <c r="H608" s="103"/>
      <c r="I608" s="103"/>
      <c r="J608" s="103"/>
      <c r="K608" s="103"/>
      <c r="L608" s="88"/>
      <c r="M608" s="8"/>
      <c r="N608" s="265"/>
    </row>
    <row r="609" spans="1:14" s="3" customFormat="1" ht="12.4" customHeight="1" x14ac:dyDescent="0.15">
      <c r="A609" s="96" t="s">
        <v>581</v>
      </c>
      <c r="B609" s="105"/>
      <c r="C609" s="105"/>
      <c r="D609" s="105"/>
      <c r="E609" s="105"/>
      <c r="F609" s="103"/>
      <c r="G609" s="103"/>
      <c r="H609" s="103"/>
      <c r="I609" s="103"/>
      <c r="J609" s="103"/>
      <c r="K609" s="103"/>
      <c r="L609" s="88"/>
      <c r="M609" s="8"/>
      <c r="N609" s="265"/>
    </row>
    <row r="610" spans="1:14" s="3" customFormat="1" ht="12.4"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4" customHeight="1" x14ac:dyDescent="0.15">
      <c r="A612" s="22" t="s">
        <v>633</v>
      </c>
      <c r="B612" s="75">
        <v>23</v>
      </c>
      <c r="C612" s="75">
        <v>13</v>
      </c>
      <c r="D612" s="2" t="s">
        <v>432</v>
      </c>
      <c r="E612" s="75"/>
      <c r="F612" s="18">
        <v>1300</v>
      </c>
      <c r="G612" s="18"/>
      <c r="H612" s="18"/>
      <c r="I612" s="18"/>
      <c r="J612" s="18"/>
      <c r="K612" s="18"/>
      <c r="L612" s="88">
        <f>SUM(F612:K612)</f>
        <v>1300</v>
      </c>
      <c r="M612" s="8"/>
      <c r="N612" s="265"/>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4"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4" customHeight="1" thickTop="1" x14ac:dyDescent="0.15">
      <c r="A615" s="98" t="s">
        <v>340</v>
      </c>
      <c r="B615" s="107">
        <v>23</v>
      </c>
      <c r="C615" s="107">
        <v>16</v>
      </c>
      <c r="D615" s="39" t="s">
        <v>432</v>
      </c>
      <c r="E615" s="107"/>
      <c r="F615" s="108">
        <f t="shared" ref="F615:L615" si="49">SUM(F612:F614)</f>
        <v>1300</v>
      </c>
      <c r="G615" s="108">
        <f t="shared" si="49"/>
        <v>0</v>
      </c>
      <c r="H615" s="108">
        <f t="shared" si="49"/>
        <v>0</v>
      </c>
      <c r="I615" s="108">
        <f t="shared" si="49"/>
        <v>0</v>
      </c>
      <c r="J615" s="108">
        <f t="shared" si="49"/>
        <v>0</v>
      </c>
      <c r="K615" s="108">
        <f t="shared" si="49"/>
        <v>0</v>
      </c>
      <c r="L615" s="89">
        <f t="shared" si="49"/>
        <v>1300</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669762.07999999996</v>
      </c>
      <c r="H618" s="109">
        <f>SUM(F52)</f>
        <v>669762.08000000007</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320123.46999999997</v>
      </c>
      <c r="H619" s="109">
        <f>SUM(G52)</f>
        <v>320123.46999999997</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319589.78999999998</v>
      </c>
      <c r="H620" s="109">
        <f>SUM(H52)</f>
        <v>319589.79000000004</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486749.34</v>
      </c>
      <c r="H622" s="109">
        <f>SUM(J52)</f>
        <v>486749.34</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481112.03</v>
      </c>
      <c r="H623" s="109">
        <f>F477</f>
        <v>481112.03000000119</v>
      </c>
      <c r="I623" s="121" t="s">
        <v>101</v>
      </c>
      <c r="J623" s="109">
        <f t="shared" ref="J623:J656" si="50">G623-H623</f>
        <v>-1.1641532182693481E-9</v>
      </c>
      <c r="K623" s="109"/>
      <c r="L623" s="109"/>
      <c r="M623" s="8"/>
    </row>
    <row r="624" spans="1:14" s="3" customFormat="1" ht="12.4" customHeight="1" x14ac:dyDescent="0.15">
      <c r="A624" s="97"/>
      <c r="B624" s="105"/>
      <c r="C624" s="119"/>
      <c r="D624" s="119"/>
      <c r="E624" s="119"/>
      <c r="F624" s="119" t="s">
        <v>866</v>
      </c>
      <c r="G624" s="109">
        <f>G51</f>
        <v>311213.55</v>
      </c>
      <c r="H624" s="109">
        <f>G477</f>
        <v>311213.54999999993</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486749.34</v>
      </c>
      <c r="H627" s="109">
        <f>J477</f>
        <v>486749.33999999997</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14884376.060000001</v>
      </c>
      <c r="H628" s="104">
        <f>SUM(F469)</f>
        <v>14884376.060000001</v>
      </c>
      <c r="I628" s="140" t="s">
        <v>106</v>
      </c>
      <c r="J628" s="109">
        <f>G628-H628</f>
        <v>0</v>
      </c>
      <c r="K628" s="85"/>
      <c r="L628" s="88"/>
      <c r="M628" s="8"/>
    </row>
    <row r="629" spans="1:13" s="3" customFormat="1" ht="12.4" customHeight="1" x14ac:dyDescent="0.15">
      <c r="A629" s="22"/>
      <c r="B629" s="105"/>
      <c r="C629" s="105"/>
      <c r="D629" s="105"/>
      <c r="E629" s="105"/>
      <c r="F629" s="120" t="s">
        <v>659</v>
      </c>
      <c r="G629" s="109">
        <f>G194</f>
        <v>528980.13</v>
      </c>
      <c r="H629" s="104">
        <f>SUM(G469)</f>
        <v>528980.13</v>
      </c>
      <c r="I629" s="140" t="s">
        <v>107</v>
      </c>
      <c r="J629" s="109">
        <f>G629-H629</f>
        <v>0</v>
      </c>
      <c r="K629" s="85"/>
      <c r="L629" s="88"/>
      <c r="M629" s="8"/>
    </row>
    <row r="630" spans="1:13" s="3" customFormat="1" ht="12.4" customHeight="1" x14ac:dyDescent="0.15">
      <c r="A630" s="22"/>
      <c r="B630" s="105"/>
      <c r="C630" s="105"/>
      <c r="D630" s="105"/>
      <c r="E630" s="105"/>
      <c r="F630" s="120" t="s">
        <v>660</v>
      </c>
      <c r="G630" s="109">
        <f>H194</f>
        <v>1461897.2</v>
      </c>
      <c r="H630" s="104">
        <f>SUM(H469)</f>
        <v>1461897.2</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15119.400000000001</v>
      </c>
      <c r="H632" s="104">
        <f>SUM(J469)</f>
        <v>15119.400000000001</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15110507.759999998</v>
      </c>
      <c r="H633" s="104">
        <f>SUM(F473)</f>
        <v>15110507.76</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1461897.2</v>
      </c>
      <c r="H634" s="104">
        <f>SUM(H473)</f>
        <v>1461897.2</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198038.72</v>
      </c>
      <c r="H635" s="104">
        <f>I370</f>
        <v>198038.72</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403860.38999999996</v>
      </c>
      <c r="H636" s="104">
        <f>SUM(G473)</f>
        <v>403860.39</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15119.4</v>
      </c>
      <c r="H638" s="164">
        <f>SUM(J469)</f>
        <v>15119.400000000001</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486749.34</v>
      </c>
      <c r="H641" s="104">
        <f>SUM(G462)</f>
        <v>486749.34</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486749.34</v>
      </c>
      <c r="H643" s="104">
        <f>SUM(I462)</f>
        <v>486749.34</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15119.400000000001</v>
      </c>
      <c r="H645" s="104">
        <f>H409</f>
        <v>15119.4</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15119.400000000001</v>
      </c>
      <c r="H647" s="104">
        <f>L409</f>
        <v>15119.4</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916299.52</v>
      </c>
      <c r="H648" s="104">
        <f>L209+L227+L245</f>
        <v>916299.52</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245730.41000000003</v>
      </c>
      <c r="H649" s="104">
        <f>(J258+J339)-(J256+J337)</f>
        <v>245730.40999999997</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916299.52</v>
      </c>
      <c r="H650" s="104">
        <f>H599</f>
        <v>916299.52</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G180+G182</f>
        <v>3100</v>
      </c>
      <c r="H653" s="104">
        <f>K264+K346</f>
        <v>3100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27" t="s">
        <v>1633</v>
      </c>
      <c r="F660" s="14" t="s">
        <v>286</v>
      </c>
      <c r="G660" s="13"/>
      <c r="H660" s="13"/>
      <c r="I660" s="13"/>
      <c r="J660" s="13"/>
      <c r="K660" s="13"/>
      <c r="L660" s="13"/>
      <c r="M660" s="9"/>
    </row>
    <row r="661" spans="1:13" s="3" customFormat="1" ht="12.4" customHeight="1" x14ac:dyDescent="0.15">
      <c r="A661" s="1" t="s">
        <v>126</v>
      </c>
      <c r="F661" s="19">
        <f>(L212+L291+L359)</f>
        <v>16817541.159999996</v>
      </c>
      <c r="G661" s="19">
        <f>(L230+L310+L360)</f>
        <v>0</v>
      </c>
      <c r="H661" s="19">
        <f>(L248+L329+L361)</f>
        <v>0</v>
      </c>
      <c r="I661" s="19">
        <f>SUM(F661:H661)</f>
        <v>16817541.159999996</v>
      </c>
      <c r="J661" s="13"/>
      <c r="K661" s="13"/>
      <c r="L661" s="13"/>
      <c r="M661" s="9"/>
    </row>
    <row r="662" spans="1:13" s="3" customFormat="1" ht="12.4" customHeight="1" x14ac:dyDescent="0.2">
      <c r="A662" s="1" t="s">
        <v>127</v>
      </c>
      <c r="F662" s="19">
        <f>(L359/IF(SUM(L359:L361)=0,1,SUM(L359:L361))*(SUM(G97:G110)))</f>
        <v>3641.6800000000003</v>
      </c>
      <c r="G662" s="19">
        <f>(L360/IF(SUM(L359:L361)=0,1,SUM(L359:L361))*(SUM(G97:G110)))</f>
        <v>0</v>
      </c>
      <c r="H662" s="19">
        <f>(L361/IF(SUM(L359:L361)=0,1,SUM(L359:L361))*(SUM(G97:G110)))</f>
        <v>0</v>
      </c>
      <c r="I662" s="19">
        <f>SUM(F662:H662)</f>
        <v>3641.6800000000003</v>
      </c>
      <c r="J662"/>
      <c r="K662" s="13"/>
      <c r="L662" s="13"/>
      <c r="M662" s="8"/>
    </row>
    <row r="663" spans="1:13" s="3" customFormat="1" ht="12.4" customHeight="1" x14ac:dyDescent="0.2">
      <c r="A663" s="1" t="s">
        <v>128</v>
      </c>
      <c r="F663" s="19">
        <f>(L209+L288)-(J209+J288)</f>
        <v>928818.52</v>
      </c>
      <c r="G663" s="19">
        <f>(L227+L307)-(J227+J307)</f>
        <v>0</v>
      </c>
      <c r="H663" s="19">
        <f>(L245+L326)-(J245+J326)</f>
        <v>0</v>
      </c>
      <c r="I663" s="19">
        <f>SUM(F663:H663)</f>
        <v>928818.52</v>
      </c>
      <c r="J663"/>
      <c r="K663" s="13"/>
      <c r="L663" s="13"/>
      <c r="M663" s="9"/>
    </row>
    <row r="664" spans="1:13" s="3" customFormat="1" ht="12.4" customHeight="1" x14ac:dyDescent="0.15">
      <c r="A664" s="197" t="s">
        <v>129</v>
      </c>
      <c r="B664" s="169"/>
      <c r="C664" s="169"/>
      <c r="D664" s="169"/>
      <c r="E664" s="169"/>
      <c r="F664" s="198">
        <f>SUM(F576:F588)+SUM(H603:H605)+SUM(L612)</f>
        <v>560845.6100000001</v>
      </c>
      <c r="G664" s="198">
        <f>SUM(G576:G588)+SUM(I603:I605)+L613</f>
        <v>0</v>
      </c>
      <c r="H664" s="198">
        <f>SUM(H576:H588)+SUM(J603:J605)+L614</f>
        <v>0</v>
      </c>
      <c r="I664" s="19">
        <f>SUM(F664:H664)</f>
        <v>560845.6100000001</v>
      </c>
      <c r="J664" s="13"/>
      <c r="K664" s="13"/>
      <c r="L664" s="13"/>
      <c r="M664" s="9"/>
    </row>
    <row r="665" spans="1:13" s="3" customFormat="1" ht="12.4" customHeight="1" x14ac:dyDescent="0.15">
      <c r="A665" s="1" t="s">
        <v>130</v>
      </c>
      <c r="F665" s="19">
        <f>F661-SUM(F662:F664)</f>
        <v>15324235.349999996</v>
      </c>
      <c r="G665" s="19">
        <f>G661-SUM(G662:G664)</f>
        <v>0</v>
      </c>
      <c r="H665" s="19">
        <f>H661-SUM(H662:H664)</f>
        <v>0</v>
      </c>
      <c r="I665" s="19">
        <f>I661-SUM(I662:I664)</f>
        <v>15324235.349999996</v>
      </c>
      <c r="J665" s="13"/>
      <c r="K665" s="13"/>
      <c r="L665" s="13"/>
      <c r="M665" s="8"/>
    </row>
    <row r="666" spans="1:13" s="3" customFormat="1" ht="12.4" customHeight="1" x14ac:dyDescent="0.2">
      <c r="A666" s="1" t="s">
        <v>131</v>
      </c>
      <c r="F666" s="245">
        <v>643.88</v>
      </c>
      <c r="G666" s="246"/>
      <c r="H666" s="246"/>
      <c r="I666" s="19">
        <f>SUM(F666:H666)</f>
        <v>643.88</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f>ROUND(F665/F666,2)</f>
        <v>23799.83</v>
      </c>
      <c r="G668" s="19" t="e">
        <f>ROUND(G665/G666,2)</f>
        <v>#DIV/0!</v>
      </c>
      <c r="H668" s="19" t="e">
        <f>ROUND(H665/H666,2)</f>
        <v>#DIV/0!</v>
      </c>
      <c r="I668" s="19">
        <f>ROUND(I665/I666,2)</f>
        <v>23799.83</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c r="I671" s="19">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f>ROUND((F665+F670)/(F666+F671),2)</f>
        <v>23799.83</v>
      </c>
      <c r="G673" s="19" t="e">
        <f>ROUND((G665+G670)/(G666+G671),2)</f>
        <v>#DIV/0!</v>
      </c>
      <c r="H673" s="19" t="e">
        <f>ROUND((H665+H670)/(H666+H671),2)</f>
        <v>#DIV/0!</v>
      </c>
      <c r="I673" s="19">
        <f>ROUND((I665+I670)/(I666+I671),2)</f>
        <v>23799.83</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3" sqref="C1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4" t="s">
        <v>1643</v>
      </c>
      <c r="D2" s="374"/>
      <c r="E2" s="374"/>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73335.98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72">
        <f>1789.2+14423.31+13345.13+22351.68</f>
        <v>51909.32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153.28+27.11+21246.27</f>
        <v>21426.66</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9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5" t="s">
        <v>1567</v>
      </c>
      <c r="B1" s="375"/>
      <c r="C1" s="375"/>
      <c r="D1" s="375"/>
      <c r="E1" s="375"/>
      <c r="F1" s="375"/>
      <c r="G1" s="375"/>
      <c r="H1" s="375"/>
    </row>
    <row r="2" spans="1:9" ht="15" x14ac:dyDescent="0.2">
      <c r="A2" s="375" t="s">
        <v>1632</v>
      </c>
      <c r="B2" s="375"/>
      <c r="C2" s="375"/>
      <c r="D2" s="375"/>
      <c r="E2" s="375"/>
      <c r="F2" s="375"/>
      <c r="G2" s="375"/>
      <c r="H2" s="375"/>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6" t="str">
        <f>'DOE25'!A2</f>
        <v>Seabrook</v>
      </c>
      <c r="C5" s="377"/>
      <c r="D5" s="377"/>
      <c r="E5" s="377"/>
      <c r="F5" s="377"/>
    </row>
    <row r="8" spans="1:9" ht="18" x14ac:dyDescent="0.25">
      <c r="A8" s="312" t="s">
        <v>1568</v>
      </c>
      <c r="F8" s="319" t="s">
        <v>1586</v>
      </c>
    </row>
    <row r="9" spans="1:9" ht="15" x14ac:dyDescent="0.2">
      <c r="A9" s="310" t="s">
        <v>1569</v>
      </c>
      <c r="B9" s="313">
        <f>'DOE25'!G97</f>
        <v>3580.51</v>
      </c>
      <c r="F9" s="310" t="s">
        <v>1582</v>
      </c>
    </row>
    <row r="10" spans="1:9" ht="15" x14ac:dyDescent="0.2">
      <c r="A10" s="310" t="s">
        <v>1570</v>
      </c>
      <c r="B10" s="313">
        <f>'DOE25'!G112-'DOE25'!G97</f>
        <v>61.170000000000073</v>
      </c>
      <c r="F10" s="310" t="s">
        <v>1583</v>
      </c>
    </row>
    <row r="11" spans="1:9" ht="15" x14ac:dyDescent="0.2">
      <c r="A11" s="310" t="s">
        <v>1571</v>
      </c>
      <c r="B11" s="313">
        <f>'DOE25'!G140</f>
        <v>6647.33</v>
      </c>
      <c r="F11" s="310" t="s">
        <v>1584</v>
      </c>
    </row>
    <row r="12" spans="1:9" ht="15" x14ac:dyDescent="0.2">
      <c r="A12" s="310" t="s">
        <v>1572</v>
      </c>
      <c r="B12" s="313">
        <f>'DOE25'!G170</f>
        <v>515591.12</v>
      </c>
      <c r="F12" s="310" t="s">
        <v>1585</v>
      </c>
    </row>
    <row r="13" spans="1:9" ht="15" x14ac:dyDescent="0.2">
      <c r="A13" s="310" t="s">
        <v>1573</v>
      </c>
      <c r="B13" s="313">
        <f>'DOE25'!G193-'DOE25'!G180</f>
        <v>3100</v>
      </c>
      <c r="F13" s="310" t="s">
        <v>1595</v>
      </c>
    </row>
    <row r="14" spans="1:9" ht="18" x14ac:dyDescent="0.25">
      <c r="A14" s="312" t="s">
        <v>732</v>
      </c>
      <c r="B14" s="314">
        <f>SUM(B9:B13)</f>
        <v>528980.13</v>
      </c>
    </row>
    <row r="16" spans="1:9" ht="18" x14ac:dyDescent="0.25">
      <c r="A16" s="312" t="s">
        <v>786</v>
      </c>
      <c r="F16" s="319" t="s">
        <v>1587</v>
      </c>
    </row>
    <row r="17" spans="1:6" ht="15" x14ac:dyDescent="0.2">
      <c r="A17" s="310" t="s">
        <v>1574</v>
      </c>
      <c r="B17" s="313">
        <f>'DOE25'!L363-'DOE25'!L362</f>
        <v>403860.38999999996</v>
      </c>
      <c r="F17" s="310" t="s">
        <v>1588</v>
      </c>
    </row>
    <row r="18" spans="1:6" ht="15" x14ac:dyDescent="0.2">
      <c r="A18" s="310" t="s">
        <v>1575</v>
      </c>
      <c r="B18" s="323"/>
      <c r="F18" s="319" t="s">
        <v>1612</v>
      </c>
    </row>
    <row r="19" spans="1:6" ht="18" x14ac:dyDescent="0.25">
      <c r="A19" s="312" t="s">
        <v>725</v>
      </c>
      <c r="B19" s="314">
        <f>SUM(B17:B18)</f>
        <v>403860.38999999996</v>
      </c>
    </row>
    <row r="21" spans="1:6" ht="18.75" thickBot="1" x14ac:dyDescent="0.3">
      <c r="A21" s="312" t="s">
        <v>1576</v>
      </c>
    </row>
    <row r="22" spans="1:6" ht="18.75" thickTop="1" x14ac:dyDescent="0.25">
      <c r="A22" s="312" t="s">
        <v>1577</v>
      </c>
      <c r="B22" s="318">
        <f>B14-B19</f>
        <v>125119.74000000005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189193.81</v>
      </c>
      <c r="F31" s="310" t="s">
        <v>1592</v>
      </c>
    </row>
    <row r="33" spans="1:6" ht="15" x14ac:dyDescent="0.2">
      <c r="A33" s="310" t="s">
        <v>1635</v>
      </c>
      <c r="B33" s="313">
        <f>'DOE25'!G477</f>
        <v>311213.54999999993</v>
      </c>
      <c r="F33" s="310" t="s">
        <v>1593</v>
      </c>
    </row>
    <row r="36" spans="1:6" ht="15" x14ac:dyDescent="0.2">
      <c r="A36" s="310" t="s">
        <v>1579</v>
      </c>
      <c r="B36" s="324">
        <v>30781.01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Seabrook</v>
      </c>
      <c r="C1" s="237" t="s">
        <v>824</v>
      </c>
    </row>
    <row r="2" spans="1:3" x14ac:dyDescent="0.2">
      <c r="A2" s="232"/>
      <c r="B2" s="231"/>
    </row>
    <row r="3" spans="1:3" x14ac:dyDescent="0.2">
      <c r="A3" s="374" t="s">
        <v>780</v>
      </c>
      <c r="B3" s="374"/>
      <c r="C3" s="374"/>
    </row>
    <row r="4" spans="1:3" x14ac:dyDescent="0.2">
      <c r="A4" s="235"/>
      <c r="B4" s="236" t="str">
        <f>'DOE25'!H1</f>
        <v>DOE 25  2021-2022</v>
      </c>
      <c r="C4" s="235"/>
    </row>
    <row r="5" spans="1:3" x14ac:dyDescent="0.2">
      <c r="A5" s="232"/>
      <c r="B5" s="231"/>
    </row>
    <row r="6" spans="1:3" x14ac:dyDescent="0.2">
      <c r="A6" s="226"/>
      <c r="B6" s="380" t="s">
        <v>779</v>
      </c>
      <c r="C6" s="380"/>
    </row>
    <row r="7" spans="1:3" x14ac:dyDescent="0.2">
      <c r="A7" s="238" t="s">
        <v>782</v>
      </c>
      <c r="B7" s="378" t="s">
        <v>778</v>
      </c>
      <c r="C7" s="379"/>
    </row>
    <row r="8" spans="1:3" x14ac:dyDescent="0.2">
      <c r="B8" s="227" t="s">
        <v>54</v>
      </c>
      <c r="C8" s="227" t="s">
        <v>772</v>
      </c>
    </row>
    <row r="9" spans="1:3" x14ac:dyDescent="0.2">
      <c r="A9" s="33" t="s">
        <v>773</v>
      </c>
      <c r="B9" s="228">
        <f>'DOE25'!F198+'DOE25'!F216+'DOE25'!F234+'DOE25'!F277+'DOE25'!F296+'DOE25'!F315</f>
        <v>4840609.7200000007</v>
      </c>
      <c r="C9" s="228">
        <f>'DOE25'!G198+'DOE25'!G216+'DOE25'!G234+'DOE25'!G277+'DOE25'!G296+'DOE25'!G315</f>
        <v>2337894.2999999998</v>
      </c>
    </row>
    <row r="10" spans="1:3" x14ac:dyDescent="0.2">
      <c r="A10" t="s">
        <v>775</v>
      </c>
      <c r="B10" s="239">
        <f>227935.56+68632+9275+4012032.06</f>
        <v>4317874.62</v>
      </c>
      <c r="C10" s="239">
        <f>140824.01+2153872.33</f>
        <v>2294696.34</v>
      </c>
    </row>
    <row r="11" spans="1:3" x14ac:dyDescent="0.2">
      <c r="A11" t="s">
        <v>776</v>
      </c>
      <c r="B11" s="239">
        <f>8216.41+40152.86+301681.89</f>
        <v>350051.16000000003</v>
      </c>
      <c r="C11" s="239">
        <f>3700.25+25582.62</f>
        <v>29282.87</v>
      </c>
    </row>
    <row r="12" spans="1:3" x14ac:dyDescent="0.2">
      <c r="A12" t="s">
        <v>777</v>
      </c>
      <c r="B12" s="239">
        <f>16070.9+156613.04</f>
        <v>172683.94</v>
      </c>
      <c r="C12" s="239">
        <f>1229.43+12685.66</f>
        <v>13915.09</v>
      </c>
    </row>
    <row r="13" spans="1:3" x14ac:dyDescent="0.2">
      <c r="A13" t="str">
        <f>IF(B9=B13,IF(C9=C13,"Check Total OK","Check Total Error"),"Check Total Error")</f>
        <v>Check Total OK</v>
      </c>
      <c r="B13" s="230">
        <f>SUM(B10:B12)</f>
        <v>4840609.7200000007</v>
      </c>
      <c r="C13" s="230">
        <f>SUM(C10:C12)</f>
        <v>2337894.2999999998</v>
      </c>
    </row>
    <row r="14" spans="1:3" x14ac:dyDescent="0.2">
      <c r="B14" s="229"/>
      <c r="C14" s="229"/>
    </row>
    <row r="15" spans="1:3" x14ac:dyDescent="0.2">
      <c r="B15" s="380" t="s">
        <v>779</v>
      </c>
      <c r="C15" s="380"/>
    </row>
    <row r="16" spans="1:3" x14ac:dyDescent="0.2">
      <c r="A16" s="238" t="s">
        <v>783</v>
      </c>
      <c r="B16" s="378" t="s">
        <v>703</v>
      </c>
      <c r="C16" s="379"/>
    </row>
    <row r="17" spans="1:3" x14ac:dyDescent="0.2">
      <c r="B17" s="227" t="s">
        <v>54</v>
      </c>
      <c r="C17" s="227" t="s">
        <v>772</v>
      </c>
    </row>
    <row r="18" spans="1:3" x14ac:dyDescent="0.2">
      <c r="A18" s="33" t="s">
        <v>773</v>
      </c>
      <c r="B18" s="228">
        <f>'DOE25'!F199+'DOE25'!F217+'DOE25'!F235+'DOE25'!F278+'DOE25'!F297+'DOE25'!F316</f>
        <v>1764684.97</v>
      </c>
      <c r="C18" s="228">
        <f>'DOE25'!G199+'DOE25'!G217+'DOE25'!G235+'DOE25'!G278+'DOE25'!G297+'DOE25'!G316</f>
        <v>675078.13</v>
      </c>
    </row>
    <row r="19" spans="1:3" x14ac:dyDescent="0.2">
      <c r="A19" t="s">
        <v>775</v>
      </c>
      <c r="B19" s="239">
        <f>55296+1544.66+782314.16</f>
        <v>839154.82000000007</v>
      </c>
      <c r="C19" s="239">
        <f>41846.24+375864.68</f>
        <v>417710.92</v>
      </c>
    </row>
    <row r="20" spans="1:3" x14ac:dyDescent="0.2">
      <c r="A20" t="s">
        <v>776</v>
      </c>
      <c r="B20" s="239">
        <f>41867.11+435077.32</f>
        <v>476944.43</v>
      </c>
      <c r="C20" s="239">
        <f>3202.76+36894.56</f>
        <v>40097.32</v>
      </c>
    </row>
    <row r="21" spans="1:3" x14ac:dyDescent="0.2">
      <c r="A21" t="s">
        <v>777</v>
      </c>
      <c r="B21" s="239">
        <f>105144.01+288194.25+55247.46</f>
        <v>448585.72000000003</v>
      </c>
      <c r="C21" s="239">
        <f>47880.48+147289.3+22100.11</f>
        <v>217269.89</v>
      </c>
    </row>
    <row r="22" spans="1:3" x14ac:dyDescent="0.2">
      <c r="A22" t="str">
        <f>IF(B18=B22,IF(C18=C22,"Check Total OK","Check Total Error"),"Check Total Error")</f>
        <v>Check Total OK</v>
      </c>
      <c r="B22" s="230">
        <f>SUM(B19:B21)</f>
        <v>1764684.97</v>
      </c>
      <c r="C22" s="230">
        <f>SUM(C19:C21)</f>
        <v>675078.13</v>
      </c>
    </row>
    <row r="23" spans="1:3" x14ac:dyDescent="0.2">
      <c r="B23" s="229"/>
      <c r="C23" s="229"/>
    </row>
    <row r="24" spans="1:3" x14ac:dyDescent="0.2">
      <c r="B24" s="380" t="s">
        <v>779</v>
      </c>
      <c r="C24" s="380"/>
    </row>
    <row r="25" spans="1:3" x14ac:dyDescent="0.2">
      <c r="A25" s="238" t="s">
        <v>784</v>
      </c>
      <c r="B25" s="378" t="s">
        <v>704</v>
      </c>
      <c r="C25" s="379"/>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0" t="s">
        <v>779</v>
      </c>
      <c r="C33" s="380"/>
    </row>
    <row r="34" spans="1:3" x14ac:dyDescent="0.2">
      <c r="A34" s="238" t="s">
        <v>785</v>
      </c>
      <c r="B34" s="378" t="s">
        <v>705</v>
      </c>
      <c r="C34" s="379"/>
    </row>
    <row r="35" spans="1:3" x14ac:dyDescent="0.2">
      <c r="B35" s="227" t="s">
        <v>54</v>
      </c>
      <c r="C35" s="227" t="s">
        <v>772</v>
      </c>
    </row>
    <row r="36" spans="1:3" x14ac:dyDescent="0.2">
      <c r="A36" s="33" t="s">
        <v>773</v>
      </c>
      <c r="B36" s="234">
        <f>'DOE25'!F201+'DOE25'!F219+'DOE25'!F237+'DOE25'!F280+'DOE25'!F299+'DOE25'!F318</f>
        <v>79785.149999999994</v>
      </c>
      <c r="C36" s="234">
        <f>'DOE25'!G201+'DOE25'!G219+'DOE25'!G237+'DOE25'!G280+'DOE25'!G299+'DOE25'!G318</f>
        <v>11658.43</v>
      </c>
    </row>
    <row r="37" spans="1:3" x14ac:dyDescent="0.2">
      <c r="A37" t="s">
        <v>775</v>
      </c>
      <c r="B37" s="239">
        <f>38841.15+1300</f>
        <v>40141.15</v>
      </c>
      <c r="C37" s="239">
        <f>8068.71+378.56</f>
        <v>8447.27</v>
      </c>
    </row>
    <row r="38" spans="1:3" x14ac:dyDescent="0.2">
      <c r="A38" t="s">
        <v>776</v>
      </c>
      <c r="B38" s="239"/>
      <c r="C38" s="239"/>
    </row>
    <row r="39" spans="1:3" x14ac:dyDescent="0.2">
      <c r="A39" t="s">
        <v>777</v>
      </c>
      <c r="B39" s="239">
        <v>39644</v>
      </c>
      <c r="C39" s="239">
        <v>3211.16</v>
      </c>
    </row>
    <row r="40" spans="1:3" x14ac:dyDescent="0.2">
      <c r="A40" t="str">
        <f>IF(B36=B40,IF(C36=C40,"Check Total OK","Check Total Error"),"Check Total Error")</f>
        <v>Check Total OK</v>
      </c>
      <c r="B40" s="230">
        <f>SUM(B37:B39)</f>
        <v>79785.149999999994</v>
      </c>
      <c r="C40" s="230">
        <f>SUM(C37:C39)</f>
        <v>11658.43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0" t="s">
        <v>892</v>
      </c>
      <c r="B1" s="383"/>
      <c r="C1" s="383"/>
      <c r="D1" s="383"/>
      <c r="E1" s="383"/>
      <c r="F1" s="383"/>
      <c r="G1" s="383"/>
      <c r="H1" s="383"/>
      <c r="I1" s="180"/>
    </row>
    <row r="2" spans="1:9" x14ac:dyDescent="0.2">
      <c r="A2" s="33" t="s">
        <v>713</v>
      </c>
      <c r="B2" s="259" t="str">
        <f>'DOE25'!A2</f>
        <v>Seabrook</v>
      </c>
      <c r="C2" s="276"/>
      <c r="D2" s="180" t="s">
        <v>787</v>
      </c>
      <c r="E2" s="180" t="s">
        <v>789</v>
      </c>
      <c r="F2" s="381" t="s">
        <v>891</v>
      </c>
      <c r="G2" s="382"/>
      <c r="H2" s="382"/>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9645076.4799999986</v>
      </c>
      <c r="D5" s="20">
        <f>SUM('DOE25'!L198:L201)+SUM('DOE25'!L216:L219)+SUM('DOE25'!L234:L237)-F5-G5-H5</f>
        <v>9614146.2499999981</v>
      </c>
      <c r="E5" s="242"/>
      <c r="F5" s="243"/>
      <c r="G5" s="53">
        <f>SUM('DOE25'!J198:J201)+SUM('DOE25'!J216:J219)+SUM('DOE25'!J234:J237)</f>
        <v>26395.23</v>
      </c>
      <c r="H5" s="53">
        <f>SUM('DOE25'!K198:K201)+SUM('DOE25'!K216:K219)+SUM('DOE25'!K234:K237)</f>
        <v>4535</v>
      </c>
      <c r="I5" s="255"/>
    </row>
    <row r="6" spans="1:9" x14ac:dyDescent="0.2">
      <c r="A6" s="32">
        <v>2100</v>
      </c>
      <c r="B6" t="s">
        <v>796</v>
      </c>
      <c r="C6" s="274">
        <f t="shared" si="0"/>
        <v>887646.61</v>
      </c>
      <c r="D6" s="20">
        <f>'DOE25'!L203+'DOE25'!L221+'DOE25'!L239-F6-G6-H6</f>
        <v>887646.61</v>
      </c>
      <c r="E6" s="242"/>
      <c r="F6" s="243"/>
      <c r="G6" s="53">
        <f>'DOE25'!J203+'DOE25'!J221+'DOE25'!J239</f>
        <v>0</v>
      </c>
      <c r="H6" s="53">
        <f>'DOE25'!K203+'DOE25'!K221+'DOE25'!K239</f>
        <v>0</v>
      </c>
      <c r="I6" s="255"/>
    </row>
    <row r="7" spans="1:9" x14ac:dyDescent="0.2">
      <c r="A7" s="32">
        <v>2200</v>
      </c>
      <c r="B7" t="s">
        <v>821</v>
      </c>
      <c r="C7" s="274">
        <f t="shared" si="0"/>
        <v>913829</v>
      </c>
      <c r="D7" s="20">
        <f>'DOE25'!L204+'DOE25'!L222+'DOE25'!L240-F7-G7-H7</f>
        <v>812300.12000000011</v>
      </c>
      <c r="E7" s="242"/>
      <c r="F7" s="243">
        <v>73878.44</v>
      </c>
      <c r="G7" s="53">
        <f>'DOE25'!J204+'DOE25'!J222+'DOE25'!J240</f>
        <v>27650.44</v>
      </c>
      <c r="H7" s="53">
        <f>'DOE25'!K204+'DOE25'!K222+'DOE25'!K240</f>
        <v>0</v>
      </c>
      <c r="I7" s="255"/>
    </row>
    <row r="8" spans="1:9" x14ac:dyDescent="0.2">
      <c r="A8" s="32">
        <v>2300</v>
      </c>
      <c r="B8" t="s">
        <v>797</v>
      </c>
      <c r="C8" s="274">
        <f t="shared" si="0"/>
        <v>429800.74</v>
      </c>
      <c r="D8" s="242"/>
      <c r="E8" s="20">
        <f>'DOE25'!L205+'DOE25'!L223+'DOE25'!L241-F8-G8-H8-D9-D11</f>
        <v>410049.12</v>
      </c>
      <c r="F8" s="243"/>
      <c r="G8" s="53">
        <f>'DOE25'!J205+'DOE25'!J223+'DOE25'!J241</f>
        <v>0</v>
      </c>
      <c r="H8" s="53">
        <f>'DOE25'!K205+'DOE25'!K223+'DOE25'!K241</f>
        <v>19751.62</v>
      </c>
      <c r="I8" s="255"/>
    </row>
    <row r="9" spans="1:9" ht="14.25" x14ac:dyDescent="0.2">
      <c r="A9" s="32">
        <v>2310</v>
      </c>
      <c r="B9" s="184" t="s">
        <v>888</v>
      </c>
      <c r="C9" s="274">
        <f t="shared" si="0"/>
        <v>47732.800000000003</v>
      </c>
      <c r="D9" s="243">
        <v>47732.800000000003</v>
      </c>
      <c r="E9" s="242"/>
      <c r="F9" s="252"/>
      <c r="G9" s="252"/>
      <c r="H9" s="252"/>
      <c r="I9" s="255"/>
    </row>
    <row r="10" spans="1:9" ht="14.25" x14ac:dyDescent="0.2">
      <c r="A10" s="32">
        <v>2317</v>
      </c>
      <c r="B10" s="184" t="s">
        <v>889</v>
      </c>
      <c r="C10" s="274">
        <f t="shared" si="0"/>
        <v>10362.5</v>
      </c>
      <c r="D10" s="242"/>
      <c r="E10" s="243">
        <v>10362.5</v>
      </c>
      <c r="F10" s="252"/>
      <c r="G10" s="252"/>
      <c r="H10" s="252"/>
      <c r="I10" s="255"/>
    </row>
    <row r="11" spans="1:9" ht="14.25" x14ac:dyDescent="0.2">
      <c r="A11" s="32">
        <v>2321</v>
      </c>
      <c r="B11" s="184" t="s">
        <v>890</v>
      </c>
      <c r="C11" s="274">
        <f t="shared" si="0"/>
        <v>217175.38</v>
      </c>
      <c r="D11" s="243">
        <v>217175.38</v>
      </c>
      <c r="E11" s="242"/>
      <c r="F11" s="252"/>
      <c r="G11" s="252"/>
      <c r="H11" s="252"/>
      <c r="I11" s="255"/>
    </row>
    <row r="12" spans="1:9" x14ac:dyDescent="0.2">
      <c r="A12" s="32">
        <v>2400</v>
      </c>
      <c r="B12" t="s">
        <v>711</v>
      </c>
      <c r="C12" s="274">
        <f t="shared" si="0"/>
        <v>859727.47000000009</v>
      </c>
      <c r="D12" s="20">
        <f>'DOE25'!L206+'DOE25'!L224+'DOE25'!L242-F12-G12-H12</f>
        <v>855659.93</v>
      </c>
      <c r="E12" s="242"/>
      <c r="F12" s="243"/>
      <c r="G12" s="53">
        <f>'DOE25'!J206+'DOE25'!J224+'DOE25'!J242</f>
        <v>0</v>
      </c>
      <c r="H12" s="53">
        <f>'DOE25'!K206+'DOE25'!K224+'DOE25'!K242</f>
        <v>4067.54</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1029455.0700000002</v>
      </c>
      <c r="D14" s="20">
        <f>'DOE25'!L208+'DOE25'!L226+'DOE25'!L244-F14-G14-H14</f>
        <v>957974.64000000013</v>
      </c>
      <c r="E14" s="242"/>
      <c r="F14" s="243">
        <v>12130</v>
      </c>
      <c r="G14" s="53">
        <f>'DOE25'!J208+'DOE25'!J226+'DOE25'!J244</f>
        <v>59350.43</v>
      </c>
      <c r="H14" s="53">
        <f>'DOE25'!K208+'DOE25'!K226+'DOE25'!K244</f>
        <v>0</v>
      </c>
      <c r="I14" s="255"/>
    </row>
    <row r="15" spans="1:9" x14ac:dyDescent="0.2">
      <c r="A15" s="32">
        <v>2700</v>
      </c>
      <c r="B15" t="s">
        <v>799</v>
      </c>
      <c r="C15" s="274">
        <f t="shared" si="0"/>
        <v>916299.52</v>
      </c>
      <c r="D15" s="20">
        <f>'DOE25'!L209+'DOE25'!L227+'DOE25'!L245-F15-G15-H15</f>
        <v>128210.31000000006</v>
      </c>
      <c r="E15" s="242"/>
      <c r="F15" s="243">
        <v>788089.21</v>
      </c>
      <c r="G15" s="53">
        <f>'DOE25'!J209+'DOE25'!J227+'DOE25'!J245</f>
        <v>0</v>
      </c>
      <c r="H15" s="53">
        <f>'DOE25'!K209+'DOE25'!K227+'DOE25'!K245</f>
        <v>0</v>
      </c>
      <c r="I15" s="255"/>
    </row>
    <row r="16" spans="1:9" x14ac:dyDescent="0.2">
      <c r="A16" s="32">
        <v>2800</v>
      </c>
      <c r="B16" t="s">
        <v>800</v>
      </c>
      <c r="C16" s="274">
        <f t="shared" si="0"/>
        <v>8140.5</v>
      </c>
      <c r="D16" s="242"/>
      <c r="E16" s="20">
        <f>'DOE25'!L210+'DOE25'!L228+'DOE25'!L246-F16-G16-H16</f>
        <v>6615.2</v>
      </c>
      <c r="F16" s="243"/>
      <c r="G16" s="53">
        <f>'DOE25'!J210+'DOE25'!J228+'DOE25'!J246</f>
        <v>0</v>
      </c>
      <c r="H16" s="53">
        <f>'DOE25'!K210+'DOE25'!K228+'DOE25'!K246</f>
        <v>1525.3</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143471.12</v>
      </c>
      <c r="D25" s="242"/>
      <c r="E25" s="242"/>
      <c r="F25" s="254"/>
      <c r="G25" s="252"/>
      <c r="H25" s="252"/>
      <c r="I25" s="253">
        <f>'DOE25'!L261+'DOE25'!L262+'DOE25'!L342+'DOE25'!L343</f>
        <v>143471.12</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223744.43999999994</v>
      </c>
      <c r="D29" s="282">
        <f>'DOE25'!L359+'DOE25'!L360+'DOE25'!L361-'DOE25'!I368-F29-G29-H29</f>
        <v>216146.49999999994</v>
      </c>
      <c r="E29" s="242"/>
      <c r="F29" s="243"/>
      <c r="G29" s="53">
        <f>'DOE25'!J359+'DOE25'!J360+'DOE25'!J361</f>
        <v>5668</v>
      </c>
      <c r="H29" s="53">
        <f>'DOE25'!K359+'DOE25'!K360+'DOE25'!K361</f>
        <v>1929.94</v>
      </c>
      <c r="I29" s="255"/>
    </row>
    <row r="30" spans="1:9" x14ac:dyDescent="0.2">
      <c r="A30" s="32"/>
      <c r="C30" s="275"/>
      <c r="D30" s="20"/>
      <c r="E30" s="279"/>
      <c r="F30" s="269"/>
      <c r="G30" s="53"/>
      <c r="H30" s="53"/>
      <c r="I30" s="255"/>
    </row>
    <row r="31" spans="1:9" x14ac:dyDescent="0.2">
      <c r="A31" s="32" t="s">
        <v>818</v>
      </c>
      <c r="B31" t="s">
        <v>817</v>
      </c>
      <c r="C31" s="274">
        <f>SUM(D31:I31)</f>
        <v>1458797.2</v>
      </c>
      <c r="D31" s="20">
        <f>'DOE25'!L291+'DOE25'!L310+'DOE25'!L329+'DOE25'!L334+'DOE25'!L335+'DOE25'!L336-F31-G31-H31</f>
        <v>1301338.17</v>
      </c>
      <c r="E31" s="242"/>
      <c r="F31" s="243"/>
      <c r="G31" s="53">
        <f>'DOE25'!J291+'DOE25'!J310+'DOE25'!J329+'DOE25'!J334+'DOE25'!J335+'DOE25'!J336</f>
        <v>125617.32999999999</v>
      </c>
      <c r="H31" s="53">
        <f>'DOE25'!K291+'DOE25'!K310+'DOE25'!K329+'DOE25'!K334+'DOE25'!K335+'DOE25'!K336</f>
        <v>31841.7</v>
      </c>
      <c r="I31" s="255"/>
    </row>
    <row r="32" spans="1:9" ht="12" thickBot="1" x14ac:dyDescent="0.25">
      <c r="C32" s="275"/>
      <c r="G32" s="250"/>
      <c r="H32" s="250"/>
      <c r="I32" s="257"/>
    </row>
    <row r="33" spans="1:9" ht="12" thickTop="1" x14ac:dyDescent="0.2">
      <c r="B33" t="s">
        <v>809</v>
      </c>
      <c r="D33" s="244">
        <f t="shared" ref="D33:I33" si="1">SUM(D5:D31)</f>
        <v>15038330.709999999</v>
      </c>
      <c r="E33" s="244">
        <f t="shared" si="1"/>
        <v>427026.82</v>
      </c>
      <c r="F33" s="244">
        <f t="shared" si="1"/>
        <v>874097.64999999991</v>
      </c>
      <c r="G33" s="244">
        <f t="shared" si="1"/>
        <v>244681.43</v>
      </c>
      <c r="H33" s="244">
        <f t="shared" si="1"/>
        <v>63651.1</v>
      </c>
      <c r="I33" s="244">
        <f t="shared" si="1"/>
        <v>143471.12</v>
      </c>
    </row>
    <row r="35" spans="1:9" ht="12" thickBot="1" x14ac:dyDescent="0.25">
      <c r="B35" s="250" t="s">
        <v>831</v>
      </c>
      <c r="D35" s="251">
        <f>E33</f>
        <v>427026.82</v>
      </c>
      <c r="E35" s="247"/>
      <c r="F35" s="328" t="s">
        <v>1617</v>
      </c>
      <c r="G35" s="329"/>
      <c r="H35" s="329"/>
      <c r="I35" s="329"/>
    </row>
    <row r="36" spans="1:9" ht="12" thickTop="1" x14ac:dyDescent="0.2">
      <c r="B36" t="s">
        <v>810</v>
      </c>
      <c r="D36" s="20">
        <f>D33</f>
        <v>15038330.709999999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7" customHeight="1" x14ac:dyDescent="0.2">
      <c r="A53" s="280"/>
      <c r="B53" s="384" t="s">
        <v>900</v>
      </c>
      <c r="C53" s="384"/>
      <c r="D53" s="384"/>
      <c r="E53" s="384"/>
      <c r="F53" s="384"/>
      <c r="G53" s="384"/>
      <c r="H53" s="384"/>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Seabrook</v>
      </c>
      <c r="B2" s="126">
        <f>'DOE25'!B2</f>
        <v>485</v>
      </c>
      <c r="C2" s="126"/>
      <c r="D2" s="126"/>
      <c r="E2" s="126"/>
      <c r="F2" s="126"/>
      <c r="G2" s="126"/>
      <c r="H2" s="126"/>
    </row>
    <row r="3" spans="1:18" ht="36.950000000000003"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16413680.77</v>
      </c>
      <c r="G4" s="299">
        <f>'DOE25'!L212+'DOE25'!L291</f>
        <v>16413680.769999998</v>
      </c>
      <c r="H4" s="340">
        <f>F4-G4</f>
        <v>0</v>
      </c>
      <c r="I4" s="385"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342915.2</v>
      </c>
      <c r="E5" s="290"/>
      <c r="F5" s="303">
        <f>D5+E5</f>
        <v>342915.2</v>
      </c>
      <c r="G5" s="293"/>
      <c r="H5" s="293"/>
      <c r="I5" s="386"/>
      <c r="N5"/>
    </row>
    <row r="6" spans="1:18" x14ac:dyDescent="0.2">
      <c r="A6" s="126" t="str" cm="1">
        <f t="array" ref="A6">IFERROR(INDEX('School Tables'!$A$4:$G$325,'School Tables'!$J4,3),"")</f>
        <v>Seabrook Elementary School</v>
      </c>
      <c r="B6" s="300">
        <f>IFERROR(VLOOKUP(A6,'School Tables'!$C$3:$D$365,2,FALSE),"")</f>
        <v>20810</v>
      </c>
      <c r="C6" s="293" t="str">
        <f>IFERROR(INDEX('School Tables'!$B$3:$B$365,MATCH('School Level Expenditures'!B6,'School Tables'!$D$3:$D$365,0)),"")</f>
        <v>Seabrook</v>
      </c>
      <c r="D6" s="373">
        <f>8028505.86+7342.5-3100</f>
        <v>8032748.3600000003</v>
      </c>
      <c r="E6" s="290">
        <v>917043.27</v>
      </c>
      <c r="F6" s="303">
        <f t="shared" ref="F6:F20" si="0">D6+E6</f>
        <v>8949791.6300000008</v>
      </c>
      <c r="G6" s="293"/>
      <c r="H6" s="293"/>
      <c r="I6" s="386"/>
      <c r="N6"/>
    </row>
    <row r="7" spans="1:18" x14ac:dyDescent="0.2">
      <c r="A7" s="126" t="str" cm="1">
        <f t="array" ref="A7">IFERROR(INDEX('School Tables'!$A$4:$G$325,'School Tables'!$J5,3),"")</f>
        <v>Seabrook Middle School</v>
      </c>
      <c r="B7" s="300">
        <f>IFERROR(VLOOKUP(A7,'School Tables'!$C$3:$D$365,2,FALSE),"")</f>
        <v>27995</v>
      </c>
      <c r="C7" s="293" t="str">
        <f>IFERROR(INDEX('School Tables'!$B$3:$B$365,MATCH('School Level Expenditures'!B7,'School Tables'!$D$3:$D$365,0)),"")</f>
        <v>Seabrook</v>
      </c>
      <c r="D7" s="290">
        <f>6568777.51+7342.5</f>
        <v>6576120.0099999998</v>
      </c>
      <c r="E7" s="290">
        <v>544853.93000000005</v>
      </c>
      <c r="F7" s="303">
        <f t="shared" si="0"/>
        <v>7120973.9399999995</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14951783.57</v>
      </c>
      <c r="E21" s="338">
        <f>SUM(E5:E20)</f>
        <v>1461897.2000000002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5"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6"/>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6"/>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5"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6"/>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6"/>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4"/>
      <c r="B58" s="384"/>
      <c r="C58" s="384"/>
      <c r="D58" s="384"/>
      <c r="E58" s="384"/>
      <c r="F58" s="384"/>
      <c r="G58" s="384"/>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Seabrook</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611237.06999999995</v>
      </c>
      <c r="D8" s="95">
        <f>'DOE25'!G9</f>
        <v>0</v>
      </c>
      <c r="E8" s="95">
        <f>'DOE25'!H9</f>
        <v>0</v>
      </c>
      <c r="F8" s="95">
        <f>'DOE25'!I9</f>
        <v>0</v>
      </c>
      <c r="G8" s="95">
        <f>'DOE25'!J9</f>
        <v>0</v>
      </c>
      <c r="H8" s="124">
        <f>SUM(C8:G8)</f>
        <v>611237.06999999995</v>
      </c>
      <c r="I8" s="124"/>
    </row>
    <row r="9" spans="1:9" x14ac:dyDescent="0.2">
      <c r="A9" s="1" t="s">
        <v>140</v>
      </c>
      <c r="B9" s="6">
        <v>110</v>
      </c>
      <c r="C9" s="95">
        <f>'DOE25'!F10</f>
        <v>0</v>
      </c>
      <c r="D9" s="95">
        <f>'DOE25'!G10</f>
        <v>0</v>
      </c>
      <c r="E9" s="95">
        <f>'DOE25'!H10</f>
        <v>0</v>
      </c>
      <c r="F9" s="95">
        <f>'DOE25'!I10</f>
        <v>0</v>
      </c>
      <c r="G9" s="95">
        <f>'DOE25'!J10</f>
        <v>486749.34</v>
      </c>
      <c r="H9" s="124">
        <f t="shared" ref="H9:H18" si="0">SUM(C9:G9)</f>
        <v>486749.34</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4200</v>
      </c>
      <c r="D11" s="95">
        <f>'DOE25'!G12</f>
        <v>315368</v>
      </c>
      <c r="E11" s="95">
        <f>'DOE25'!H12</f>
        <v>0</v>
      </c>
      <c r="F11" s="95">
        <f>'DOE25'!I12</f>
        <v>0</v>
      </c>
      <c r="G11" s="95">
        <f>'DOE25'!J12</f>
        <v>0</v>
      </c>
      <c r="H11" s="124">
        <f t="shared" si="0"/>
        <v>319568</v>
      </c>
      <c r="I11" s="124"/>
    </row>
    <row r="12" spans="1:9" x14ac:dyDescent="0.2">
      <c r="A12" s="1" t="s">
        <v>143</v>
      </c>
      <c r="B12" s="6">
        <v>140</v>
      </c>
      <c r="C12" s="95">
        <f>'DOE25'!F13</f>
        <v>5506.06</v>
      </c>
      <c r="D12" s="95">
        <f>'DOE25'!G13</f>
        <v>0</v>
      </c>
      <c r="E12" s="95">
        <f>'DOE25'!H13</f>
        <v>319589.78999999998</v>
      </c>
      <c r="F12" s="95">
        <f>'DOE25'!I13</f>
        <v>0</v>
      </c>
      <c r="G12" s="95">
        <f>'DOE25'!J13</f>
        <v>0</v>
      </c>
      <c r="H12" s="124">
        <f t="shared" si="0"/>
        <v>325095.84999999998</v>
      </c>
      <c r="I12" s="124"/>
    </row>
    <row r="13" spans="1:9" x14ac:dyDescent="0.2">
      <c r="A13" s="1" t="s">
        <v>144</v>
      </c>
      <c r="B13" s="6">
        <v>150</v>
      </c>
      <c r="C13" s="95">
        <f>'DOE25'!F14</f>
        <v>48818.95</v>
      </c>
      <c r="D13" s="95">
        <f>'DOE25'!G14</f>
        <v>0</v>
      </c>
      <c r="E13" s="95">
        <f>'DOE25'!H14</f>
        <v>0</v>
      </c>
      <c r="F13" s="95">
        <f>'DOE25'!I14</f>
        <v>0</v>
      </c>
      <c r="G13" s="95">
        <f>'DOE25'!J14</f>
        <v>0</v>
      </c>
      <c r="H13" s="124">
        <f t="shared" si="0"/>
        <v>48818.95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4755.47</v>
      </c>
      <c r="E15" s="95">
        <f>'DOE25'!H16</f>
        <v>0</v>
      </c>
      <c r="F15" s="95">
        <f>'DOE25'!I16</f>
        <v>0</v>
      </c>
      <c r="G15" s="24" t="s">
        <v>288</v>
      </c>
      <c r="H15" s="124">
        <f t="shared" si="0"/>
        <v>4755.47</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669762.07999999996</v>
      </c>
      <c r="D18" s="41">
        <f>SUM(D8:D17)</f>
        <v>320123.46999999997</v>
      </c>
      <c r="E18" s="41">
        <f>SUM(E8:E17)</f>
        <v>319589.78999999998</v>
      </c>
      <c r="F18" s="41">
        <f>SUM(F8:F17)</f>
        <v>0</v>
      </c>
      <c r="G18" s="41">
        <f>SUM(G8:G17)</f>
        <v>486749.34</v>
      </c>
      <c r="H18" s="41">
        <f t="shared" si="0"/>
        <v>1796224.68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319567.53000000003</v>
      </c>
      <c r="F21" s="95">
        <f>'DOE25'!I22</f>
        <v>0</v>
      </c>
      <c r="G21" s="95">
        <f>'DOE25'!J22</f>
        <v>0</v>
      </c>
      <c r="H21" s="124">
        <f t="shared" ref="H21:H31" si="1">SUM(C21:G21)</f>
        <v>319567.53000000003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125893.06</v>
      </c>
      <c r="D23" s="95">
        <f>'DOE25'!G24</f>
        <v>4070.59</v>
      </c>
      <c r="E23" s="95">
        <f>'DOE25'!H24</f>
        <v>22.26</v>
      </c>
      <c r="F23" s="95">
        <f>'DOE25'!I24</f>
        <v>0</v>
      </c>
      <c r="G23" s="95">
        <f>'DOE25'!J24</f>
        <v>0</v>
      </c>
      <c r="H23" s="124">
        <f t="shared" si="1"/>
        <v>129985.90999999999</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53802.8</v>
      </c>
      <c r="D27" s="95">
        <f>'DOE25'!G28</f>
        <v>395.86</v>
      </c>
      <c r="E27" s="95">
        <f>'DOE25'!H28</f>
        <v>0</v>
      </c>
      <c r="F27" s="95">
        <f>'DOE25'!I28</f>
        <v>0</v>
      </c>
      <c r="G27" s="24" t="s">
        <v>288</v>
      </c>
      <c r="H27" s="124">
        <f t="shared" si="1"/>
        <v>54198.66</v>
      </c>
      <c r="I27" s="124"/>
    </row>
    <row r="28" spans="1:9" x14ac:dyDescent="0.2">
      <c r="A28" s="1" t="s">
        <v>157</v>
      </c>
      <c r="B28" s="6">
        <v>470</v>
      </c>
      <c r="C28" s="95">
        <f>'DOE25'!F29</f>
        <v>8954.19</v>
      </c>
      <c r="D28" s="95">
        <f>'DOE25'!G29</f>
        <v>0</v>
      </c>
      <c r="E28" s="95">
        <f>'DOE25'!H29</f>
        <v>0</v>
      </c>
      <c r="F28" s="95">
        <f>'DOE25'!I29</f>
        <v>0</v>
      </c>
      <c r="G28" s="24" t="s">
        <v>288</v>
      </c>
      <c r="H28" s="124">
        <f t="shared" si="1"/>
        <v>8954.19</v>
      </c>
      <c r="I28" s="124"/>
    </row>
    <row r="29" spans="1:9" x14ac:dyDescent="0.2">
      <c r="A29" s="1" t="s">
        <v>158</v>
      </c>
      <c r="B29" s="6">
        <v>480</v>
      </c>
      <c r="C29" s="95">
        <f>'DOE25'!F30</f>
        <v>0</v>
      </c>
      <c r="D29" s="95">
        <f>'DOE25'!G30</f>
        <v>4443.47</v>
      </c>
      <c r="E29" s="95">
        <f>'DOE25'!H30</f>
        <v>0</v>
      </c>
      <c r="F29" s="95">
        <f>'DOE25'!I30</f>
        <v>0</v>
      </c>
      <c r="G29" s="24" t="s">
        <v>288</v>
      </c>
      <c r="H29" s="124">
        <f t="shared" si="1"/>
        <v>4443.47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188650.05</v>
      </c>
      <c r="D31" s="41">
        <f>SUM(D21:D30)</f>
        <v>8909.92</v>
      </c>
      <c r="E31" s="41">
        <f>SUM(E21:E30)</f>
        <v>319589.79000000004</v>
      </c>
      <c r="F31" s="41">
        <f>SUM(F21:F30)</f>
        <v>0</v>
      </c>
      <c r="G31" s="41">
        <f>SUM(G21:G30)</f>
        <v>0</v>
      </c>
      <c r="H31" s="41">
        <f t="shared" si="1"/>
        <v>517149.76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4755.47</v>
      </c>
      <c r="E34" s="95">
        <f>'DOE25'!H35</f>
        <v>0</v>
      </c>
      <c r="F34" s="95">
        <f>'DOE25'!I35</f>
        <v>0</v>
      </c>
      <c r="G34" s="24" t="s">
        <v>288</v>
      </c>
      <c r="H34" s="124">
        <f t="shared" ref="H34:H51" si="2">SUM(C34:G34)</f>
        <v>4755.47</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306458.08</v>
      </c>
      <c r="E39" s="24" t="s">
        <v>288</v>
      </c>
      <c r="F39" s="24" t="s">
        <v>288</v>
      </c>
      <c r="G39" s="24" t="s">
        <v>288</v>
      </c>
      <c r="H39" s="124">
        <f t="shared" si="2"/>
        <v>306458.08</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4804.1099999999997</v>
      </c>
      <c r="D47" s="95">
        <f>'DOE25'!G48</f>
        <v>0</v>
      </c>
      <c r="E47" s="95">
        <f>'DOE25'!H48</f>
        <v>0</v>
      </c>
      <c r="F47" s="95">
        <f>'DOE25'!I48</f>
        <v>0</v>
      </c>
      <c r="G47" s="95">
        <f>'DOE25'!J48</f>
        <v>486749.34</v>
      </c>
      <c r="H47" s="124">
        <f t="shared" si="2"/>
        <v>491553.45</v>
      </c>
      <c r="I47" s="124"/>
    </row>
    <row r="48" spans="1:9" x14ac:dyDescent="0.2">
      <c r="A48" s="1" t="s">
        <v>882</v>
      </c>
      <c r="B48" s="6">
        <v>753</v>
      </c>
      <c r="C48" s="95">
        <f>'DOE25'!F49</f>
        <v>67828.92</v>
      </c>
      <c r="D48" s="95">
        <f>'DOE25'!G49</f>
        <v>0</v>
      </c>
      <c r="E48" s="95">
        <f>'DOE25'!H49</f>
        <v>0</v>
      </c>
      <c r="F48" s="95">
        <f>'DOE25'!I49</f>
        <v>0</v>
      </c>
      <c r="G48" s="95">
        <f>'DOE25'!J49</f>
        <v>0</v>
      </c>
      <c r="H48" s="124">
        <f t="shared" si="2"/>
        <v>67828.92</v>
      </c>
      <c r="I48" s="124"/>
    </row>
    <row r="49" spans="1:9" ht="12" thickBot="1" x14ac:dyDescent="0.25">
      <c r="A49" s="29" t="s">
        <v>883</v>
      </c>
      <c r="B49" s="71">
        <v>770</v>
      </c>
      <c r="C49" s="95">
        <f>'DOE25'!F50</f>
        <v>408479</v>
      </c>
      <c r="D49" s="24" t="s">
        <v>288</v>
      </c>
      <c r="E49" s="24" t="s">
        <v>288</v>
      </c>
      <c r="F49" s="24" t="s">
        <v>288</v>
      </c>
      <c r="G49" s="24" t="s">
        <v>288</v>
      </c>
      <c r="H49" s="124">
        <f t="shared" si="2"/>
        <v>408479</v>
      </c>
      <c r="I49" s="124"/>
    </row>
    <row r="50" spans="1:9" ht="12.75" thickTop="1" thickBot="1" x14ac:dyDescent="0.25">
      <c r="A50" s="38" t="s">
        <v>884</v>
      </c>
      <c r="B50" s="48"/>
      <c r="C50" s="41">
        <f>SUM(C34:C49)</f>
        <v>481112.03</v>
      </c>
      <c r="D50" s="41">
        <f>SUM(D34:D49)</f>
        <v>311213.55</v>
      </c>
      <c r="E50" s="41">
        <f>SUM(E34:E49)</f>
        <v>0</v>
      </c>
      <c r="F50" s="41">
        <f>SUM(F34:F49)</f>
        <v>0</v>
      </c>
      <c r="G50" s="41">
        <f>SUM(G34:G49)</f>
        <v>486749.34</v>
      </c>
      <c r="H50" s="41">
        <f t="shared" si="2"/>
        <v>1279074.9200000002</v>
      </c>
      <c r="I50" s="124"/>
    </row>
    <row r="51" spans="1:9" ht="12" thickTop="1" x14ac:dyDescent="0.2">
      <c r="A51" s="38" t="s">
        <v>885</v>
      </c>
      <c r="B51" s="2"/>
      <c r="C51" s="41">
        <f>C50+C31</f>
        <v>669762.08000000007</v>
      </c>
      <c r="D51" s="41">
        <f>D50+D31</f>
        <v>320123.46999999997</v>
      </c>
      <c r="E51" s="41">
        <f>E50+E31</f>
        <v>319589.79000000004</v>
      </c>
      <c r="F51" s="41">
        <f>F50+F31</f>
        <v>0</v>
      </c>
      <c r="G51" s="41">
        <f>G50+G31</f>
        <v>486749.34</v>
      </c>
      <c r="H51" s="41">
        <f t="shared" si="2"/>
        <v>1796224.6800000002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11169383</v>
      </c>
      <c r="D56" s="95">
        <f>'DOE25'!G60</f>
        <v>0</v>
      </c>
      <c r="E56" s="95">
        <f>'DOE25'!H60</f>
        <v>0</v>
      </c>
      <c r="F56" s="95">
        <f>'DOE25'!I60</f>
        <v>0</v>
      </c>
      <c r="G56" s="95">
        <f>'DOE25'!J60</f>
        <v>0</v>
      </c>
      <c r="H56" s="124">
        <f t="shared" ref="H56:H63" si="3">SUM(C56:G56)</f>
        <v>11169383</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2367.3200000000002</v>
      </c>
      <c r="D59" s="95">
        <f>'DOE25'!G96</f>
        <v>0</v>
      </c>
      <c r="E59" s="95">
        <f>'DOE25'!H96</f>
        <v>0</v>
      </c>
      <c r="F59" s="95">
        <f>'DOE25'!I96</f>
        <v>0</v>
      </c>
      <c r="G59" s="95">
        <f>'DOE25'!J96</f>
        <v>15119.400000000001</v>
      </c>
      <c r="H59" s="124">
        <f t="shared" si="3"/>
        <v>17486.72</v>
      </c>
      <c r="I59"/>
    </row>
    <row r="60" spans="1:9" x14ac:dyDescent="0.2">
      <c r="A60" s="1" t="s">
        <v>170</v>
      </c>
      <c r="B60" s="118" t="s">
        <v>171</v>
      </c>
      <c r="C60" s="24" t="s">
        <v>288</v>
      </c>
      <c r="D60" s="95">
        <f>'DOE25'!G97</f>
        <v>3580.51</v>
      </c>
      <c r="E60" s="24" t="s">
        <v>288</v>
      </c>
      <c r="F60" s="24" t="s">
        <v>288</v>
      </c>
      <c r="G60" s="24" t="s">
        <v>288</v>
      </c>
      <c r="H60" s="124">
        <f t="shared" si="3"/>
        <v>3580.51</v>
      </c>
      <c r="I60"/>
    </row>
    <row r="61" spans="1:9" ht="12" thickBot="1" x14ac:dyDescent="0.25">
      <c r="A61" s="1" t="s">
        <v>172</v>
      </c>
      <c r="B61" s="118" t="s">
        <v>173</v>
      </c>
      <c r="C61" s="95">
        <f>SUM('DOE25'!F98:F110)</f>
        <v>135616.03</v>
      </c>
      <c r="D61" s="95">
        <f>SUM('DOE25'!G98:G110)</f>
        <v>61.17</v>
      </c>
      <c r="E61" s="95">
        <f>SUM('DOE25'!H98:H110)</f>
        <v>0</v>
      </c>
      <c r="F61" s="95">
        <f>SUM('DOE25'!I98:I110)</f>
        <v>0</v>
      </c>
      <c r="G61" s="95">
        <f>SUM('DOE25'!J98:J110)</f>
        <v>0</v>
      </c>
      <c r="H61" s="124">
        <f t="shared" si="3"/>
        <v>135677.20000000001</v>
      </c>
      <c r="I61"/>
    </row>
    <row r="62" spans="1:9" ht="12.75" thickTop="1" thickBot="1" x14ac:dyDescent="0.25">
      <c r="A62" s="29" t="s">
        <v>174</v>
      </c>
      <c r="B62" s="6"/>
      <c r="C62" s="130">
        <f>SUM(C57:C61)</f>
        <v>137983.35</v>
      </c>
      <c r="D62" s="130">
        <f>SUM(D57:D61)</f>
        <v>3641.6800000000003</v>
      </c>
      <c r="E62" s="130">
        <f>SUM(E57:E61)</f>
        <v>0</v>
      </c>
      <c r="F62" s="130">
        <f>SUM(F57:F61)</f>
        <v>0</v>
      </c>
      <c r="G62" s="130">
        <f>SUM(G57:G61)</f>
        <v>15119.400000000001</v>
      </c>
      <c r="H62" s="124">
        <f t="shared" si="3"/>
        <v>156744.43</v>
      </c>
      <c r="I62"/>
    </row>
    <row r="63" spans="1:9" ht="12" thickTop="1" x14ac:dyDescent="0.2">
      <c r="A63" s="29" t="s">
        <v>175</v>
      </c>
      <c r="B63" s="6"/>
      <c r="C63" s="22">
        <f>C56+C62</f>
        <v>11307366.35</v>
      </c>
      <c r="D63" s="22">
        <f>D56+D62</f>
        <v>3641.6800000000003</v>
      </c>
      <c r="E63" s="22">
        <f>E56+E62</f>
        <v>0</v>
      </c>
      <c r="F63" s="22">
        <f>F56+F62</f>
        <v>0</v>
      </c>
      <c r="G63" s="22">
        <f>G56+G62</f>
        <v>15119.400000000001</v>
      </c>
      <c r="H63" s="124">
        <f t="shared" si="3"/>
        <v>11326127.43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1033835.15</v>
      </c>
      <c r="D66" s="24" t="s">
        <v>288</v>
      </c>
      <c r="E66" s="24" t="s">
        <v>288</v>
      </c>
      <c r="F66" s="24" t="s">
        <v>288</v>
      </c>
      <c r="G66" s="24" t="s">
        <v>288</v>
      </c>
      <c r="H66" s="124">
        <f t="shared" ref="H66:H81" si="4">SUM(C66:G66)</f>
        <v>1033835.15</v>
      </c>
      <c r="I66"/>
    </row>
    <row r="67" spans="1:9" x14ac:dyDescent="0.2">
      <c r="A67" s="1" t="s">
        <v>770</v>
      </c>
      <c r="B67" s="6">
        <v>3112</v>
      </c>
      <c r="C67" s="95">
        <f>'DOE25'!F118</f>
        <v>2347431</v>
      </c>
      <c r="D67" s="24"/>
      <c r="E67" s="24"/>
      <c r="F67" s="24"/>
      <c r="G67" s="24"/>
      <c r="H67" s="124">
        <f t="shared" si="4"/>
        <v>2347431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3381266.15</v>
      </c>
      <c r="D70" s="139">
        <f>D69</f>
        <v>0</v>
      </c>
      <c r="E70" s="139">
        <f>E69</f>
        <v>0</v>
      </c>
      <c r="F70" s="139">
        <f>F69</f>
        <v>0</v>
      </c>
      <c r="G70" s="139">
        <f>G69</f>
        <v>0</v>
      </c>
      <c r="H70" s="124">
        <f t="shared" si="4"/>
        <v>3381266.15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37601.86</v>
      </c>
      <c r="D72" s="24" t="s">
        <v>288</v>
      </c>
      <c r="E72" s="24" t="s">
        <v>288</v>
      </c>
      <c r="F72" s="95">
        <f>'DOE25'!I123</f>
        <v>0</v>
      </c>
      <c r="G72" s="24" t="s">
        <v>288</v>
      </c>
      <c r="H72" s="124">
        <f t="shared" si="4"/>
        <v>37601.86</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92148.63</v>
      </c>
      <c r="D75" s="24" t="s">
        <v>288</v>
      </c>
      <c r="E75" s="24" t="s">
        <v>288</v>
      </c>
      <c r="F75" s="24" t="s">
        <v>288</v>
      </c>
      <c r="G75" s="24" t="s">
        <v>288</v>
      </c>
      <c r="H75" s="124">
        <f t="shared" si="4"/>
        <v>92148.63</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6647.33</v>
      </c>
      <c r="E77" s="95">
        <f>SUM('DOE25'!H131:H135)</f>
        <v>0</v>
      </c>
      <c r="F77" s="95">
        <f>SUM('DOE25'!I131:I135)</f>
        <v>0</v>
      </c>
      <c r="G77" s="95">
        <f>SUM('DOE25'!J131:J135)</f>
        <v>0</v>
      </c>
      <c r="H77" s="124">
        <f t="shared" si="4"/>
        <v>6647.33</v>
      </c>
      <c r="I77"/>
    </row>
    <row r="78" spans="1:9" ht="12.75" thickTop="1" thickBot="1" x14ac:dyDescent="0.25">
      <c r="A78" s="29" t="s">
        <v>259</v>
      </c>
      <c r="B78" s="6"/>
      <c r="C78" s="130">
        <f>SUM(C72:C77)</f>
        <v>129750.49</v>
      </c>
      <c r="D78" s="130">
        <f>SUM(D72:D77)</f>
        <v>6647.33</v>
      </c>
      <c r="E78" s="130">
        <f>SUM(E72:E77)</f>
        <v>0</v>
      </c>
      <c r="F78" s="130">
        <f>SUM(F72:F77)</f>
        <v>0</v>
      </c>
      <c r="G78" s="130">
        <f>SUM(G72:G77)</f>
        <v>0</v>
      </c>
      <c r="H78" s="124">
        <f t="shared" si="4"/>
        <v>136397.82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3511016.64</v>
      </c>
      <c r="D81" s="130">
        <f>SUM(D79:D80)+D78+D70</f>
        <v>6647.33</v>
      </c>
      <c r="E81" s="130">
        <f>SUM(E79:E80)+E78+E70</f>
        <v>0</v>
      </c>
      <c r="F81" s="130">
        <f>SUM(F79:F80)+F78+F70</f>
        <v>0</v>
      </c>
      <c r="G81" s="130">
        <f>SUM(G79:G80)+G78+G70</f>
        <v>0</v>
      </c>
      <c r="H81" s="130">
        <f t="shared" si="4"/>
        <v>3517663.97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65993.070000000007</v>
      </c>
      <c r="D88" s="326">
        <f>SUM('DOE25'!G153:G162)</f>
        <v>515591.12</v>
      </c>
      <c r="E88" s="326">
        <f>SUM('DOE25'!H153:H162)</f>
        <v>1461897.2</v>
      </c>
      <c r="F88" s="326">
        <f>SUM('DOE25'!I153:I162)</f>
        <v>0</v>
      </c>
      <c r="G88" s="24" t="s">
        <v>288</v>
      </c>
      <c r="H88" s="124">
        <f t="shared" si="5"/>
        <v>2043481.39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65993.070000000007</v>
      </c>
      <c r="D91" s="131">
        <f>SUM(D85:D90)</f>
        <v>515591.12</v>
      </c>
      <c r="E91" s="131">
        <f>SUM(E85:E90)</f>
        <v>1461897.2</v>
      </c>
      <c r="F91" s="131">
        <f>SUM(F85:F90)</f>
        <v>0</v>
      </c>
      <c r="G91" s="24" t="s">
        <v>288</v>
      </c>
      <c r="H91" s="124">
        <f t="shared" si="5"/>
        <v>2043481.39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3100</v>
      </c>
      <c r="E97" s="95">
        <f>SUM('DOE25'!H181:H182)</f>
        <v>0</v>
      </c>
      <c r="F97" s="95">
        <f>SUM('DOE25'!I181:I182)</f>
        <v>0</v>
      </c>
      <c r="G97" s="95">
        <f>SUM('DOE25'!J181:J182)</f>
        <v>0</v>
      </c>
      <c r="H97" s="124">
        <f t="shared" si="5"/>
        <v>3100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3100</v>
      </c>
      <c r="E103" s="86">
        <f>SUM(E93:E102)</f>
        <v>0</v>
      </c>
      <c r="F103" s="86">
        <f>SUM(F93:F102)</f>
        <v>0</v>
      </c>
      <c r="G103" s="86">
        <f>SUM(G93:G102)</f>
        <v>0</v>
      </c>
      <c r="H103" s="86">
        <f t="shared" si="5"/>
        <v>3100</v>
      </c>
    </row>
    <row r="104" spans="1:8" ht="12.75" thickTop="1" thickBot="1" x14ac:dyDescent="0.25">
      <c r="A104" s="33" t="s">
        <v>761</v>
      </c>
      <c r="C104" s="86">
        <f>C63+C81+C91+C103</f>
        <v>14884376.060000001</v>
      </c>
      <c r="D104" s="86">
        <f>D63+D81+D91+D103</f>
        <v>528980.13</v>
      </c>
      <c r="E104" s="86">
        <f>E63+E81+E91+E103</f>
        <v>1461897.2</v>
      </c>
      <c r="F104" s="86">
        <f>F63+F81+F91+F103</f>
        <v>0</v>
      </c>
      <c r="G104" s="86">
        <f>G63+G81+G103</f>
        <v>15119.400000000001</v>
      </c>
      <c r="H104" s="86">
        <f t="shared" si="5"/>
        <v>16890372.789999999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6829525.1899999995</v>
      </c>
      <c r="D109" s="24" t="s">
        <v>288</v>
      </c>
      <c r="E109" s="95">
        <f>('DOE25'!L277)+('DOE25'!L296)+('DOE25'!L315)</f>
        <v>645443.09</v>
      </c>
      <c r="F109" s="24" t="s">
        <v>288</v>
      </c>
      <c r="G109" s="24" t="s">
        <v>288</v>
      </c>
      <c r="H109" s="124">
        <f t="shared" ref="H109:H115" si="6">SUM(C109:G109)</f>
        <v>7474968.2799999993</v>
      </c>
    </row>
    <row r="110" spans="1:8" x14ac:dyDescent="0.2">
      <c r="A110" t="s">
        <v>198</v>
      </c>
      <c r="B110" s="32" t="s">
        <v>199</v>
      </c>
      <c r="C110" s="95">
        <f>('DOE25'!L199)+('DOE25'!L217)+('DOE25'!L235)</f>
        <v>2754784.27</v>
      </c>
      <c r="D110" s="24" t="s">
        <v>288</v>
      </c>
      <c r="E110" s="95">
        <f>('DOE25'!L278)+('DOE25'!L297)+('DOE25'!L316)</f>
        <v>249112.96000000002</v>
      </c>
      <c r="F110" s="24" t="s">
        <v>288</v>
      </c>
      <c r="G110" s="24" t="s">
        <v>288</v>
      </c>
      <c r="H110" s="124">
        <f t="shared" si="6"/>
        <v>3003897.23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60767.02</v>
      </c>
      <c r="D112" s="24" t="s">
        <v>288</v>
      </c>
      <c r="E112" s="95">
        <f>+('DOE25'!L280)+('DOE25'!L299)+('DOE25'!L318)</f>
        <v>46909.86</v>
      </c>
      <c r="F112" s="24" t="s">
        <v>288</v>
      </c>
      <c r="G112" s="24" t="s">
        <v>288</v>
      </c>
      <c r="H112" s="124">
        <f t="shared" si="6"/>
        <v>107676.88</v>
      </c>
    </row>
    <row r="113" spans="1:8" x14ac:dyDescent="0.2">
      <c r="A113" t="s">
        <v>202</v>
      </c>
      <c r="B113" s="32" t="s">
        <v>169</v>
      </c>
      <c r="C113" s="95">
        <f>'DOE25'!L251</f>
        <v>12153.07</v>
      </c>
      <c r="D113" s="24" t="s">
        <v>288</v>
      </c>
      <c r="E113" s="95">
        <f>+'DOE25'!L333</f>
        <v>0</v>
      </c>
      <c r="F113" s="24" t="s">
        <v>288</v>
      </c>
      <c r="G113" s="24" t="s">
        <v>288</v>
      </c>
      <c r="H113" s="124">
        <f t="shared" si="6"/>
        <v>12153.07</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9657229.5499999989</v>
      </c>
      <c r="D115" s="86">
        <f>SUM(D109:D114)</f>
        <v>0</v>
      </c>
      <c r="E115" s="86">
        <f>SUM(E109:E114)</f>
        <v>941465.91</v>
      </c>
      <c r="F115" s="86">
        <f>SUM(F109:F114)</f>
        <v>0</v>
      </c>
      <c r="G115" s="86">
        <f>SUM(G109:G114)</f>
        <v>0</v>
      </c>
      <c r="H115" s="86">
        <f t="shared" si="6"/>
        <v>10598695.459999999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887646.61</v>
      </c>
      <c r="D118" s="24" t="s">
        <v>288</v>
      </c>
      <c r="E118" s="95">
        <f>+('DOE25'!L282)+('DOE25'!L301)+('DOE25'!L320)</f>
        <v>237046.21000000002</v>
      </c>
      <c r="F118" s="24" t="s">
        <v>288</v>
      </c>
      <c r="G118" s="24" t="s">
        <v>288</v>
      </c>
      <c r="H118" s="124">
        <f t="shared" ref="H118:H145" si="7">SUM(C118:G118)</f>
        <v>1124692.82</v>
      </c>
    </row>
    <row r="119" spans="1:8" x14ac:dyDescent="0.2">
      <c r="A119" t="s">
        <v>208</v>
      </c>
      <c r="B119" s="32" t="s">
        <v>209</v>
      </c>
      <c r="C119" s="95">
        <f>('DOE25'!L204)+('DOE25'!L222)+('DOE25'!L240)</f>
        <v>913829</v>
      </c>
      <c r="D119" s="24" t="s">
        <v>288</v>
      </c>
      <c r="E119" s="95">
        <f>+('DOE25'!L283)+('DOE25'!L302)+('DOE25'!L321)</f>
        <v>221171.38</v>
      </c>
      <c r="F119" s="24" t="s">
        <v>288</v>
      </c>
      <c r="G119" s="24" t="s">
        <v>288</v>
      </c>
      <c r="H119" s="124">
        <f t="shared" si="7"/>
        <v>1135000.3799999999</v>
      </c>
    </row>
    <row r="120" spans="1:8" x14ac:dyDescent="0.2">
      <c r="A120" t="s">
        <v>210</v>
      </c>
      <c r="B120" s="32" t="s">
        <v>211</v>
      </c>
      <c r="C120" s="95">
        <f>('DOE25'!L205)+('DOE25'!L223)+('DOE25'!L241)</f>
        <v>694708.92</v>
      </c>
      <c r="D120" s="24" t="s">
        <v>288</v>
      </c>
      <c r="E120" s="95">
        <f>+('DOE25'!L284)+('DOE25'!L303)+('DOE25'!L322)</f>
        <v>31841.7</v>
      </c>
      <c r="F120" s="24" t="s">
        <v>288</v>
      </c>
      <c r="G120" s="24" t="s">
        <v>288</v>
      </c>
      <c r="H120" s="124">
        <f t="shared" si="7"/>
        <v>726550.62</v>
      </c>
    </row>
    <row r="121" spans="1:8" x14ac:dyDescent="0.2">
      <c r="A121" t="s">
        <v>212</v>
      </c>
      <c r="B121" s="32" t="s">
        <v>213</v>
      </c>
      <c r="C121" s="95">
        <f>('DOE25'!L206)+('DOE25'!L224)+('DOE25'!L242)</f>
        <v>859727.47000000009</v>
      </c>
      <c r="D121" s="24" t="s">
        <v>288</v>
      </c>
      <c r="E121" s="95">
        <f>+('DOE25'!L285)+('DOE25'!L304)+('DOE25'!L323)</f>
        <v>0</v>
      </c>
      <c r="F121" s="24" t="s">
        <v>288</v>
      </c>
      <c r="G121" s="24" t="s">
        <v>288</v>
      </c>
      <c r="H121" s="124">
        <f t="shared" si="7"/>
        <v>859727.47000000009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1029455.0700000002</v>
      </c>
      <c r="D123" s="24" t="s">
        <v>288</v>
      </c>
      <c r="E123" s="95">
        <f>+('DOE25'!L287)+('DOE25'!L306)+('DOE25'!L325)</f>
        <v>14753</v>
      </c>
      <c r="F123" s="24" t="s">
        <v>288</v>
      </c>
      <c r="G123" s="24" t="s">
        <v>288</v>
      </c>
      <c r="H123" s="124">
        <f t="shared" si="7"/>
        <v>1044208.0700000002</v>
      </c>
    </row>
    <row r="124" spans="1:8" x14ac:dyDescent="0.2">
      <c r="A124" t="s">
        <v>218</v>
      </c>
      <c r="B124" s="32" t="s">
        <v>219</v>
      </c>
      <c r="C124" s="95">
        <f>('DOE25'!L209)+('DOE25'!L227)+('DOE25'!L245+'DOE25'!L255)</f>
        <v>916299.52</v>
      </c>
      <c r="D124" s="24" t="s">
        <v>288</v>
      </c>
      <c r="E124" s="95">
        <f>+('DOE25'!L288)+('DOE25'!L307)+('DOE25'!L326)</f>
        <v>12519</v>
      </c>
      <c r="F124" s="24" t="s">
        <v>288</v>
      </c>
      <c r="G124" s="24" t="s">
        <v>288</v>
      </c>
      <c r="H124" s="124">
        <f t="shared" si="7"/>
        <v>928818.52</v>
      </c>
    </row>
    <row r="125" spans="1:8" x14ac:dyDescent="0.2">
      <c r="A125" t="s">
        <v>220</v>
      </c>
      <c r="B125" s="32" t="s">
        <v>221</v>
      </c>
      <c r="C125" s="95">
        <f>('DOE25'!L210)+('DOE25'!L228)+('DOE25'!L246)</f>
        <v>8140.5</v>
      </c>
      <c r="D125" s="24" t="s">
        <v>288</v>
      </c>
      <c r="E125" s="95">
        <f>+('DOE25'!L289)+('DOE25'!L308)+('DOE25'!L327)</f>
        <v>0</v>
      </c>
      <c r="F125" s="24" t="s">
        <v>288</v>
      </c>
      <c r="G125" s="24" t="s">
        <v>288</v>
      </c>
      <c r="H125" s="124">
        <f t="shared" si="7"/>
        <v>8140.5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403860.38999999996</v>
      </c>
      <c r="E127" s="24" t="s">
        <v>288</v>
      </c>
      <c r="F127" s="24" t="s">
        <v>288</v>
      </c>
      <c r="G127" s="24" t="s">
        <v>288</v>
      </c>
      <c r="H127" s="124">
        <f t="shared" si="7"/>
        <v>403860.38999999996</v>
      </c>
    </row>
    <row r="128" spans="1:8" ht="12.75" thickTop="1" thickBot="1" x14ac:dyDescent="0.25">
      <c r="A128" s="33" t="s">
        <v>226</v>
      </c>
      <c r="C128" s="86">
        <f>SUM(C118:C127)</f>
        <v>5309807.09</v>
      </c>
      <c r="D128" s="86">
        <f>SUM(D118:D127)</f>
        <v>403860.38999999996</v>
      </c>
      <c r="E128" s="86">
        <f>SUM(E118:E127)</f>
        <v>517331.29000000004</v>
      </c>
      <c r="F128" s="86">
        <f>SUM(F118:F127)</f>
        <v>0</v>
      </c>
      <c r="G128" s="86">
        <f>SUM(G118:G127)</f>
        <v>0</v>
      </c>
      <c r="H128" s="86">
        <f t="shared" si="7"/>
        <v>6230998.7699999996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135673</v>
      </c>
      <c r="D131" s="24" t="s">
        <v>288</v>
      </c>
      <c r="E131" s="129">
        <f>'DOE25'!L342</f>
        <v>0</v>
      </c>
      <c r="F131" s="24" t="s">
        <v>288</v>
      </c>
      <c r="G131" s="24" t="s">
        <v>288</v>
      </c>
      <c r="H131" s="124">
        <f t="shared" si="7"/>
        <v>135673</v>
      </c>
    </row>
    <row r="132" spans="1:8" x14ac:dyDescent="0.2">
      <c r="A132" t="s">
        <v>230</v>
      </c>
      <c r="B132" s="32">
        <v>5120</v>
      </c>
      <c r="C132" s="95">
        <f>'DOE25'!L262</f>
        <v>7798.12</v>
      </c>
      <c r="D132" s="24" t="s">
        <v>288</v>
      </c>
      <c r="E132" s="129">
        <f>'DOE25'!L343</f>
        <v>0</v>
      </c>
      <c r="F132" s="24" t="s">
        <v>288</v>
      </c>
      <c r="G132" s="24" t="s">
        <v>288</v>
      </c>
      <c r="H132" s="124">
        <f t="shared" si="7"/>
        <v>7798.12</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3100</v>
      </c>
      <c r="F135" s="24" t="s">
        <v>288</v>
      </c>
      <c r="G135" s="24" t="s">
        <v>288</v>
      </c>
      <c r="H135" s="124">
        <f t="shared" si="7"/>
        <v>3100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15119.4</v>
      </c>
      <c r="D139" s="24" t="s">
        <v>288</v>
      </c>
      <c r="E139" s="24" t="s">
        <v>288</v>
      </c>
      <c r="F139" s="24" t="s">
        <v>288</v>
      </c>
      <c r="G139" s="24" t="s">
        <v>288</v>
      </c>
      <c r="H139" s="124">
        <f t="shared" si="7"/>
        <v>15119.4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-15119.4</v>
      </c>
      <c r="D141" s="24" t="s">
        <v>288</v>
      </c>
      <c r="E141" s="24" t="s">
        <v>288</v>
      </c>
      <c r="F141" s="24" t="s">
        <v>288</v>
      </c>
      <c r="G141" s="24" t="s">
        <v>288</v>
      </c>
      <c r="H141" s="124">
        <f t="shared" si="7"/>
        <v>-15119.4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143471.12</v>
      </c>
      <c r="D144" s="141">
        <f>SUM(D130:D143)</f>
        <v>0</v>
      </c>
      <c r="E144" s="141">
        <f>SUM(E130:E143)</f>
        <v>3100</v>
      </c>
      <c r="F144" s="141">
        <f>SUM(F130:F143)</f>
        <v>0</v>
      </c>
      <c r="G144" s="141">
        <f>SUM(G130:G143)</f>
        <v>0</v>
      </c>
      <c r="H144" s="141">
        <f t="shared" si="7"/>
        <v>146571.12</v>
      </c>
    </row>
    <row r="145" spans="1:9" ht="12.75" thickTop="1" thickBot="1" x14ac:dyDescent="0.25">
      <c r="A145" s="33" t="s">
        <v>244</v>
      </c>
      <c r="C145" s="86">
        <f>(C115+C128+C144)</f>
        <v>15110507.759999998</v>
      </c>
      <c r="D145" s="86">
        <f>(D115+D128+D144)</f>
        <v>403860.38999999996</v>
      </c>
      <c r="E145" s="86">
        <f>(E115+E128+E144)</f>
        <v>1461897.2000000002</v>
      </c>
      <c r="F145" s="86">
        <f>(F115+F128+F144)</f>
        <v>0</v>
      </c>
      <c r="G145" s="86">
        <f>(G115+G128+G144)</f>
        <v>0</v>
      </c>
      <c r="H145" s="86">
        <f t="shared" si="7"/>
        <v>16976265.349999998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April 2010</v>
      </c>
      <c r="C152" s="152">
        <f>'DOE25'!G492</f>
        <v>0</v>
      </c>
      <c r="D152" s="152">
        <f>'DOE25'!H492</f>
        <v>0</v>
      </c>
      <c r="E152" s="152">
        <f>'DOE25'!I492</f>
        <v>0</v>
      </c>
      <c r="F152" s="152">
        <f>'DOE25'!J492</f>
        <v>0</v>
      </c>
      <c r="G152" s="24" t="s">
        <v>288</v>
      </c>
    </row>
    <row r="153" spans="1:9" x14ac:dyDescent="0.2">
      <c r="A153" s="136" t="s">
        <v>29</v>
      </c>
      <c r="B153" s="152" t="str">
        <f>'DOE25'!F493</f>
        <v>April 2024</v>
      </c>
      <c r="C153" s="152">
        <f>'DOE25'!G493</f>
        <v>0</v>
      </c>
      <c r="D153" s="152">
        <f>'DOE25'!H493</f>
        <v>0</v>
      </c>
      <c r="E153" s="152">
        <f>'DOE25'!I493</f>
        <v>0</v>
      </c>
      <c r="F153" s="152">
        <f>'DOE25'!J493</f>
        <v>0</v>
      </c>
      <c r="G153" s="24" t="s">
        <v>288</v>
      </c>
    </row>
    <row r="154" spans="1:9" x14ac:dyDescent="0.2">
      <c r="A154" s="136" t="s">
        <v>30</v>
      </c>
      <c r="B154" s="137">
        <f>'DOE25'!F494</f>
        <v>1780093</v>
      </c>
      <c r="C154" s="137">
        <f>'DOE25'!G494</f>
        <v>0</v>
      </c>
      <c r="D154" s="137">
        <f>'DOE25'!H494</f>
        <v>0</v>
      </c>
      <c r="E154" s="137">
        <f>'DOE25'!I494</f>
        <v>0</v>
      </c>
      <c r="F154" s="137">
        <f>'DOE25'!J494</f>
        <v>0</v>
      </c>
      <c r="G154" s="24" t="s">
        <v>288</v>
      </c>
    </row>
    <row r="155" spans="1:9" x14ac:dyDescent="0.2">
      <c r="A155" s="136" t="s">
        <v>31</v>
      </c>
      <c r="B155" s="137">
        <f>'DOE25'!F495</f>
        <v>1.26</v>
      </c>
      <c r="C155" s="137">
        <f>'DOE25'!G495</f>
        <v>0</v>
      </c>
      <c r="D155" s="137">
        <f>'DOE25'!H495</f>
        <v>0</v>
      </c>
      <c r="E155" s="137">
        <f>'DOE25'!I495</f>
        <v>0</v>
      </c>
      <c r="F155" s="137">
        <f>'DOE25'!J495</f>
        <v>0</v>
      </c>
      <c r="G155" s="24" t="s">
        <v>288</v>
      </c>
    </row>
    <row r="156" spans="1:9" x14ac:dyDescent="0.2">
      <c r="A156" s="22" t="s">
        <v>32</v>
      </c>
      <c r="B156" s="137">
        <f>'DOE25'!F496</f>
        <v>421382.93</v>
      </c>
      <c r="C156" s="137">
        <f>'DOE25'!G496</f>
        <v>0</v>
      </c>
      <c r="D156" s="137">
        <f>'DOE25'!H496</f>
        <v>0</v>
      </c>
      <c r="E156" s="137">
        <f>'DOE25'!I496</f>
        <v>0</v>
      </c>
      <c r="F156" s="137">
        <f>'DOE25'!J496</f>
        <v>0</v>
      </c>
      <c r="G156" s="138">
        <f>SUM(B156:F156)</f>
        <v>421382.93</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141837.04</v>
      </c>
      <c r="C158" s="137">
        <f>'DOE25'!G498</f>
        <v>0</v>
      </c>
      <c r="D158" s="137">
        <f>'DOE25'!H498</f>
        <v>0</v>
      </c>
      <c r="E158" s="137">
        <f>'DOE25'!I498</f>
        <v>0</v>
      </c>
      <c r="F158" s="137">
        <f>'DOE25'!J498</f>
        <v>0</v>
      </c>
      <c r="G158" s="138">
        <f t="shared" si="8"/>
        <v>141837.04</v>
      </c>
    </row>
    <row r="159" spans="1:9" x14ac:dyDescent="0.2">
      <c r="A159" s="22" t="s">
        <v>35</v>
      </c>
      <c r="B159" s="137">
        <f>'DOE25'!F499</f>
        <v>282710.07</v>
      </c>
      <c r="C159" s="137">
        <f>'DOE25'!G499</f>
        <v>0</v>
      </c>
      <c r="D159" s="137">
        <f>'DOE25'!H499</f>
        <v>0</v>
      </c>
      <c r="E159" s="137">
        <f>'DOE25'!I499</f>
        <v>0</v>
      </c>
      <c r="F159" s="137">
        <f>'DOE25'!J499</f>
        <v>0</v>
      </c>
      <c r="G159" s="138">
        <f t="shared" si="8"/>
        <v>282710.07</v>
      </c>
    </row>
    <row r="160" spans="1:9" x14ac:dyDescent="0.2">
      <c r="A160" s="22" t="s">
        <v>36</v>
      </c>
      <c r="B160" s="137">
        <f>'DOE25'!F500</f>
        <v>8031.73</v>
      </c>
      <c r="C160" s="137">
        <f>'DOE25'!G500</f>
        <v>0</v>
      </c>
      <c r="D160" s="137">
        <f>'DOE25'!H500</f>
        <v>0</v>
      </c>
      <c r="E160" s="137">
        <f>'DOE25'!I500</f>
        <v>0</v>
      </c>
      <c r="F160" s="137">
        <f>'DOE25'!J500</f>
        <v>0</v>
      </c>
      <c r="G160" s="138">
        <f t="shared" si="8"/>
        <v>8031.73</v>
      </c>
    </row>
    <row r="161" spans="1:7" x14ac:dyDescent="0.2">
      <c r="A161" s="22" t="s">
        <v>37</v>
      </c>
      <c r="B161" s="137">
        <f>'DOE25'!F501</f>
        <v>290741.8</v>
      </c>
      <c r="C161" s="137">
        <f>'DOE25'!G501</f>
        <v>0</v>
      </c>
      <c r="D161" s="137">
        <f>'DOE25'!H501</f>
        <v>0</v>
      </c>
      <c r="E161" s="137">
        <f>'DOE25'!I501</f>
        <v>0</v>
      </c>
      <c r="F161" s="137">
        <f>'DOE25'!J501</f>
        <v>0</v>
      </c>
      <c r="G161" s="138">
        <f t="shared" si="8"/>
        <v>290741.8</v>
      </c>
    </row>
    <row r="162" spans="1:7" x14ac:dyDescent="0.2">
      <c r="A162" s="22" t="s">
        <v>38</v>
      </c>
      <c r="B162" s="137">
        <f>'DOE25'!F502</f>
        <v>138672.87</v>
      </c>
      <c r="C162" s="137">
        <f>'DOE25'!G502</f>
        <v>0</v>
      </c>
      <c r="D162" s="137">
        <f>'DOE25'!H502</f>
        <v>0</v>
      </c>
      <c r="E162" s="137">
        <f>'DOE25'!I502</f>
        <v>0</v>
      </c>
      <c r="F162" s="137">
        <f>'DOE25'!J502</f>
        <v>0</v>
      </c>
      <c r="G162" s="138">
        <f t="shared" si="8"/>
        <v>138672.87</v>
      </c>
    </row>
    <row r="163" spans="1:7" x14ac:dyDescent="0.2">
      <c r="A163" s="22" t="s">
        <v>39</v>
      </c>
      <c r="B163" s="137">
        <f>'DOE25'!F503</f>
        <v>4435.79</v>
      </c>
      <c r="C163" s="137">
        <f>'DOE25'!G503</f>
        <v>0</v>
      </c>
      <c r="D163" s="137">
        <f>'DOE25'!H503</f>
        <v>0</v>
      </c>
      <c r="E163" s="137">
        <f>'DOE25'!I503</f>
        <v>0</v>
      </c>
      <c r="F163" s="137">
        <f>'DOE25'!J503</f>
        <v>0</v>
      </c>
      <c r="G163" s="138">
        <f t="shared" si="8"/>
        <v>4435.79</v>
      </c>
    </row>
    <row r="164" spans="1:7" x14ac:dyDescent="0.2">
      <c r="A164" s="22" t="s">
        <v>246</v>
      </c>
      <c r="B164" s="137">
        <f>'DOE25'!F504</f>
        <v>143108.66</v>
      </c>
      <c r="C164" s="137">
        <f>'DOE25'!G504</f>
        <v>0</v>
      </c>
      <c r="D164" s="137">
        <f>'DOE25'!H504</f>
        <v>0</v>
      </c>
      <c r="E164" s="137">
        <f>'DOE25'!I504</f>
        <v>0</v>
      </c>
      <c r="F164" s="137">
        <f>'DOE25'!J504</f>
        <v>0</v>
      </c>
      <c r="G164" s="138">
        <f t="shared" si="8"/>
        <v>143108.66</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7" t="s">
        <v>736</v>
      </c>
      <c r="B1" s="387"/>
      <c r="C1" s="387"/>
      <c r="D1" s="387"/>
    </row>
    <row r="2" spans="1:4" x14ac:dyDescent="0.2">
      <c r="A2" s="186" t="s">
        <v>713</v>
      </c>
      <c r="B2" s="185" t="str">
        <f>'DOE25'!A2</f>
        <v>Seabrook</v>
      </c>
    </row>
    <row r="3" spans="1:4" x14ac:dyDescent="0.2">
      <c r="B3" s="187" t="s">
        <v>1799</v>
      </c>
    </row>
    <row r="4" spans="1:4" x14ac:dyDescent="0.2">
      <c r="B4" t="s">
        <v>61</v>
      </c>
      <c r="C4" s="178">
        <f>IF('DOE25'!F666+'DOE25'!F671=0,0,ROUND('DOE25'!F673,0))</f>
        <v>23800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23800</v>
      </c>
    </row>
    <row r="9" spans="1:4" x14ac:dyDescent="0.2">
      <c r="A9" s="186" t="s">
        <v>94</v>
      </c>
      <c r="B9" s="187" t="s">
        <v>1800</v>
      </c>
      <c r="C9" s="180" t="s">
        <v>720</v>
      </c>
      <c r="D9" s="180" t="s">
        <v>721</v>
      </c>
    </row>
    <row r="10" spans="1:4" x14ac:dyDescent="0.2">
      <c r="A10">
        <v>1100</v>
      </c>
      <c r="B10" t="s">
        <v>702</v>
      </c>
      <c r="C10" s="178">
        <f>ROUND('DOE25'!L198+'DOE25'!L216+'DOE25'!L234+'DOE25'!L277+'DOE25'!L296+'DOE25'!L315,0)</f>
        <v>7474968</v>
      </c>
      <c r="D10" s="181">
        <f>ROUND((C10/$C$28)*100,1)</f>
        <v>44.4</v>
      </c>
    </row>
    <row r="11" spans="1:4" x14ac:dyDescent="0.2">
      <c r="A11">
        <v>1200</v>
      </c>
      <c r="B11" t="s">
        <v>703</v>
      </c>
      <c r="C11" s="178">
        <f>ROUND('DOE25'!L199+'DOE25'!L217+'DOE25'!L235+'DOE25'!L278+'DOE25'!L297+'DOE25'!L316,0)</f>
        <v>3003897</v>
      </c>
      <c r="D11" s="181">
        <f>ROUND((C11/$C$28)*100,1)</f>
        <v>17.8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107677</v>
      </c>
      <c r="D13" s="181">
        <f>ROUND((C13/$C$28)*100,1)</f>
        <v>0.6</v>
      </c>
    </row>
    <row r="14" spans="1:4" x14ac:dyDescent="0.2">
      <c r="D14" s="181"/>
    </row>
    <row r="15" spans="1:4" x14ac:dyDescent="0.2">
      <c r="A15">
        <v>2100</v>
      </c>
      <c r="B15" t="s">
        <v>706</v>
      </c>
      <c r="C15" s="178">
        <f>ROUND('DOE25'!L203+'DOE25'!L221+'DOE25'!L239+'DOE25'!L282+'DOE25'!L301+'DOE25'!L320,0)</f>
        <v>1124693</v>
      </c>
      <c r="D15" s="181">
        <f t="shared" ref="D15:D27" si="0">ROUND((C15/$C$28)*100,1)</f>
        <v>6.7</v>
      </c>
    </row>
    <row r="16" spans="1:4" x14ac:dyDescent="0.2">
      <c r="A16">
        <v>2200</v>
      </c>
      <c r="B16" t="s">
        <v>707</v>
      </c>
      <c r="C16" s="178">
        <f>ROUND('DOE25'!L204+'DOE25'!L222+'DOE25'!L240+'DOE25'!L283+'DOE25'!L302+'DOE25'!L321,0)</f>
        <v>1135000</v>
      </c>
      <c r="D16" s="181">
        <f t="shared" si="0"/>
        <v>6.7</v>
      </c>
    </row>
    <row r="17" spans="1:4" x14ac:dyDescent="0.2">
      <c r="A17" s="182" t="s">
        <v>723</v>
      </c>
      <c r="B17" t="s">
        <v>738</v>
      </c>
      <c r="C17" s="178">
        <f>ROUND('DOE25'!L205+'DOE25'!L210+'DOE25'!L223+'DOE25'!L228+'DOE25'!L241+'DOE25'!L246+'DOE25'!L284+'DOE25'!L289+'DOE25'!L303+'DOE25'!L308+'DOE25'!L322+'DOE25'!L327,0)</f>
        <v>734691</v>
      </c>
      <c r="D17" s="181">
        <f t="shared" si="0"/>
        <v>4.4000000000000004</v>
      </c>
    </row>
    <row r="18" spans="1:4" x14ac:dyDescent="0.2">
      <c r="A18">
        <v>2400</v>
      </c>
      <c r="B18" t="s">
        <v>711</v>
      </c>
      <c r="C18" s="178">
        <f>ROUND('DOE25'!L206+'DOE25'!L224+'DOE25'!L242+'DOE25'!L285+'DOE25'!L304+'DOE25'!L323,0)</f>
        <v>859727</v>
      </c>
      <c r="D18" s="181">
        <f t="shared" si="0"/>
        <v>5.0999999999999996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1044208</v>
      </c>
      <c r="D20" s="181">
        <f t="shared" si="0"/>
        <v>6.2</v>
      </c>
    </row>
    <row r="21" spans="1:4" x14ac:dyDescent="0.2">
      <c r="A21">
        <v>2700</v>
      </c>
      <c r="B21" t="s">
        <v>710</v>
      </c>
      <c r="C21" s="178">
        <f>ROUND('DOE25'!L209+'DOE25'!L227+'DOE25'!L245+'DOE25'!L288+'DOE25'!L307+'DOE25'!L326,0)</f>
        <v>928819</v>
      </c>
      <c r="D21" s="181">
        <f t="shared" si="0"/>
        <v>5.5</v>
      </c>
    </row>
    <row r="22" spans="1:4" x14ac:dyDescent="0.2">
      <c r="A22">
        <v>2900</v>
      </c>
      <c r="B22" t="s">
        <v>712</v>
      </c>
      <c r="C22" s="178">
        <v>0</v>
      </c>
      <c r="D22" s="181">
        <f t="shared" si="0"/>
        <v>0</v>
      </c>
    </row>
    <row r="23" spans="1:4" x14ac:dyDescent="0.2">
      <c r="A23">
        <v>1500</v>
      </c>
      <c r="B23" t="s">
        <v>714</v>
      </c>
      <c r="C23" s="178">
        <f>ROUND('DOE25'!L251+'DOE25'!L333,0)</f>
        <v>12153</v>
      </c>
      <c r="D23" s="181">
        <f t="shared" si="0"/>
        <v>0.1</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7798</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400218.32</v>
      </c>
      <c r="D27" s="181">
        <f t="shared" si="0"/>
        <v>2.4</v>
      </c>
    </row>
    <row r="28" spans="1:4" x14ac:dyDescent="0.2">
      <c r="B28" s="186" t="s">
        <v>719</v>
      </c>
      <c r="C28" s="179">
        <f>SUM(C10:C27)</f>
        <v>16833849.32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16833849.32</v>
      </c>
    </row>
    <row r="31" spans="1:4" x14ac:dyDescent="0.2">
      <c r="B31" s="33"/>
      <c r="C31" s="179"/>
    </row>
    <row r="32" spans="1:4" x14ac:dyDescent="0.2">
      <c r="A32">
        <v>5100</v>
      </c>
      <c r="B32" s="33" t="s">
        <v>726</v>
      </c>
      <c r="C32" s="179">
        <f>ROUND('DOE25'!L261+'DOE25'!L342,0)</f>
        <v>135673</v>
      </c>
    </row>
    <row r="34" spans="1:4" x14ac:dyDescent="0.2">
      <c r="A34" s="186" t="s">
        <v>94</v>
      </c>
      <c r="B34" s="187" t="s">
        <v>1801</v>
      </c>
      <c r="C34" s="180" t="s">
        <v>720</v>
      </c>
      <c r="D34" s="180" t="s">
        <v>721</v>
      </c>
    </row>
    <row r="35" spans="1:4" x14ac:dyDescent="0.2">
      <c r="A35">
        <v>1100</v>
      </c>
      <c r="B35" s="184" t="s">
        <v>727</v>
      </c>
      <c r="C35" s="178">
        <f>ROUND('DOE25'!F60+'DOE25'!G60+'DOE25'!H60+'DOE25'!I60+'DOE25'!J60,0)</f>
        <v>11169383</v>
      </c>
      <c r="D35" s="181">
        <f t="shared" ref="D35:D40" si="1">ROUND((C35/$C$41)*100,1)</f>
        <v>66.2</v>
      </c>
    </row>
    <row r="36" spans="1:4" x14ac:dyDescent="0.2">
      <c r="B36" s="184" t="s">
        <v>739</v>
      </c>
      <c r="C36" s="178">
        <f>SUM('DOE25'!F112:J112)-SUM('DOE25'!G97:G110)+('DOE25'!F175+'DOE25'!F176+'DOE25'!I175+'DOE25'!I176)-C35</f>
        <v>153102.75</v>
      </c>
      <c r="D36" s="181">
        <f t="shared" si="1"/>
        <v>0.9</v>
      </c>
    </row>
    <row r="37" spans="1:4" x14ac:dyDescent="0.2">
      <c r="A37" s="182" t="s">
        <v>835</v>
      </c>
      <c r="B37" s="184" t="s">
        <v>728</v>
      </c>
      <c r="C37" s="178">
        <f>ROUND('DOE25'!F117+'DOE25'!F118,0)</f>
        <v>3381266</v>
      </c>
      <c r="D37" s="181">
        <f t="shared" si="1"/>
        <v>20</v>
      </c>
    </row>
    <row r="38" spans="1:4" x14ac:dyDescent="0.2">
      <c r="A38" s="182" t="s">
        <v>734</v>
      </c>
      <c r="B38" s="184" t="s">
        <v>729</v>
      </c>
      <c r="C38" s="178">
        <f>ROUND(SUM('DOE25'!F140:J140)-SUM('DOE25'!F117:F119),0)</f>
        <v>136398</v>
      </c>
      <c r="D38" s="181">
        <f t="shared" si="1"/>
        <v>0.8</v>
      </c>
    </row>
    <row r="39" spans="1:4" x14ac:dyDescent="0.2">
      <c r="A39">
        <v>4000</v>
      </c>
      <c r="B39" s="184" t="s">
        <v>730</v>
      </c>
      <c r="C39" s="178">
        <f>ROUND('DOE25'!F170+'DOE25'!G170+'DOE25'!H170+'DOE25'!I170,0)</f>
        <v>2043481</v>
      </c>
      <c r="D39" s="181">
        <f t="shared" si="1"/>
        <v>12.1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16883630.75</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2" t="s">
        <v>766</v>
      </c>
      <c r="B1" s="393"/>
      <c r="C1" s="393"/>
      <c r="D1" s="393"/>
      <c r="E1" s="393"/>
      <c r="F1" s="393"/>
      <c r="G1" s="393"/>
      <c r="H1" s="393"/>
      <c r="I1" s="393"/>
      <c r="J1" s="212"/>
      <c r="K1" s="212"/>
      <c r="L1" s="212"/>
      <c r="M1" s="213"/>
    </row>
    <row r="2" spans="1:26" ht="12.75" x14ac:dyDescent="0.2">
      <c r="A2" s="398" t="s">
        <v>763</v>
      </c>
      <c r="B2" s="399"/>
      <c r="C2" s="399"/>
      <c r="D2" s="399"/>
      <c r="E2" s="399"/>
      <c r="F2" s="396" t="str">
        <f>'DOE25'!A2</f>
        <v>Seabrook</v>
      </c>
      <c r="G2" s="397"/>
      <c r="H2" s="397"/>
      <c r="I2" s="397"/>
      <c r="J2" s="52"/>
      <c r="K2" s="52"/>
      <c r="L2" s="52"/>
      <c r="M2" s="214"/>
    </row>
    <row r="3" spans="1:26" x14ac:dyDescent="0.2">
      <c r="A3" s="215" t="s">
        <v>764</v>
      </c>
      <c r="B3" s="216" t="s">
        <v>765</v>
      </c>
      <c r="C3" s="394" t="s">
        <v>767</v>
      </c>
      <c r="D3" s="394"/>
      <c r="E3" s="394"/>
      <c r="F3" s="394"/>
      <c r="G3" s="394"/>
      <c r="H3" s="394"/>
      <c r="I3" s="394"/>
      <c r="J3" s="394"/>
      <c r="K3" s="394"/>
      <c r="L3" s="394"/>
      <c r="M3" s="395"/>
    </row>
    <row r="4" spans="1:26" x14ac:dyDescent="0.2">
      <c r="A4" s="217"/>
      <c r="B4" s="218"/>
      <c r="C4" s="390"/>
      <c r="D4" s="390"/>
      <c r="E4" s="390"/>
      <c r="F4" s="390"/>
      <c r="G4" s="390"/>
      <c r="H4" s="390"/>
      <c r="I4" s="390"/>
      <c r="J4" s="390"/>
      <c r="K4" s="390"/>
      <c r="L4" s="390"/>
      <c r="M4" s="391"/>
      <c r="N4" s="126"/>
      <c r="O4" s="126"/>
      <c r="P4" s="126"/>
      <c r="Q4" s="126"/>
      <c r="R4" s="126"/>
      <c r="S4" s="126"/>
      <c r="T4" s="126"/>
      <c r="U4" s="126"/>
      <c r="V4" s="126"/>
      <c r="W4" s="126"/>
      <c r="X4" s="126"/>
      <c r="Y4" s="126"/>
      <c r="Z4" s="126"/>
    </row>
    <row r="5" spans="1:26" x14ac:dyDescent="0.2">
      <c r="A5" s="217"/>
      <c r="B5" s="218"/>
      <c r="C5" s="390"/>
      <c r="D5" s="390"/>
      <c r="E5" s="390"/>
      <c r="F5" s="390"/>
      <c r="G5" s="390"/>
      <c r="H5" s="390"/>
      <c r="I5" s="390"/>
      <c r="J5" s="390"/>
      <c r="K5" s="390"/>
      <c r="L5" s="390"/>
      <c r="M5" s="391"/>
      <c r="N5" s="126"/>
      <c r="O5" s="126"/>
      <c r="P5" s="126"/>
      <c r="Q5" s="126"/>
      <c r="R5" s="126"/>
      <c r="S5" s="126"/>
      <c r="T5" s="126"/>
      <c r="U5" s="126"/>
      <c r="V5" s="126"/>
      <c r="W5" s="126"/>
      <c r="X5" s="126"/>
      <c r="Y5" s="126"/>
      <c r="Z5" s="126"/>
    </row>
    <row r="6" spans="1:26" x14ac:dyDescent="0.2">
      <c r="A6" s="217"/>
      <c r="B6" s="218"/>
      <c r="C6" s="390"/>
      <c r="D6" s="390"/>
      <c r="E6" s="390"/>
      <c r="F6" s="390"/>
      <c r="G6" s="390"/>
      <c r="H6" s="390"/>
      <c r="I6" s="390"/>
      <c r="J6" s="390"/>
      <c r="K6" s="390"/>
      <c r="L6" s="390"/>
      <c r="M6" s="391"/>
      <c r="N6" s="126"/>
      <c r="O6" s="126"/>
      <c r="P6" s="126"/>
      <c r="Q6" s="126"/>
      <c r="R6" s="126"/>
      <c r="S6" s="126"/>
      <c r="T6" s="126"/>
      <c r="U6" s="126"/>
      <c r="V6" s="126"/>
      <c r="W6" s="126"/>
      <c r="X6" s="126"/>
      <c r="Y6" s="126"/>
      <c r="Z6" s="126"/>
    </row>
    <row r="7" spans="1:26" x14ac:dyDescent="0.2">
      <c r="A7" s="217"/>
      <c r="B7" s="218"/>
      <c r="C7" s="390"/>
      <c r="D7" s="390"/>
      <c r="E7" s="390"/>
      <c r="F7" s="390"/>
      <c r="G7" s="390"/>
      <c r="H7" s="390"/>
      <c r="I7" s="390"/>
      <c r="J7" s="390"/>
      <c r="K7" s="390"/>
      <c r="L7" s="390"/>
      <c r="M7" s="391"/>
      <c r="N7" s="126"/>
      <c r="O7" s="126"/>
      <c r="P7" s="126"/>
      <c r="Q7" s="126"/>
      <c r="R7" s="126"/>
      <c r="S7" s="126"/>
      <c r="T7" s="126"/>
      <c r="U7" s="126"/>
      <c r="V7" s="126"/>
      <c r="W7" s="126"/>
      <c r="X7" s="126"/>
      <c r="Y7" s="126"/>
      <c r="Z7" s="126"/>
    </row>
    <row r="8" spans="1:26" x14ac:dyDescent="0.2">
      <c r="A8" s="217"/>
      <c r="B8" s="218"/>
      <c r="C8" s="390"/>
      <c r="D8" s="390"/>
      <c r="E8" s="390"/>
      <c r="F8" s="390"/>
      <c r="G8" s="390"/>
      <c r="H8" s="390"/>
      <c r="I8" s="390"/>
      <c r="J8" s="390"/>
      <c r="K8" s="390"/>
      <c r="L8" s="390"/>
      <c r="M8" s="391"/>
      <c r="N8" s="126"/>
      <c r="O8" s="126"/>
      <c r="P8" s="126"/>
      <c r="Q8" s="126"/>
      <c r="R8" s="126"/>
      <c r="S8" s="126"/>
      <c r="T8" s="126"/>
      <c r="U8" s="126"/>
      <c r="V8" s="126"/>
      <c r="W8" s="126"/>
      <c r="X8" s="126"/>
      <c r="Y8" s="126"/>
      <c r="Z8" s="126"/>
    </row>
    <row r="9" spans="1:26" x14ac:dyDescent="0.2">
      <c r="A9" s="217"/>
      <c r="B9" s="218"/>
      <c r="C9" s="390"/>
      <c r="D9" s="390"/>
      <c r="E9" s="390"/>
      <c r="F9" s="390"/>
      <c r="G9" s="390"/>
      <c r="H9" s="390"/>
      <c r="I9" s="390"/>
      <c r="J9" s="390"/>
      <c r="K9" s="390"/>
      <c r="L9" s="390"/>
      <c r="M9" s="391"/>
      <c r="N9" s="126"/>
      <c r="O9" s="126"/>
      <c r="P9" s="126"/>
      <c r="Q9" s="126"/>
      <c r="R9" s="126"/>
      <c r="S9" s="126"/>
      <c r="T9" s="126"/>
      <c r="U9" s="126"/>
      <c r="V9" s="126"/>
      <c r="W9" s="126"/>
      <c r="X9" s="126"/>
      <c r="Y9" s="126"/>
      <c r="Z9" s="126"/>
    </row>
    <row r="10" spans="1:26" x14ac:dyDescent="0.2">
      <c r="A10" s="217"/>
      <c r="B10" s="218"/>
      <c r="C10" s="390"/>
      <c r="D10" s="390"/>
      <c r="E10" s="390"/>
      <c r="F10" s="390"/>
      <c r="G10" s="390"/>
      <c r="H10" s="390"/>
      <c r="I10" s="390"/>
      <c r="J10" s="390"/>
      <c r="K10" s="390"/>
      <c r="L10" s="390"/>
      <c r="M10" s="391"/>
      <c r="N10" s="126"/>
      <c r="O10" s="126"/>
      <c r="P10" s="126"/>
      <c r="Q10" s="126"/>
      <c r="R10" s="126"/>
      <c r="S10" s="126"/>
      <c r="T10" s="126"/>
      <c r="U10" s="126"/>
      <c r="V10" s="126"/>
      <c r="W10" s="126"/>
      <c r="X10" s="126"/>
      <c r="Y10" s="126"/>
      <c r="Z10" s="126"/>
    </row>
    <row r="11" spans="1:26" x14ac:dyDescent="0.2">
      <c r="A11" s="217"/>
      <c r="B11" s="218"/>
      <c r="C11" s="390"/>
      <c r="D11" s="390"/>
      <c r="E11" s="390"/>
      <c r="F11" s="390"/>
      <c r="G11" s="390"/>
      <c r="H11" s="390"/>
      <c r="I11" s="390"/>
      <c r="J11" s="390"/>
      <c r="K11" s="390"/>
      <c r="L11" s="390"/>
      <c r="M11" s="391"/>
      <c r="N11" s="126"/>
      <c r="O11" s="126"/>
      <c r="P11" s="126"/>
      <c r="Q11" s="126"/>
      <c r="R11" s="126"/>
      <c r="S11" s="126"/>
      <c r="T11" s="126"/>
      <c r="U11" s="126"/>
      <c r="V11" s="126"/>
      <c r="W11" s="126"/>
      <c r="X11" s="126"/>
      <c r="Y11" s="126"/>
      <c r="Z11" s="126"/>
    </row>
    <row r="12" spans="1:26" x14ac:dyDescent="0.2">
      <c r="A12" s="217"/>
      <c r="B12" s="218"/>
      <c r="C12" s="390"/>
      <c r="D12" s="390"/>
      <c r="E12" s="390"/>
      <c r="F12" s="390"/>
      <c r="G12" s="390"/>
      <c r="H12" s="390"/>
      <c r="I12" s="390"/>
      <c r="J12" s="390"/>
      <c r="K12" s="390"/>
      <c r="L12" s="390"/>
      <c r="M12" s="391"/>
      <c r="N12" s="126"/>
      <c r="O12" s="126"/>
      <c r="P12" s="126"/>
      <c r="Q12" s="126"/>
      <c r="R12" s="126"/>
      <c r="S12" s="126"/>
      <c r="T12" s="126"/>
      <c r="U12" s="126"/>
      <c r="V12" s="126"/>
      <c r="W12" s="126"/>
      <c r="X12" s="126"/>
      <c r="Y12" s="126"/>
      <c r="Z12" s="126"/>
    </row>
    <row r="13" spans="1:26" x14ac:dyDescent="0.2">
      <c r="A13" s="217"/>
      <c r="B13" s="218"/>
      <c r="C13" s="390"/>
      <c r="D13" s="390"/>
      <c r="E13" s="390"/>
      <c r="F13" s="390"/>
      <c r="G13" s="390"/>
      <c r="H13" s="390"/>
      <c r="I13" s="390"/>
      <c r="J13" s="390"/>
      <c r="K13" s="390"/>
      <c r="L13" s="390"/>
      <c r="M13" s="391"/>
      <c r="N13" s="126"/>
      <c r="O13" s="126"/>
      <c r="P13" s="126"/>
      <c r="Q13" s="126"/>
      <c r="R13" s="126"/>
      <c r="S13" s="126"/>
      <c r="T13" s="126"/>
      <c r="U13" s="126"/>
      <c r="V13" s="126"/>
      <c r="W13" s="126"/>
      <c r="X13" s="126"/>
      <c r="Y13" s="126"/>
      <c r="Z13" s="126"/>
    </row>
    <row r="14" spans="1:26" x14ac:dyDescent="0.2">
      <c r="A14" s="217"/>
      <c r="B14" s="218"/>
      <c r="C14" s="390"/>
      <c r="D14" s="390"/>
      <c r="E14" s="390"/>
      <c r="F14" s="390"/>
      <c r="G14" s="390"/>
      <c r="H14" s="390"/>
      <c r="I14" s="390"/>
      <c r="J14" s="390"/>
      <c r="K14" s="390"/>
      <c r="L14" s="390"/>
      <c r="M14" s="391"/>
      <c r="N14" s="126"/>
      <c r="O14" s="126"/>
      <c r="P14" s="126"/>
      <c r="Q14" s="126"/>
      <c r="R14" s="126"/>
      <c r="S14" s="126"/>
      <c r="T14" s="126"/>
      <c r="U14" s="126"/>
      <c r="V14" s="126"/>
      <c r="W14" s="126"/>
      <c r="X14" s="126"/>
      <c r="Y14" s="126"/>
      <c r="Z14" s="126"/>
    </row>
    <row r="15" spans="1:26" x14ac:dyDescent="0.2">
      <c r="A15" s="217"/>
      <c r="B15" s="218"/>
      <c r="C15" s="390"/>
      <c r="D15" s="390"/>
      <c r="E15" s="390"/>
      <c r="F15" s="390"/>
      <c r="G15" s="390"/>
      <c r="H15" s="390"/>
      <c r="I15" s="390"/>
      <c r="J15" s="390"/>
      <c r="K15" s="390"/>
      <c r="L15" s="390"/>
      <c r="M15" s="391"/>
      <c r="N15" s="126"/>
      <c r="O15" s="126"/>
      <c r="P15" s="126"/>
      <c r="Q15" s="126"/>
      <c r="R15" s="126"/>
      <c r="S15" s="126"/>
      <c r="T15" s="126"/>
      <c r="U15" s="126"/>
      <c r="V15" s="126"/>
      <c r="W15" s="126"/>
      <c r="X15" s="126"/>
      <c r="Y15" s="126"/>
      <c r="Z15" s="126"/>
    </row>
    <row r="16" spans="1:26" x14ac:dyDescent="0.2">
      <c r="A16" s="217"/>
      <c r="B16" s="218"/>
      <c r="C16" s="390"/>
      <c r="D16" s="390"/>
      <c r="E16" s="390"/>
      <c r="F16" s="390"/>
      <c r="G16" s="390"/>
      <c r="H16" s="390"/>
      <c r="I16" s="390"/>
      <c r="J16" s="390"/>
      <c r="K16" s="390"/>
      <c r="L16" s="390"/>
      <c r="M16" s="391"/>
      <c r="N16" s="126"/>
      <c r="O16" s="126"/>
      <c r="P16" s="126"/>
      <c r="Q16" s="126"/>
      <c r="R16" s="126"/>
      <c r="S16" s="126"/>
      <c r="T16" s="126"/>
      <c r="U16" s="126"/>
      <c r="V16" s="126"/>
      <c r="W16" s="126"/>
      <c r="X16" s="126"/>
      <c r="Y16" s="126"/>
      <c r="Z16" s="126"/>
    </row>
    <row r="17" spans="1:256" x14ac:dyDescent="0.2">
      <c r="A17" s="217"/>
      <c r="B17" s="218"/>
      <c r="C17" s="390"/>
      <c r="D17" s="390"/>
      <c r="E17" s="390"/>
      <c r="F17" s="390"/>
      <c r="G17" s="390"/>
      <c r="H17" s="390"/>
      <c r="I17" s="390"/>
      <c r="J17" s="390"/>
      <c r="K17" s="390"/>
      <c r="L17" s="390"/>
      <c r="M17" s="391"/>
      <c r="N17" s="126"/>
      <c r="O17" s="126"/>
      <c r="P17" s="126"/>
      <c r="Q17" s="126"/>
      <c r="R17" s="126"/>
      <c r="S17" s="126"/>
      <c r="T17" s="126"/>
      <c r="U17" s="126"/>
      <c r="V17" s="126"/>
      <c r="W17" s="126"/>
      <c r="X17" s="126"/>
      <c r="Y17" s="126"/>
      <c r="Z17" s="126"/>
    </row>
    <row r="18" spans="1:256" x14ac:dyDescent="0.2">
      <c r="A18" s="217"/>
      <c r="B18" s="218"/>
      <c r="C18" s="390"/>
      <c r="D18" s="390"/>
      <c r="E18" s="390"/>
      <c r="F18" s="390"/>
      <c r="G18" s="390"/>
      <c r="H18" s="390"/>
      <c r="I18" s="390"/>
      <c r="J18" s="390"/>
      <c r="K18" s="390"/>
      <c r="L18" s="390"/>
      <c r="M18" s="391"/>
      <c r="N18" s="126"/>
      <c r="O18" s="126"/>
      <c r="P18" s="126"/>
      <c r="Q18" s="126"/>
      <c r="R18" s="126"/>
      <c r="S18" s="126"/>
      <c r="T18" s="126"/>
      <c r="U18" s="126"/>
      <c r="V18" s="126"/>
      <c r="W18" s="126"/>
      <c r="X18" s="126"/>
      <c r="Y18" s="126"/>
      <c r="Z18" s="126"/>
    </row>
    <row r="19" spans="1:256" x14ac:dyDescent="0.2">
      <c r="A19" s="217"/>
      <c r="B19" s="218"/>
      <c r="C19" s="390"/>
      <c r="D19" s="390"/>
      <c r="E19" s="390"/>
      <c r="F19" s="390"/>
      <c r="G19" s="390"/>
      <c r="H19" s="390"/>
      <c r="I19" s="390"/>
      <c r="J19" s="390"/>
      <c r="K19" s="390"/>
      <c r="L19" s="390"/>
      <c r="M19" s="391"/>
      <c r="N19" s="126"/>
      <c r="O19" s="126"/>
      <c r="P19" s="126"/>
      <c r="Q19" s="126"/>
      <c r="R19" s="126"/>
      <c r="S19" s="126"/>
      <c r="T19" s="126"/>
      <c r="U19" s="126"/>
      <c r="V19" s="126"/>
      <c r="W19" s="126"/>
      <c r="X19" s="126"/>
      <c r="Y19" s="126"/>
      <c r="Z19" s="126"/>
    </row>
    <row r="20" spans="1:256" x14ac:dyDescent="0.2">
      <c r="A20" s="217"/>
      <c r="B20" s="218"/>
      <c r="C20" s="390"/>
      <c r="D20" s="390"/>
      <c r="E20" s="390"/>
      <c r="F20" s="390"/>
      <c r="G20" s="390"/>
      <c r="H20" s="390"/>
      <c r="I20" s="390"/>
      <c r="J20" s="390"/>
      <c r="K20" s="390"/>
      <c r="L20" s="390"/>
      <c r="M20" s="391"/>
      <c r="N20" s="126"/>
      <c r="O20" s="126"/>
      <c r="P20" s="126"/>
      <c r="Q20" s="126"/>
      <c r="R20" s="126"/>
      <c r="S20" s="126"/>
      <c r="T20" s="126"/>
      <c r="U20" s="126"/>
      <c r="V20" s="126"/>
      <c r="W20" s="126"/>
      <c r="X20" s="126"/>
      <c r="Y20" s="126"/>
      <c r="Z20" s="126"/>
    </row>
    <row r="21" spans="1:256" x14ac:dyDescent="0.2">
      <c r="A21" s="217"/>
      <c r="B21" s="218"/>
      <c r="C21" s="390"/>
      <c r="D21" s="390"/>
      <c r="E21" s="390"/>
      <c r="F21" s="390"/>
      <c r="G21" s="390"/>
      <c r="H21" s="390"/>
      <c r="I21" s="390"/>
      <c r="J21" s="390"/>
      <c r="K21" s="390"/>
      <c r="L21" s="390"/>
      <c r="M21" s="391"/>
      <c r="N21" s="126"/>
      <c r="O21" s="126"/>
      <c r="P21" s="126"/>
      <c r="Q21" s="126"/>
      <c r="R21" s="126"/>
      <c r="S21" s="126"/>
      <c r="T21" s="126"/>
      <c r="U21" s="126"/>
      <c r="V21" s="126"/>
      <c r="W21" s="126"/>
      <c r="X21" s="126"/>
      <c r="Y21" s="126"/>
      <c r="Z21" s="126"/>
    </row>
    <row r="22" spans="1:256" x14ac:dyDescent="0.2">
      <c r="A22" s="217"/>
      <c r="B22" s="218"/>
      <c r="C22" s="390"/>
      <c r="D22" s="390"/>
      <c r="E22" s="390"/>
      <c r="F22" s="390"/>
      <c r="G22" s="390"/>
      <c r="H22" s="390"/>
      <c r="I22" s="390"/>
      <c r="J22" s="390"/>
      <c r="K22" s="390"/>
      <c r="L22" s="390"/>
      <c r="M22" s="391"/>
      <c r="N22" s="126"/>
      <c r="O22" s="126"/>
      <c r="P22" s="126"/>
      <c r="Q22" s="126"/>
      <c r="R22" s="126"/>
      <c r="S22" s="126"/>
      <c r="T22" s="126"/>
      <c r="U22" s="126"/>
      <c r="V22" s="126"/>
      <c r="W22" s="126"/>
      <c r="X22" s="126"/>
      <c r="Y22" s="126"/>
      <c r="Z22" s="126"/>
    </row>
    <row r="23" spans="1:256" x14ac:dyDescent="0.2">
      <c r="A23" s="217"/>
      <c r="B23" s="218"/>
      <c r="C23" s="390"/>
      <c r="D23" s="390"/>
      <c r="E23" s="390"/>
      <c r="F23" s="390"/>
      <c r="G23" s="390"/>
      <c r="H23" s="390"/>
      <c r="I23" s="390"/>
      <c r="J23" s="390"/>
      <c r="K23" s="390"/>
      <c r="L23" s="390"/>
      <c r="M23" s="391"/>
      <c r="N23" s="126"/>
      <c r="O23" s="126"/>
      <c r="P23" s="126"/>
      <c r="Q23" s="126"/>
      <c r="R23" s="126"/>
      <c r="S23" s="126"/>
      <c r="T23" s="126"/>
      <c r="U23" s="126"/>
      <c r="V23" s="126"/>
      <c r="W23" s="126"/>
      <c r="X23" s="126"/>
      <c r="Y23" s="126"/>
      <c r="Z23" s="126"/>
    </row>
    <row r="24" spans="1:256" x14ac:dyDescent="0.2">
      <c r="A24" s="217"/>
      <c r="B24" s="218"/>
      <c r="C24" s="390"/>
      <c r="D24" s="390"/>
      <c r="E24" s="390"/>
      <c r="F24" s="390"/>
      <c r="G24" s="390"/>
      <c r="H24" s="390"/>
      <c r="I24" s="390"/>
      <c r="J24" s="390"/>
      <c r="K24" s="390"/>
      <c r="L24" s="390"/>
      <c r="M24" s="391"/>
      <c r="N24" s="126"/>
      <c r="O24" s="126"/>
      <c r="P24" s="126"/>
      <c r="Q24" s="126"/>
      <c r="R24" s="126"/>
      <c r="S24" s="126"/>
      <c r="T24" s="126"/>
      <c r="U24" s="126"/>
      <c r="V24" s="126"/>
      <c r="W24" s="126"/>
      <c r="X24" s="126"/>
      <c r="Y24" s="126"/>
      <c r="Z24" s="126"/>
    </row>
    <row r="25" spans="1:256" x14ac:dyDescent="0.2">
      <c r="A25" s="217"/>
      <c r="B25" s="218"/>
      <c r="C25" s="390"/>
      <c r="D25" s="390"/>
      <c r="E25" s="390"/>
      <c r="F25" s="390"/>
      <c r="G25" s="390"/>
      <c r="H25" s="390"/>
      <c r="I25" s="390"/>
      <c r="J25" s="390"/>
      <c r="K25" s="390"/>
      <c r="L25" s="390"/>
      <c r="M25" s="391"/>
      <c r="N25" s="126"/>
      <c r="O25" s="126"/>
      <c r="P25" s="126"/>
      <c r="Q25" s="126"/>
      <c r="R25" s="126"/>
      <c r="S25" s="126"/>
      <c r="T25" s="126"/>
      <c r="U25" s="126"/>
      <c r="V25" s="126"/>
      <c r="W25" s="126"/>
      <c r="X25" s="126"/>
      <c r="Y25" s="126"/>
      <c r="Z25" s="126"/>
    </row>
    <row r="26" spans="1:256" x14ac:dyDescent="0.2">
      <c r="A26" s="217"/>
      <c r="B26" s="218"/>
      <c r="C26" s="390"/>
      <c r="D26" s="390"/>
      <c r="E26" s="390"/>
      <c r="F26" s="390"/>
      <c r="G26" s="390"/>
      <c r="H26" s="390"/>
      <c r="I26" s="390"/>
      <c r="J26" s="390"/>
      <c r="K26" s="390"/>
      <c r="L26" s="390"/>
      <c r="M26" s="391"/>
      <c r="N26" s="126"/>
      <c r="O26" s="126"/>
      <c r="P26" s="126"/>
      <c r="Q26" s="126"/>
      <c r="R26" s="126"/>
      <c r="S26" s="126"/>
      <c r="T26" s="126"/>
      <c r="U26" s="126"/>
      <c r="V26" s="126"/>
      <c r="W26" s="126"/>
      <c r="X26" s="126"/>
      <c r="Y26" s="126"/>
      <c r="Z26" s="126"/>
    </row>
    <row r="27" spans="1:256" x14ac:dyDescent="0.2">
      <c r="A27" s="217"/>
      <c r="B27" s="218"/>
      <c r="C27" s="390"/>
      <c r="D27" s="390"/>
      <c r="E27" s="390"/>
      <c r="F27" s="390"/>
      <c r="G27" s="390"/>
      <c r="H27" s="390"/>
      <c r="I27" s="390"/>
      <c r="J27" s="390"/>
      <c r="K27" s="390"/>
      <c r="L27" s="390"/>
      <c r="M27" s="391"/>
      <c r="N27" s="126"/>
      <c r="O27" s="126"/>
      <c r="P27" s="126"/>
      <c r="Q27" s="126"/>
      <c r="R27" s="126"/>
      <c r="S27" s="126"/>
      <c r="T27" s="126"/>
      <c r="U27" s="126"/>
      <c r="V27" s="126"/>
      <c r="W27" s="126"/>
      <c r="X27" s="126"/>
      <c r="Y27" s="126"/>
      <c r="Z27" s="126"/>
    </row>
    <row r="28" spans="1:256" x14ac:dyDescent="0.2">
      <c r="A28" s="217"/>
      <c r="B28" s="218"/>
      <c r="C28" s="390"/>
      <c r="D28" s="390"/>
      <c r="E28" s="390"/>
      <c r="F28" s="390"/>
      <c r="G28" s="390"/>
      <c r="H28" s="390"/>
      <c r="I28" s="390"/>
      <c r="J28" s="390"/>
      <c r="K28" s="390"/>
      <c r="L28" s="390"/>
      <c r="M28" s="391"/>
      <c r="N28" s="126"/>
      <c r="O28" s="126"/>
      <c r="P28" s="126"/>
      <c r="Q28" s="126"/>
      <c r="R28" s="126"/>
      <c r="S28" s="126"/>
      <c r="T28" s="126"/>
      <c r="U28" s="126"/>
      <c r="V28" s="126"/>
      <c r="W28" s="126"/>
      <c r="X28" s="126"/>
      <c r="Y28" s="126"/>
      <c r="Z28" s="126"/>
    </row>
    <row r="29" spans="1:256" x14ac:dyDescent="0.2">
      <c r="A29" s="217"/>
      <c r="B29" s="218"/>
      <c r="C29" s="390"/>
      <c r="D29" s="390"/>
      <c r="E29" s="390"/>
      <c r="F29" s="390"/>
      <c r="G29" s="390"/>
      <c r="H29" s="390"/>
      <c r="I29" s="390"/>
      <c r="J29" s="390"/>
      <c r="K29" s="390"/>
      <c r="L29" s="390"/>
      <c r="M29" s="391"/>
      <c r="N29" s="210"/>
      <c r="O29" s="210"/>
      <c r="P29" s="389"/>
      <c r="Q29" s="389"/>
      <c r="R29" s="389"/>
      <c r="S29" s="389"/>
      <c r="T29" s="389"/>
      <c r="U29" s="389"/>
      <c r="V29" s="389"/>
      <c r="W29" s="389"/>
      <c r="X29" s="389"/>
      <c r="Y29" s="389"/>
      <c r="Z29" s="389"/>
      <c r="AA29" s="206"/>
      <c r="AB29" s="206"/>
      <c r="AC29" s="388"/>
      <c r="AD29" s="388"/>
      <c r="AE29" s="388"/>
      <c r="AF29" s="388"/>
      <c r="AG29" s="388"/>
      <c r="AH29" s="388"/>
      <c r="AI29" s="388"/>
      <c r="AJ29" s="388"/>
      <c r="AK29" s="388"/>
      <c r="AL29" s="388"/>
      <c r="AM29" s="388"/>
      <c r="AN29" s="206"/>
      <c r="AO29" s="206"/>
      <c r="AP29" s="388"/>
      <c r="AQ29" s="388"/>
      <c r="AR29" s="388"/>
      <c r="AS29" s="388"/>
      <c r="AT29" s="388"/>
      <c r="AU29" s="388"/>
      <c r="AV29" s="388"/>
      <c r="AW29" s="388"/>
      <c r="AX29" s="388"/>
      <c r="AY29" s="388"/>
      <c r="AZ29" s="388"/>
      <c r="BA29" s="206"/>
      <c r="BB29" s="206"/>
      <c r="BC29" s="388"/>
      <c r="BD29" s="388"/>
      <c r="BE29" s="388"/>
      <c r="BF29" s="388"/>
      <c r="BG29" s="388"/>
      <c r="BH29" s="388"/>
      <c r="BI29" s="388"/>
      <c r="BJ29" s="388"/>
      <c r="BK29" s="388"/>
      <c r="BL29" s="388"/>
      <c r="BM29" s="388"/>
      <c r="BN29" s="206"/>
      <c r="BO29" s="206"/>
      <c r="BP29" s="388"/>
      <c r="BQ29" s="388"/>
      <c r="BR29" s="388"/>
      <c r="BS29" s="388"/>
      <c r="BT29" s="388"/>
      <c r="BU29" s="388"/>
      <c r="BV29" s="388"/>
      <c r="BW29" s="388"/>
      <c r="BX29" s="388"/>
      <c r="BY29" s="388"/>
      <c r="BZ29" s="388"/>
      <c r="CA29" s="206"/>
      <c r="CB29" s="206"/>
      <c r="CC29" s="388"/>
      <c r="CD29" s="388"/>
      <c r="CE29" s="388"/>
      <c r="CF29" s="388"/>
      <c r="CG29" s="388"/>
      <c r="CH29" s="388"/>
      <c r="CI29" s="388"/>
      <c r="CJ29" s="388"/>
      <c r="CK29" s="388"/>
      <c r="CL29" s="388"/>
      <c r="CM29" s="388"/>
      <c r="CN29" s="206"/>
      <c r="CO29" s="206"/>
      <c r="CP29" s="388"/>
      <c r="CQ29" s="388"/>
      <c r="CR29" s="388"/>
      <c r="CS29" s="388"/>
      <c r="CT29" s="388"/>
      <c r="CU29" s="388"/>
      <c r="CV29" s="388"/>
      <c r="CW29" s="388"/>
      <c r="CX29" s="388"/>
      <c r="CY29" s="388"/>
      <c r="CZ29" s="388"/>
      <c r="DA29" s="206"/>
      <c r="DB29" s="206"/>
      <c r="DC29" s="388"/>
      <c r="DD29" s="388"/>
      <c r="DE29" s="388"/>
      <c r="DF29" s="388"/>
      <c r="DG29" s="388"/>
      <c r="DH29" s="388"/>
      <c r="DI29" s="388"/>
      <c r="DJ29" s="388"/>
      <c r="DK29" s="388"/>
      <c r="DL29" s="388"/>
      <c r="DM29" s="388"/>
      <c r="DN29" s="206"/>
      <c r="DO29" s="206"/>
      <c r="DP29" s="388"/>
      <c r="DQ29" s="388"/>
      <c r="DR29" s="388"/>
      <c r="DS29" s="388"/>
      <c r="DT29" s="388"/>
      <c r="DU29" s="388"/>
      <c r="DV29" s="388"/>
      <c r="DW29" s="388"/>
      <c r="DX29" s="388"/>
      <c r="DY29" s="388"/>
      <c r="DZ29" s="388"/>
      <c r="EA29" s="206"/>
      <c r="EB29" s="206"/>
      <c r="EC29" s="388"/>
      <c r="ED29" s="388"/>
      <c r="EE29" s="388"/>
      <c r="EF29" s="388"/>
      <c r="EG29" s="388"/>
      <c r="EH29" s="388"/>
      <c r="EI29" s="388"/>
      <c r="EJ29" s="388"/>
      <c r="EK29" s="388"/>
      <c r="EL29" s="388"/>
      <c r="EM29" s="388"/>
      <c r="EN29" s="206"/>
      <c r="EO29" s="206"/>
      <c r="EP29" s="388"/>
      <c r="EQ29" s="388"/>
      <c r="ER29" s="388"/>
      <c r="ES29" s="388"/>
      <c r="ET29" s="388"/>
      <c r="EU29" s="388"/>
      <c r="EV29" s="388"/>
      <c r="EW29" s="388"/>
      <c r="EX29" s="388"/>
      <c r="EY29" s="388"/>
      <c r="EZ29" s="388"/>
      <c r="FA29" s="206"/>
      <c r="FB29" s="206"/>
      <c r="FC29" s="388"/>
      <c r="FD29" s="388"/>
      <c r="FE29" s="388"/>
      <c r="FF29" s="388"/>
      <c r="FG29" s="388"/>
      <c r="FH29" s="388"/>
      <c r="FI29" s="388"/>
      <c r="FJ29" s="388"/>
      <c r="FK29" s="388"/>
      <c r="FL29" s="388"/>
      <c r="FM29" s="388"/>
      <c r="FN29" s="206"/>
      <c r="FO29" s="206"/>
      <c r="FP29" s="388"/>
      <c r="FQ29" s="388"/>
      <c r="FR29" s="388"/>
      <c r="FS29" s="388"/>
      <c r="FT29" s="388"/>
      <c r="FU29" s="388"/>
      <c r="FV29" s="388"/>
      <c r="FW29" s="388"/>
      <c r="FX29" s="388"/>
      <c r="FY29" s="388"/>
      <c r="FZ29" s="388"/>
      <c r="GA29" s="206"/>
      <c r="GB29" s="206"/>
      <c r="GC29" s="388"/>
      <c r="GD29" s="388"/>
      <c r="GE29" s="388"/>
      <c r="GF29" s="388"/>
      <c r="GG29" s="388"/>
      <c r="GH29" s="388"/>
      <c r="GI29" s="388"/>
      <c r="GJ29" s="388"/>
      <c r="GK29" s="388"/>
      <c r="GL29" s="388"/>
      <c r="GM29" s="388"/>
      <c r="GN29" s="206"/>
      <c r="GO29" s="206"/>
      <c r="GP29" s="388"/>
      <c r="GQ29" s="388"/>
      <c r="GR29" s="388"/>
      <c r="GS29" s="388"/>
      <c r="GT29" s="388"/>
      <c r="GU29" s="388"/>
      <c r="GV29" s="388"/>
      <c r="GW29" s="388"/>
      <c r="GX29" s="388"/>
      <c r="GY29" s="388"/>
      <c r="GZ29" s="388"/>
      <c r="HA29" s="206"/>
      <c r="HB29" s="206"/>
      <c r="HC29" s="388"/>
      <c r="HD29" s="388"/>
      <c r="HE29" s="388"/>
      <c r="HF29" s="388"/>
      <c r="HG29" s="388"/>
      <c r="HH29" s="388"/>
      <c r="HI29" s="388"/>
      <c r="HJ29" s="388"/>
      <c r="HK29" s="388"/>
      <c r="HL29" s="388"/>
      <c r="HM29" s="388"/>
      <c r="HN29" s="206"/>
      <c r="HO29" s="206"/>
      <c r="HP29" s="388"/>
      <c r="HQ29" s="388"/>
      <c r="HR29" s="388"/>
      <c r="HS29" s="388"/>
      <c r="HT29" s="388"/>
      <c r="HU29" s="388"/>
      <c r="HV29" s="388"/>
      <c r="HW29" s="388"/>
      <c r="HX29" s="388"/>
      <c r="HY29" s="388"/>
      <c r="HZ29" s="388"/>
      <c r="IA29" s="206"/>
      <c r="IB29" s="206"/>
      <c r="IC29" s="388"/>
      <c r="ID29" s="388"/>
      <c r="IE29" s="388"/>
      <c r="IF29" s="388"/>
      <c r="IG29" s="388"/>
      <c r="IH29" s="388"/>
      <c r="II29" s="388"/>
      <c r="IJ29" s="388"/>
      <c r="IK29" s="388"/>
      <c r="IL29" s="388"/>
      <c r="IM29" s="388"/>
      <c r="IN29" s="206"/>
      <c r="IO29" s="206"/>
      <c r="IP29" s="388"/>
      <c r="IQ29" s="388"/>
      <c r="IR29" s="388"/>
      <c r="IS29" s="388"/>
      <c r="IT29" s="388"/>
      <c r="IU29" s="388"/>
      <c r="IV29" s="388"/>
    </row>
    <row r="30" spans="1:256" x14ac:dyDescent="0.2">
      <c r="A30" s="217"/>
      <c r="B30" s="218"/>
      <c r="C30" s="390"/>
      <c r="D30" s="390"/>
      <c r="E30" s="390"/>
      <c r="F30" s="390"/>
      <c r="G30" s="390"/>
      <c r="H30" s="390"/>
      <c r="I30" s="390"/>
      <c r="J30" s="390"/>
      <c r="K30" s="390"/>
      <c r="L30" s="390"/>
      <c r="M30" s="391"/>
      <c r="N30" s="210"/>
      <c r="O30" s="210"/>
      <c r="P30" s="389"/>
      <c r="Q30" s="389"/>
      <c r="R30" s="389"/>
      <c r="S30" s="389"/>
      <c r="T30" s="389"/>
      <c r="U30" s="389"/>
      <c r="V30" s="389"/>
      <c r="W30" s="389"/>
      <c r="X30" s="389"/>
      <c r="Y30" s="389"/>
      <c r="Z30" s="389"/>
      <c r="AA30" s="206"/>
      <c r="AB30" s="206"/>
      <c r="AC30" s="388"/>
      <c r="AD30" s="388"/>
      <c r="AE30" s="388"/>
      <c r="AF30" s="388"/>
      <c r="AG30" s="388"/>
      <c r="AH30" s="388"/>
      <c r="AI30" s="388"/>
      <c r="AJ30" s="388"/>
      <c r="AK30" s="388"/>
      <c r="AL30" s="388"/>
      <c r="AM30" s="388"/>
      <c r="AN30" s="206"/>
      <c r="AO30" s="206"/>
      <c r="AP30" s="388"/>
      <c r="AQ30" s="388"/>
      <c r="AR30" s="388"/>
      <c r="AS30" s="388"/>
      <c r="AT30" s="388"/>
      <c r="AU30" s="388"/>
      <c r="AV30" s="388"/>
      <c r="AW30" s="388"/>
      <c r="AX30" s="388"/>
      <c r="AY30" s="388"/>
      <c r="AZ30" s="388"/>
      <c r="BA30" s="206"/>
      <c r="BB30" s="206"/>
      <c r="BC30" s="388"/>
      <c r="BD30" s="388"/>
      <c r="BE30" s="388"/>
      <c r="BF30" s="388"/>
      <c r="BG30" s="388"/>
      <c r="BH30" s="388"/>
      <c r="BI30" s="388"/>
      <c r="BJ30" s="388"/>
      <c r="BK30" s="388"/>
      <c r="BL30" s="388"/>
      <c r="BM30" s="388"/>
      <c r="BN30" s="206"/>
      <c r="BO30" s="206"/>
      <c r="BP30" s="388"/>
      <c r="BQ30" s="388"/>
      <c r="BR30" s="388"/>
      <c r="BS30" s="388"/>
      <c r="BT30" s="388"/>
      <c r="BU30" s="388"/>
      <c r="BV30" s="388"/>
      <c r="BW30" s="388"/>
      <c r="BX30" s="388"/>
      <c r="BY30" s="388"/>
      <c r="BZ30" s="388"/>
      <c r="CA30" s="206"/>
      <c r="CB30" s="206"/>
      <c r="CC30" s="388"/>
      <c r="CD30" s="388"/>
      <c r="CE30" s="388"/>
      <c r="CF30" s="388"/>
      <c r="CG30" s="388"/>
      <c r="CH30" s="388"/>
      <c r="CI30" s="388"/>
      <c r="CJ30" s="388"/>
      <c r="CK30" s="388"/>
      <c r="CL30" s="388"/>
      <c r="CM30" s="388"/>
      <c r="CN30" s="206"/>
      <c r="CO30" s="206"/>
      <c r="CP30" s="388"/>
      <c r="CQ30" s="388"/>
      <c r="CR30" s="388"/>
      <c r="CS30" s="388"/>
      <c r="CT30" s="388"/>
      <c r="CU30" s="388"/>
      <c r="CV30" s="388"/>
      <c r="CW30" s="388"/>
      <c r="CX30" s="388"/>
      <c r="CY30" s="388"/>
      <c r="CZ30" s="388"/>
      <c r="DA30" s="206"/>
      <c r="DB30" s="206"/>
      <c r="DC30" s="388"/>
      <c r="DD30" s="388"/>
      <c r="DE30" s="388"/>
      <c r="DF30" s="388"/>
      <c r="DG30" s="388"/>
      <c r="DH30" s="388"/>
      <c r="DI30" s="388"/>
      <c r="DJ30" s="388"/>
      <c r="DK30" s="388"/>
      <c r="DL30" s="388"/>
      <c r="DM30" s="388"/>
      <c r="DN30" s="206"/>
      <c r="DO30" s="206"/>
      <c r="DP30" s="388"/>
      <c r="DQ30" s="388"/>
      <c r="DR30" s="388"/>
      <c r="DS30" s="388"/>
      <c r="DT30" s="388"/>
      <c r="DU30" s="388"/>
      <c r="DV30" s="388"/>
      <c r="DW30" s="388"/>
      <c r="DX30" s="388"/>
      <c r="DY30" s="388"/>
      <c r="DZ30" s="388"/>
      <c r="EA30" s="206"/>
      <c r="EB30" s="206"/>
      <c r="EC30" s="388"/>
      <c r="ED30" s="388"/>
      <c r="EE30" s="388"/>
      <c r="EF30" s="388"/>
      <c r="EG30" s="388"/>
      <c r="EH30" s="388"/>
      <c r="EI30" s="388"/>
      <c r="EJ30" s="388"/>
      <c r="EK30" s="388"/>
      <c r="EL30" s="388"/>
      <c r="EM30" s="388"/>
      <c r="EN30" s="206"/>
      <c r="EO30" s="206"/>
      <c r="EP30" s="388"/>
      <c r="EQ30" s="388"/>
      <c r="ER30" s="388"/>
      <c r="ES30" s="388"/>
      <c r="ET30" s="388"/>
      <c r="EU30" s="388"/>
      <c r="EV30" s="388"/>
      <c r="EW30" s="388"/>
      <c r="EX30" s="388"/>
      <c r="EY30" s="388"/>
      <c r="EZ30" s="388"/>
      <c r="FA30" s="206"/>
      <c r="FB30" s="206"/>
      <c r="FC30" s="388"/>
      <c r="FD30" s="388"/>
      <c r="FE30" s="388"/>
      <c r="FF30" s="388"/>
      <c r="FG30" s="388"/>
      <c r="FH30" s="388"/>
      <c r="FI30" s="388"/>
      <c r="FJ30" s="388"/>
      <c r="FK30" s="388"/>
      <c r="FL30" s="388"/>
      <c r="FM30" s="388"/>
      <c r="FN30" s="206"/>
      <c r="FO30" s="206"/>
      <c r="FP30" s="388"/>
      <c r="FQ30" s="388"/>
      <c r="FR30" s="388"/>
      <c r="FS30" s="388"/>
      <c r="FT30" s="388"/>
      <c r="FU30" s="388"/>
      <c r="FV30" s="388"/>
      <c r="FW30" s="388"/>
      <c r="FX30" s="388"/>
      <c r="FY30" s="388"/>
      <c r="FZ30" s="388"/>
      <c r="GA30" s="206"/>
      <c r="GB30" s="206"/>
      <c r="GC30" s="388"/>
      <c r="GD30" s="388"/>
      <c r="GE30" s="388"/>
      <c r="GF30" s="388"/>
      <c r="GG30" s="388"/>
      <c r="GH30" s="388"/>
      <c r="GI30" s="388"/>
      <c r="GJ30" s="388"/>
      <c r="GK30" s="388"/>
      <c r="GL30" s="388"/>
      <c r="GM30" s="388"/>
      <c r="GN30" s="206"/>
      <c r="GO30" s="206"/>
      <c r="GP30" s="388"/>
      <c r="GQ30" s="388"/>
      <c r="GR30" s="388"/>
      <c r="GS30" s="388"/>
      <c r="GT30" s="388"/>
      <c r="GU30" s="388"/>
      <c r="GV30" s="388"/>
      <c r="GW30" s="388"/>
      <c r="GX30" s="388"/>
      <c r="GY30" s="388"/>
      <c r="GZ30" s="388"/>
      <c r="HA30" s="206"/>
      <c r="HB30" s="206"/>
      <c r="HC30" s="388"/>
      <c r="HD30" s="388"/>
      <c r="HE30" s="388"/>
      <c r="HF30" s="388"/>
      <c r="HG30" s="388"/>
      <c r="HH30" s="388"/>
      <c r="HI30" s="388"/>
      <c r="HJ30" s="388"/>
      <c r="HK30" s="388"/>
      <c r="HL30" s="388"/>
      <c r="HM30" s="388"/>
      <c r="HN30" s="206"/>
      <c r="HO30" s="206"/>
      <c r="HP30" s="388"/>
      <c r="HQ30" s="388"/>
      <c r="HR30" s="388"/>
      <c r="HS30" s="388"/>
      <c r="HT30" s="388"/>
      <c r="HU30" s="388"/>
      <c r="HV30" s="388"/>
      <c r="HW30" s="388"/>
      <c r="HX30" s="388"/>
      <c r="HY30" s="388"/>
      <c r="HZ30" s="388"/>
      <c r="IA30" s="206"/>
      <c r="IB30" s="206"/>
      <c r="IC30" s="388"/>
      <c r="ID30" s="388"/>
      <c r="IE30" s="388"/>
      <c r="IF30" s="388"/>
      <c r="IG30" s="388"/>
      <c r="IH30" s="388"/>
      <c r="II30" s="388"/>
      <c r="IJ30" s="388"/>
      <c r="IK30" s="388"/>
      <c r="IL30" s="388"/>
      <c r="IM30" s="388"/>
      <c r="IN30" s="206"/>
      <c r="IO30" s="206"/>
      <c r="IP30" s="388"/>
      <c r="IQ30" s="388"/>
      <c r="IR30" s="388"/>
      <c r="IS30" s="388"/>
      <c r="IT30" s="388"/>
      <c r="IU30" s="388"/>
      <c r="IV30" s="388"/>
    </row>
    <row r="31" spans="1:256" x14ac:dyDescent="0.2">
      <c r="A31" s="217"/>
      <c r="B31" s="218"/>
      <c r="C31" s="390"/>
      <c r="D31" s="390"/>
      <c r="E31" s="390"/>
      <c r="F31" s="390"/>
      <c r="G31" s="390"/>
      <c r="H31" s="390"/>
      <c r="I31" s="390"/>
      <c r="J31" s="390"/>
      <c r="K31" s="390"/>
      <c r="L31" s="390"/>
      <c r="M31" s="391"/>
      <c r="N31" s="210"/>
      <c r="O31" s="210"/>
      <c r="P31" s="389"/>
      <c r="Q31" s="389"/>
      <c r="R31" s="389"/>
      <c r="S31" s="389"/>
      <c r="T31" s="389"/>
      <c r="U31" s="389"/>
      <c r="V31" s="389"/>
      <c r="W31" s="389"/>
      <c r="X31" s="389"/>
      <c r="Y31" s="389"/>
      <c r="Z31" s="389"/>
      <c r="AA31" s="206"/>
      <c r="AB31" s="206"/>
      <c r="AC31" s="388"/>
      <c r="AD31" s="388"/>
      <c r="AE31" s="388"/>
      <c r="AF31" s="388"/>
      <c r="AG31" s="388"/>
      <c r="AH31" s="388"/>
      <c r="AI31" s="388"/>
      <c r="AJ31" s="388"/>
      <c r="AK31" s="388"/>
      <c r="AL31" s="388"/>
      <c r="AM31" s="388"/>
      <c r="AN31" s="206"/>
      <c r="AO31" s="206"/>
      <c r="AP31" s="388"/>
      <c r="AQ31" s="388"/>
      <c r="AR31" s="388"/>
      <c r="AS31" s="388"/>
      <c r="AT31" s="388"/>
      <c r="AU31" s="388"/>
      <c r="AV31" s="388"/>
      <c r="AW31" s="388"/>
      <c r="AX31" s="388"/>
      <c r="AY31" s="388"/>
      <c r="AZ31" s="388"/>
      <c r="BA31" s="206"/>
      <c r="BB31" s="206"/>
      <c r="BC31" s="388"/>
      <c r="BD31" s="388"/>
      <c r="BE31" s="388"/>
      <c r="BF31" s="388"/>
      <c r="BG31" s="388"/>
      <c r="BH31" s="388"/>
      <c r="BI31" s="388"/>
      <c r="BJ31" s="388"/>
      <c r="BK31" s="388"/>
      <c r="BL31" s="388"/>
      <c r="BM31" s="388"/>
      <c r="BN31" s="206"/>
      <c r="BO31" s="206"/>
      <c r="BP31" s="388"/>
      <c r="BQ31" s="388"/>
      <c r="BR31" s="388"/>
      <c r="BS31" s="388"/>
      <c r="BT31" s="388"/>
      <c r="BU31" s="388"/>
      <c r="BV31" s="388"/>
      <c r="BW31" s="388"/>
      <c r="BX31" s="388"/>
      <c r="BY31" s="388"/>
      <c r="BZ31" s="388"/>
      <c r="CA31" s="206"/>
      <c r="CB31" s="206"/>
      <c r="CC31" s="388"/>
      <c r="CD31" s="388"/>
      <c r="CE31" s="388"/>
      <c r="CF31" s="388"/>
      <c r="CG31" s="388"/>
      <c r="CH31" s="388"/>
      <c r="CI31" s="388"/>
      <c r="CJ31" s="388"/>
      <c r="CK31" s="388"/>
      <c r="CL31" s="388"/>
      <c r="CM31" s="388"/>
      <c r="CN31" s="206"/>
      <c r="CO31" s="206"/>
      <c r="CP31" s="388"/>
      <c r="CQ31" s="388"/>
      <c r="CR31" s="388"/>
      <c r="CS31" s="388"/>
      <c r="CT31" s="388"/>
      <c r="CU31" s="388"/>
      <c r="CV31" s="388"/>
      <c r="CW31" s="388"/>
      <c r="CX31" s="388"/>
      <c r="CY31" s="388"/>
      <c r="CZ31" s="388"/>
      <c r="DA31" s="206"/>
      <c r="DB31" s="206"/>
      <c r="DC31" s="388"/>
      <c r="DD31" s="388"/>
      <c r="DE31" s="388"/>
      <c r="DF31" s="388"/>
      <c r="DG31" s="388"/>
      <c r="DH31" s="388"/>
      <c r="DI31" s="388"/>
      <c r="DJ31" s="388"/>
      <c r="DK31" s="388"/>
      <c r="DL31" s="388"/>
      <c r="DM31" s="388"/>
      <c r="DN31" s="206"/>
      <c r="DO31" s="206"/>
      <c r="DP31" s="388"/>
      <c r="DQ31" s="388"/>
      <c r="DR31" s="388"/>
      <c r="DS31" s="388"/>
      <c r="DT31" s="388"/>
      <c r="DU31" s="388"/>
      <c r="DV31" s="388"/>
      <c r="DW31" s="388"/>
      <c r="DX31" s="388"/>
      <c r="DY31" s="388"/>
      <c r="DZ31" s="388"/>
      <c r="EA31" s="206"/>
      <c r="EB31" s="206"/>
      <c r="EC31" s="388"/>
      <c r="ED31" s="388"/>
      <c r="EE31" s="388"/>
      <c r="EF31" s="388"/>
      <c r="EG31" s="388"/>
      <c r="EH31" s="388"/>
      <c r="EI31" s="388"/>
      <c r="EJ31" s="388"/>
      <c r="EK31" s="388"/>
      <c r="EL31" s="388"/>
      <c r="EM31" s="388"/>
      <c r="EN31" s="206"/>
      <c r="EO31" s="206"/>
      <c r="EP31" s="388"/>
      <c r="EQ31" s="388"/>
      <c r="ER31" s="388"/>
      <c r="ES31" s="388"/>
      <c r="ET31" s="388"/>
      <c r="EU31" s="388"/>
      <c r="EV31" s="388"/>
      <c r="EW31" s="388"/>
      <c r="EX31" s="388"/>
      <c r="EY31" s="388"/>
      <c r="EZ31" s="388"/>
      <c r="FA31" s="206"/>
      <c r="FB31" s="206"/>
      <c r="FC31" s="388"/>
      <c r="FD31" s="388"/>
      <c r="FE31" s="388"/>
      <c r="FF31" s="388"/>
      <c r="FG31" s="388"/>
      <c r="FH31" s="388"/>
      <c r="FI31" s="388"/>
      <c r="FJ31" s="388"/>
      <c r="FK31" s="388"/>
      <c r="FL31" s="388"/>
      <c r="FM31" s="388"/>
      <c r="FN31" s="206"/>
      <c r="FO31" s="206"/>
      <c r="FP31" s="388"/>
      <c r="FQ31" s="388"/>
      <c r="FR31" s="388"/>
      <c r="FS31" s="388"/>
      <c r="FT31" s="388"/>
      <c r="FU31" s="388"/>
      <c r="FV31" s="388"/>
      <c r="FW31" s="388"/>
      <c r="FX31" s="388"/>
      <c r="FY31" s="388"/>
      <c r="FZ31" s="388"/>
      <c r="GA31" s="206"/>
      <c r="GB31" s="206"/>
      <c r="GC31" s="388"/>
      <c r="GD31" s="388"/>
      <c r="GE31" s="388"/>
      <c r="GF31" s="388"/>
      <c r="GG31" s="388"/>
      <c r="GH31" s="388"/>
      <c r="GI31" s="388"/>
      <c r="GJ31" s="388"/>
      <c r="GK31" s="388"/>
      <c r="GL31" s="388"/>
      <c r="GM31" s="388"/>
      <c r="GN31" s="206"/>
      <c r="GO31" s="206"/>
      <c r="GP31" s="388"/>
      <c r="GQ31" s="388"/>
      <c r="GR31" s="388"/>
      <c r="GS31" s="388"/>
      <c r="GT31" s="388"/>
      <c r="GU31" s="388"/>
      <c r="GV31" s="388"/>
      <c r="GW31" s="388"/>
      <c r="GX31" s="388"/>
      <c r="GY31" s="388"/>
      <c r="GZ31" s="388"/>
      <c r="HA31" s="206"/>
      <c r="HB31" s="206"/>
      <c r="HC31" s="388"/>
      <c r="HD31" s="388"/>
      <c r="HE31" s="388"/>
      <c r="HF31" s="388"/>
      <c r="HG31" s="388"/>
      <c r="HH31" s="388"/>
      <c r="HI31" s="388"/>
      <c r="HJ31" s="388"/>
      <c r="HK31" s="388"/>
      <c r="HL31" s="388"/>
      <c r="HM31" s="388"/>
      <c r="HN31" s="206"/>
      <c r="HO31" s="206"/>
      <c r="HP31" s="388"/>
      <c r="HQ31" s="388"/>
      <c r="HR31" s="388"/>
      <c r="HS31" s="388"/>
      <c r="HT31" s="388"/>
      <c r="HU31" s="388"/>
      <c r="HV31" s="388"/>
      <c r="HW31" s="388"/>
      <c r="HX31" s="388"/>
      <c r="HY31" s="388"/>
      <c r="HZ31" s="388"/>
      <c r="IA31" s="206"/>
      <c r="IB31" s="206"/>
      <c r="IC31" s="388"/>
      <c r="ID31" s="388"/>
      <c r="IE31" s="388"/>
      <c r="IF31" s="388"/>
      <c r="IG31" s="388"/>
      <c r="IH31" s="388"/>
      <c r="II31" s="388"/>
      <c r="IJ31" s="388"/>
      <c r="IK31" s="388"/>
      <c r="IL31" s="388"/>
      <c r="IM31" s="388"/>
      <c r="IN31" s="206"/>
      <c r="IO31" s="206"/>
      <c r="IP31" s="388"/>
      <c r="IQ31" s="388"/>
      <c r="IR31" s="388"/>
      <c r="IS31" s="388"/>
      <c r="IT31" s="388"/>
      <c r="IU31" s="388"/>
      <c r="IV31" s="388"/>
    </row>
    <row r="32" spans="1:256" x14ac:dyDescent="0.2">
      <c r="A32" s="217"/>
      <c r="B32" s="218"/>
      <c r="C32" s="390"/>
      <c r="D32" s="390"/>
      <c r="E32" s="390"/>
      <c r="F32" s="390"/>
      <c r="G32" s="390"/>
      <c r="H32" s="390"/>
      <c r="I32" s="390"/>
      <c r="J32" s="390"/>
      <c r="K32" s="390"/>
      <c r="L32" s="390"/>
      <c r="M32" s="391"/>
      <c r="N32" s="222"/>
      <c r="O32" s="222"/>
      <c r="P32" s="400"/>
      <c r="Q32" s="400"/>
      <c r="R32" s="400"/>
      <c r="S32" s="400"/>
      <c r="T32" s="400"/>
      <c r="U32" s="400"/>
      <c r="V32" s="400"/>
      <c r="W32" s="400"/>
      <c r="X32" s="400"/>
      <c r="Y32" s="400"/>
      <c r="Z32" s="401"/>
      <c r="AA32" s="217"/>
      <c r="AB32" s="218"/>
      <c r="AC32" s="390"/>
      <c r="AD32" s="390"/>
      <c r="AE32" s="390"/>
      <c r="AF32" s="390"/>
      <c r="AG32" s="390"/>
      <c r="AH32" s="390"/>
      <c r="AI32" s="390"/>
      <c r="AJ32" s="390"/>
      <c r="AK32" s="390"/>
      <c r="AL32" s="390"/>
      <c r="AM32" s="391"/>
      <c r="AN32" s="217"/>
      <c r="AO32" s="218"/>
      <c r="AP32" s="390"/>
      <c r="AQ32" s="390"/>
      <c r="AR32" s="390"/>
      <c r="AS32" s="390"/>
      <c r="AT32" s="390"/>
      <c r="AU32" s="390"/>
      <c r="AV32" s="390"/>
      <c r="AW32" s="390"/>
      <c r="AX32" s="390"/>
      <c r="AY32" s="390"/>
      <c r="AZ32" s="391"/>
      <c r="BA32" s="217"/>
      <c r="BB32" s="218"/>
      <c r="BC32" s="390"/>
      <c r="BD32" s="390"/>
      <c r="BE32" s="390"/>
      <c r="BF32" s="390"/>
      <c r="BG32" s="390"/>
      <c r="BH32" s="390"/>
      <c r="BI32" s="390"/>
      <c r="BJ32" s="390"/>
      <c r="BK32" s="390"/>
      <c r="BL32" s="390"/>
      <c r="BM32" s="391"/>
      <c r="BN32" s="217"/>
      <c r="BO32" s="218"/>
      <c r="BP32" s="390"/>
      <c r="BQ32" s="390"/>
      <c r="BR32" s="390"/>
      <c r="BS32" s="390"/>
      <c r="BT32" s="390"/>
      <c r="BU32" s="390"/>
      <c r="BV32" s="390"/>
      <c r="BW32" s="390"/>
      <c r="BX32" s="390"/>
      <c r="BY32" s="390"/>
      <c r="BZ32" s="391"/>
      <c r="CA32" s="217"/>
      <c r="CB32" s="218"/>
      <c r="CC32" s="390"/>
      <c r="CD32" s="390"/>
      <c r="CE32" s="390"/>
      <c r="CF32" s="390"/>
      <c r="CG32" s="390"/>
      <c r="CH32" s="390"/>
      <c r="CI32" s="390"/>
      <c r="CJ32" s="390"/>
      <c r="CK32" s="390"/>
      <c r="CL32" s="390"/>
      <c r="CM32" s="391"/>
      <c r="CN32" s="217"/>
      <c r="CO32" s="218"/>
      <c r="CP32" s="390"/>
      <c r="CQ32" s="390"/>
      <c r="CR32" s="390"/>
      <c r="CS32" s="390"/>
      <c r="CT32" s="390"/>
      <c r="CU32" s="390"/>
      <c r="CV32" s="390"/>
      <c r="CW32" s="390"/>
      <c r="CX32" s="390"/>
      <c r="CY32" s="390"/>
      <c r="CZ32" s="391"/>
      <c r="DA32" s="217"/>
      <c r="DB32" s="218"/>
      <c r="DC32" s="390"/>
      <c r="DD32" s="390"/>
      <c r="DE32" s="390"/>
      <c r="DF32" s="390"/>
      <c r="DG32" s="390"/>
      <c r="DH32" s="390"/>
      <c r="DI32" s="390"/>
      <c r="DJ32" s="390"/>
      <c r="DK32" s="390"/>
      <c r="DL32" s="390"/>
      <c r="DM32" s="391"/>
      <c r="DN32" s="217"/>
      <c r="DO32" s="218"/>
      <c r="DP32" s="390"/>
      <c r="DQ32" s="390"/>
      <c r="DR32" s="390"/>
      <c r="DS32" s="390"/>
      <c r="DT32" s="390"/>
      <c r="DU32" s="390"/>
      <c r="DV32" s="390"/>
      <c r="DW32" s="390"/>
      <c r="DX32" s="390"/>
      <c r="DY32" s="390"/>
      <c r="DZ32" s="391"/>
      <c r="EA32" s="217"/>
      <c r="EB32" s="218"/>
      <c r="EC32" s="390"/>
      <c r="ED32" s="390"/>
      <c r="EE32" s="390"/>
      <c r="EF32" s="390"/>
      <c r="EG32" s="390"/>
      <c r="EH32" s="390"/>
      <c r="EI32" s="390"/>
      <c r="EJ32" s="390"/>
      <c r="EK32" s="390"/>
      <c r="EL32" s="390"/>
      <c r="EM32" s="391"/>
      <c r="EN32" s="217"/>
      <c r="EO32" s="218"/>
      <c r="EP32" s="390"/>
      <c r="EQ32" s="390"/>
      <c r="ER32" s="390"/>
      <c r="ES32" s="390"/>
      <c r="ET32" s="390"/>
      <c r="EU32" s="390"/>
      <c r="EV32" s="390"/>
      <c r="EW32" s="390"/>
      <c r="EX32" s="390"/>
      <c r="EY32" s="390"/>
      <c r="EZ32" s="391"/>
      <c r="FA32" s="217"/>
      <c r="FB32" s="218"/>
      <c r="FC32" s="390"/>
      <c r="FD32" s="390"/>
      <c r="FE32" s="390"/>
      <c r="FF32" s="390"/>
      <c r="FG32" s="390"/>
      <c r="FH32" s="390"/>
      <c r="FI32" s="390"/>
      <c r="FJ32" s="390"/>
      <c r="FK32" s="390"/>
      <c r="FL32" s="390"/>
      <c r="FM32" s="391"/>
      <c r="FN32" s="217"/>
      <c r="FO32" s="218"/>
      <c r="FP32" s="390"/>
      <c r="FQ32" s="390"/>
      <c r="FR32" s="390"/>
      <c r="FS32" s="390"/>
      <c r="FT32" s="390"/>
      <c r="FU32" s="390"/>
      <c r="FV32" s="390"/>
      <c r="FW32" s="390"/>
      <c r="FX32" s="390"/>
      <c r="FY32" s="390"/>
      <c r="FZ32" s="391"/>
      <c r="GA32" s="217"/>
      <c r="GB32" s="218"/>
      <c r="GC32" s="390"/>
      <c r="GD32" s="390"/>
      <c r="GE32" s="390"/>
      <c r="GF32" s="390"/>
      <c r="GG32" s="390"/>
      <c r="GH32" s="390"/>
      <c r="GI32" s="390"/>
      <c r="GJ32" s="390"/>
      <c r="GK32" s="390"/>
      <c r="GL32" s="390"/>
      <c r="GM32" s="391"/>
      <c r="GN32" s="217"/>
      <c r="GO32" s="218"/>
      <c r="GP32" s="390"/>
      <c r="GQ32" s="390"/>
      <c r="GR32" s="390"/>
      <c r="GS32" s="390"/>
      <c r="GT32" s="390"/>
      <c r="GU32" s="390"/>
      <c r="GV32" s="390"/>
      <c r="GW32" s="390"/>
      <c r="GX32" s="390"/>
      <c r="GY32" s="390"/>
      <c r="GZ32" s="391"/>
      <c r="HA32" s="217"/>
      <c r="HB32" s="218"/>
      <c r="HC32" s="390"/>
      <c r="HD32" s="390"/>
      <c r="HE32" s="390"/>
      <c r="HF32" s="390"/>
      <c r="HG32" s="390"/>
      <c r="HH32" s="390"/>
      <c r="HI32" s="390"/>
      <c r="HJ32" s="390"/>
      <c r="HK32" s="390"/>
      <c r="HL32" s="390"/>
      <c r="HM32" s="391"/>
      <c r="HN32" s="217"/>
      <c r="HO32" s="218"/>
      <c r="HP32" s="390"/>
      <c r="HQ32" s="390"/>
      <c r="HR32" s="390"/>
      <c r="HS32" s="390"/>
      <c r="HT32" s="390"/>
      <c r="HU32" s="390"/>
      <c r="HV32" s="390"/>
      <c r="HW32" s="390"/>
      <c r="HX32" s="390"/>
      <c r="HY32" s="390"/>
      <c r="HZ32" s="391"/>
      <c r="IA32" s="217"/>
      <c r="IB32" s="218"/>
      <c r="IC32" s="390"/>
      <c r="ID32" s="390"/>
      <c r="IE32" s="390"/>
      <c r="IF32" s="390"/>
      <c r="IG32" s="390"/>
      <c r="IH32" s="390"/>
      <c r="II32" s="390"/>
      <c r="IJ32" s="390"/>
      <c r="IK32" s="390"/>
      <c r="IL32" s="390"/>
      <c r="IM32" s="391"/>
      <c r="IN32" s="217"/>
      <c r="IO32" s="218"/>
      <c r="IP32" s="390"/>
      <c r="IQ32" s="390"/>
      <c r="IR32" s="390"/>
      <c r="IS32" s="390"/>
      <c r="IT32" s="390"/>
      <c r="IU32" s="390"/>
      <c r="IV32" s="390"/>
    </row>
    <row r="33" spans="1:256" x14ac:dyDescent="0.2">
      <c r="A33" s="217"/>
      <c r="B33" s="218"/>
      <c r="C33" s="390"/>
      <c r="D33" s="390"/>
      <c r="E33" s="390"/>
      <c r="F33" s="390"/>
      <c r="G33" s="390"/>
      <c r="H33" s="390"/>
      <c r="I33" s="390"/>
      <c r="J33" s="390"/>
      <c r="K33" s="390"/>
      <c r="L33" s="390"/>
      <c r="M33" s="391"/>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0"/>
      <c r="D34" s="390"/>
      <c r="E34" s="390"/>
      <c r="F34" s="390"/>
      <c r="G34" s="390"/>
      <c r="H34" s="390"/>
      <c r="I34" s="390"/>
      <c r="J34" s="390"/>
      <c r="K34" s="390"/>
      <c r="L34" s="390"/>
      <c r="M34" s="391"/>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0"/>
      <c r="D35" s="390"/>
      <c r="E35" s="390"/>
      <c r="F35" s="390"/>
      <c r="G35" s="390"/>
      <c r="H35" s="390"/>
      <c r="I35" s="390"/>
      <c r="J35" s="390"/>
      <c r="K35" s="390"/>
      <c r="L35" s="390"/>
      <c r="M35" s="391"/>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0"/>
      <c r="D36" s="390"/>
      <c r="E36" s="390"/>
      <c r="F36" s="390"/>
      <c r="G36" s="390"/>
      <c r="H36" s="390"/>
      <c r="I36" s="390"/>
      <c r="J36" s="390"/>
      <c r="K36" s="390"/>
      <c r="L36" s="390"/>
      <c r="M36" s="391"/>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0"/>
      <c r="D37" s="390"/>
      <c r="E37" s="390"/>
      <c r="F37" s="390"/>
      <c r="G37" s="390"/>
      <c r="H37" s="390"/>
      <c r="I37" s="390"/>
      <c r="J37" s="390"/>
      <c r="K37" s="390"/>
      <c r="L37" s="390"/>
      <c r="M37" s="391"/>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0"/>
      <c r="D38" s="390"/>
      <c r="E38" s="390"/>
      <c r="F38" s="390"/>
      <c r="G38" s="390"/>
      <c r="H38" s="390"/>
      <c r="I38" s="390"/>
      <c r="J38" s="390"/>
      <c r="K38" s="390"/>
      <c r="L38" s="390"/>
      <c r="M38" s="391"/>
      <c r="N38" s="210"/>
      <c r="O38" s="210"/>
      <c r="P38" s="389"/>
      <c r="Q38" s="389"/>
      <c r="R38" s="389"/>
      <c r="S38" s="389"/>
      <c r="T38" s="389"/>
      <c r="U38" s="389"/>
      <c r="V38" s="389"/>
      <c r="W38" s="389"/>
      <c r="X38" s="389"/>
      <c r="Y38" s="389"/>
      <c r="Z38" s="389"/>
      <c r="AA38" s="206"/>
      <c r="AB38" s="206"/>
      <c r="AC38" s="388"/>
      <c r="AD38" s="388"/>
      <c r="AE38" s="388"/>
      <c r="AF38" s="388"/>
      <c r="AG38" s="388"/>
      <c r="AH38" s="388"/>
      <c r="AI38" s="388"/>
      <c r="AJ38" s="388"/>
      <c r="AK38" s="388"/>
      <c r="AL38" s="388"/>
      <c r="AM38" s="388"/>
      <c r="AN38" s="206"/>
      <c r="AO38" s="206"/>
      <c r="AP38" s="388"/>
      <c r="AQ38" s="388"/>
      <c r="AR38" s="388"/>
      <c r="AS38" s="388"/>
      <c r="AT38" s="388"/>
      <c r="AU38" s="388"/>
      <c r="AV38" s="388"/>
      <c r="AW38" s="388"/>
      <c r="AX38" s="388"/>
      <c r="AY38" s="388"/>
      <c r="AZ38" s="388"/>
      <c r="BA38" s="206"/>
      <c r="BB38" s="206"/>
      <c r="BC38" s="388"/>
      <c r="BD38" s="388"/>
      <c r="BE38" s="388"/>
      <c r="BF38" s="388"/>
      <c r="BG38" s="388"/>
      <c r="BH38" s="388"/>
      <c r="BI38" s="388"/>
      <c r="BJ38" s="388"/>
      <c r="BK38" s="388"/>
      <c r="BL38" s="388"/>
      <c r="BM38" s="388"/>
      <c r="BN38" s="206"/>
      <c r="BO38" s="206"/>
      <c r="BP38" s="388"/>
      <c r="BQ38" s="388"/>
      <c r="BR38" s="388"/>
      <c r="BS38" s="388"/>
      <c r="BT38" s="388"/>
      <c r="BU38" s="388"/>
      <c r="BV38" s="388"/>
      <c r="BW38" s="388"/>
      <c r="BX38" s="388"/>
      <c r="BY38" s="388"/>
      <c r="BZ38" s="388"/>
      <c r="CA38" s="206"/>
      <c r="CB38" s="206"/>
      <c r="CC38" s="388"/>
      <c r="CD38" s="388"/>
      <c r="CE38" s="388"/>
      <c r="CF38" s="388"/>
      <c r="CG38" s="388"/>
      <c r="CH38" s="388"/>
      <c r="CI38" s="388"/>
      <c r="CJ38" s="388"/>
      <c r="CK38" s="388"/>
      <c r="CL38" s="388"/>
      <c r="CM38" s="388"/>
      <c r="CN38" s="206"/>
      <c r="CO38" s="206"/>
      <c r="CP38" s="388"/>
      <c r="CQ38" s="388"/>
      <c r="CR38" s="388"/>
      <c r="CS38" s="388"/>
      <c r="CT38" s="388"/>
      <c r="CU38" s="388"/>
      <c r="CV38" s="388"/>
      <c r="CW38" s="388"/>
      <c r="CX38" s="388"/>
      <c r="CY38" s="388"/>
      <c r="CZ38" s="388"/>
      <c r="DA38" s="206"/>
      <c r="DB38" s="206"/>
      <c r="DC38" s="388"/>
      <c r="DD38" s="388"/>
      <c r="DE38" s="388"/>
      <c r="DF38" s="388"/>
      <c r="DG38" s="388"/>
      <c r="DH38" s="388"/>
      <c r="DI38" s="388"/>
      <c r="DJ38" s="388"/>
      <c r="DK38" s="388"/>
      <c r="DL38" s="388"/>
      <c r="DM38" s="388"/>
      <c r="DN38" s="206"/>
      <c r="DO38" s="206"/>
      <c r="DP38" s="388"/>
      <c r="DQ38" s="388"/>
      <c r="DR38" s="388"/>
      <c r="DS38" s="388"/>
      <c r="DT38" s="388"/>
      <c r="DU38" s="388"/>
      <c r="DV38" s="388"/>
      <c r="DW38" s="388"/>
      <c r="DX38" s="388"/>
      <c r="DY38" s="388"/>
      <c r="DZ38" s="388"/>
      <c r="EA38" s="206"/>
      <c r="EB38" s="206"/>
      <c r="EC38" s="388"/>
      <c r="ED38" s="388"/>
      <c r="EE38" s="388"/>
      <c r="EF38" s="388"/>
      <c r="EG38" s="388"/>
      <c r="EH38" s="388"/>
      <c r="EI38" s="388"/>
      <c r="EJ38" s="388"/>
      <c r="EK38" s="388"/>
      <c r="EL38" s="388"/>
      <c r="EM38" s="388"/>
      <c r="EN38" s="206"/>
      <c r="EO38" s="206"/>
      <c r="EP38" s="388"/>
      <c r="EQ38" s="388"/>
      <c r="ER38" s="388"/>
      <c r="ES38" s="388"/>
      <c r="ET38" s="388"/>
      <c r="EU38" s="388"/>
      <c r="EV38" s="388"/>
      <c r="EW38" s="388"/>
      <c r="EX38" s="388"/>
      <c r="EY38" s="388"/>
      <c r="EZ38" s="388"/>
      <c r="FA38" s="206"/>
      <c r="FB38" s="206"/>
      <c r="FC38" s="388"/>
      <c r="FD38" s="388"/>
      <c r="FE38" s="388"/>
      <c r="FF38" s="388"/>
      <c r="FG38" s="388"/>
      <c r="FH38" s="388"/>
      <c r="FI38" s="388"/>
      <c r="FJ38" s="388"/>
      <c r="FK38" s="388"/>
      <c r="FL38" s="388"/>
      <c r="FM38" s="388"/>
      <c r="FN38" s="206"/>
      <c r="FO38" s="206"/>
      <c r="FP38" s="388"/>
      <c r="FQ38" s="388"/>
      <c r="FR38" s="388"/>
      <c r="FS38" s="388"/>
      <c r="FT38" s="388"/>
      <c r="FU38" s="388"/>
      <c r="FV38" s="388"/>
      <c r="FW38" s="388"/>
      <c r="FX38" s="388"/>
      <c r="FY38" s="388"/>
      <c r="FZ38" s="388"/>
      <c r="GA38" s="206"/>
      <c r="GB38" s="206"/>
      <c r="GC38" s="388"/>
      <c r="GD38" s="388"/>
      <c r="GE38" s="388"/>
      <c r="GF38" s="388"/>
      <c r="GG38" s="388"/>
      <c r="GH38" s="388"/>
      <c r="GI38" s="388"/>
      <c r="GJ38" s="388"/>
      <c r="GK38" s="388"/>
      <c r="GL38" s="388"/>
      <c r="GM38" s="388"/>
      <c r="GN38" s="206"/>
      <c r="GO38" s="206"/>
      <c r="GP38" s="388"/>
      <c r="GQ38" s="388"/>
      <c r="GR38" s="388"/>
      <c r="GS38" s="388"/>
      <c r="GT38" s="388"/>
      <c r="GU38" s="388"/>
      <c r="GV38" s="388"/>
      <c r="GW38" s="388"/>
      <c r="GX38" s="388"/>
      <c r="GY38" s="388"/>
      <c r="GZ38" s="388"/>
      <c r="HA38" s="206"/>
      <c r="HB38" s="206"/>
      <c r="HC38" s="388"/>
      <c r="HD38" s="388"/>
      <c r="HE38" s="388"/>
      <c r="HF38" s="388"/>
      <c r="HG38" s="388"/>
      <c r="HH38" s="388"/>
      <c r="HI38" s="388"/>
      <c r="HJ38" s="388"/>
      <c r="HK38" s="388"/>
      <c r="HL38" s="388"/>
      <c r="HM38" s="388"/>
      <c r="HN38" s="206"/>
      <c r="HO38" s="206"/>
      <c r="HP38" s="388"/>
      <c r="HQ38" s="388"/>
      <c r="HR38" s="388"/>
      <c r="HS38" s="388"/>
      <c r="HT38" s="388"/>
      <c r="HU38" s="388"/>
      <c r="HV38" s="388"/>
      <c r="HW38" s="388"/>
      <c r="HX38" s="388"/>
      <c r="HY38" s="388"/>
      <c r="HZ38" s="388"/>
      <c r="IA38" s="206"/>
      <c r="IB38" s="206"/>
      <c r="IC38" s="388"/>
      <c r="ID38" s="388"/>
      <c r="IE38" s="388"/>
      <c r="IF38" s="388"/>
      <c r="IG38" s="388"/>
      <c r="IH38" s="388"/>
      <c r="II38" s="388"/>
      <c r="IJ38" s="388"/>
      <c r="IK38" s="388"/>
      <c r="IL38" s="388"/>
      <c r="IM38" s="388"/>
      <c r="IN38" s="206"/>
      <c r="IO38" s="206"/>
      <c r="IP38" s="388"/>
      <c r="IQ38" s="388"/>
      <c r="IR38" s="388"/>
      <c r="IS38" s="388"/>
      <c r="IT38" s="388"/>
      <c r="IU38" s="388"/>
      <c r="IV38" s="388"/>
    </row>
    <row r="39" spans="1:256" x14ac:dyDescent="0.2">
      <c r="A39" s="217"/>
      <c r="B39" s="218"/>
      <c r="C39" s="390"/>
      <c r="D39" s="390"/>
      <c r="E39" s="390"/>
      <c r="F39" s="390"/>
      <c r="G39" s="390"/>
      <c r="H39" s="390"/>
      <c r="I39" s="390"/>
      <c r="J39" s="390"/>
      <c r="K39" s="390"/>
      <c r="L39" s="390"/>
      <c r="M39" s="391"/>
      <c r="N39" s="210"/>
      <c r="O39" s="210"/>
      <c r="P39" s="389"/>
      <c r="Q39" s="389"/>
      <c r="R39" s="389"/>
      <c r="S39" s="389"/>
      <c r="T39" s="389"/>
      <c r="U39" s="389"/>
      <c r="V39" s="389"/>
      <c r="W39" s="389"/>
      <c r="X39" s="389"/>
      <c r="Y39" s="389"/>
      <c r="Z39" s="389"/>
      <c r="AA39" s="206"/>
      <c r="AB39" s="206"/>
      <c r="AC39" s="388"/>
      <c r="AD39" s="388"/>
      <c r="AE39" s="388"/>
      <c r="AF39" s="388"/>
      <c r="AG39" s="388"/>
      <c r="AH39" s="388"/>
      <c r="AI39" s="388"/>
      <c r="AJ39" s="388"/>
      <c r="AK39" s="388"/>
      <c r="AL39" s="388"/>
      <c r="AM39" s="388"/>
      <c r="AN39" s="206"/>
      <c r="AO39" s="206"/>
      <c r="AP39" s="388"/>
      <c r="AQ39" s="388"/>
      <c r="AR39" s="388"/>
      <c r="AS39" s="388"/>
      <c r="AT39" s="388"/>
      <c r="AU39" s="388"/>
      <c r="AV39" s="388"/>
      <c r="AW39" s="388"/>
      <c r="AX39" s="388"/>
      <c r="AY39" s="388"/>
      <c r="AZ39" s="388"/>
      <c r="BA39" s="206"/>
      <c r="BB39" s="206"/>
      <c r="BC39" s="388"/>
      <c r="BD39" s="388"/>
      <c r="BE39" s="388"/>
      <c r="BF39" s="388"/>
      <c r="BG39" s="388"/>
      <c r="BH39" s="388"/>
      <c r="BI39" s="388"/>
      <c r="BJ39" s="388"/>
      <c r="BK39" s="388"/>
      <c r="BL39" s="388"/>
      <c r="BM39" s="388"/>
      <c r="BN39" s="206"/>
      <c r="BO39" s="206"/>
      <c r="BP39" s="388"/>
      <c r="BQ39" s="388"/>
      <c r="BR39" s="388"/>
      <c r="BS39" s="388"/>
      <c r="BT39" s="388"/>
      <c r="BU39" s="388"/>
      <c r="BV39" s="388"/>
      <c r="BW39" s="388"/>
      <c r="BX39" s="388"/>
      <c r="BY39" s="388"/>
      <c r="BZ39" s="388"/>
      <c r="CA39" s="206"/>
      <c r="CB39" s="206"/>
      <c r="CC39" s="388"/>
      <c r="CD39" s="388"/>
      <c r="CE39" s="388"/>
      <c r="CF39" s="388"/>
      <c r="CG39" s="388"/>
      <c r="CH39" s="388"/>
      <c r="CI39" s="388"/>
      <c r="CJ39" s="388"/>
      <c r="CK39" s="388"/>
      <c r="CL39" s="388"/>
      <c r="CM39" s="388"/>
      <c r="CN39" s="206"/>
      <c r="CO39" s="206"/>
      <c r="CP39" s="388"/>
      <c r="CQ39" s="388"/>
      <c r="CR39" s="388"/>
      <c r="CS39" s="388"/>
      <c r="CT39" s="388"/>
      <c r="CU39" s="388"/>
      <c r="CV39" s="388"/>
      <c r="CW39" s="388"/>
      <c r="CX39" s="388"/>
      <c r="CY39" s="388"/>
      <c r="CZ39" s="388"/>
      <c r="DA39" s="206"/>
      <c r="DB39" s="206"/>
      <c r="DC39" s="388"/>
      <c r="DD39" s="388"/>
      <c r="DE39" s="388"/>
      <c r="DF39" s="388"/>
      <c r="DG39" s="388"/>
      <c r="DH39" s="388"/>
      <c r="DI39" s="388"/>
      <c r="DJ39" s="388"/>
      <c r="DK39" s="388"/>
      <c r="DL39" s="388"/>
      <c r="DM39" s="388"/>
      <c r="DN39" s="206"/>
      <c r="DO39" s="206"/>
      <c r="DP39" s="388"/>
      <c r="DQ39" s="388"/>
      <c r="DR39" s="388"/>
      <c r="DS39" s="388"/>
      <c r="DT39" s="388"/>
      <c r="DU39" s="388"/>
      <c r="DV39" s="388"/>
      <c r="DW39" s="388"/>
      <c r="DX39" s="388"/>
      <c r="DY39" s="388"/>
      <c r="DZ39" s="388"/>
      <c r="EA39" s="206"/>
      <c r="EB39" s="206"/>
      <c r="EC39" s="388"/>
      <c r="ED39" s="388"/>
      <c r="EE39" s="388"/>
      <c r="EF39" s="388"/>
      <c r="EG39" s="388"/>
      <c r="EH39" s="388"/>
      <c r="EI39" s="388"/>
      <c r="EJ39" s="388"/>
      <c r="EK39" s="388"/>
      <c r="EL39" s="388"/>
      <c r="EM39" s="388"/>
      <c r="EN39" s="206"/>
      <c r="EO39" s="206"/>
      <c r="EP39" s="388"/>
      <c r="EQ39" s="388"/>
      <c r="ER39" s="388"/>
      <c r="ES39" s="388"/>
      <c r="ET39" s="388"/>
      <c r="EU39" s="388"/>
      <c r="EV39" s="388"/>
      <c r="EW39" s="388"/>
      <c r="EX39" s="388"/>
      <c r="EY39" s="388"/>
      <c r="EZ39" s="388"/>
      <c r="FA39" s="206"/>
      <c r="FB39" s="206"/>
      <c r="FC39" s="388"/>
      <c r="FD39" s="388"/>
      <c r="FE39" s="388"/>
      <c r="FF39" s="388"/>
      <c r="FG39" s="388"/>
      <c r="FH39" s="388"/>
      <c r="FI39" s="388"/>
      <c r="FJ39" s="388"/>
      <c r="FK39" s="388"/>
      <c r="FL39" s="388"/>
      <c r="FM39" s="388"/>
      <c r="FN39" s="206"/>
      <c r="FO39" s="206"/>
      <c r="FP39" s="388"/>
      <c r="FQ39" s="388"/>
      <c r="FR39" s="388"/>
      <c r="FS39" s="388"/>
      <c r="FT39" s="388"/>
      <c r="FU39" s="388"/>
      <c r="FV39" s="388"/>
      <c r="FW39" s="388"/>
      <c r="FX39" s="388"/>
      <c r="FY39" s="388"/>
      <c r="FZ39" s="388"/>
      <c r="GA39" s="206"/>
      <c r="GB39" s="206"/>
      <c r="GC39" s="388"/>
      <c r="GD39" s="388"/>
      <c r="GE39" s="388"/>
      <c r="GF39" s="388"/>
      <c r="GG39" s="388"/>
      <c r="GH39" s="388"/>
      <c r="GI39" s="388"/>
      <c r="GJ39" s="388"/>
      <c r="GK39" s="388"/>
      <c r="GL39" s="388"/>
      <c r="GM39" s="388"/>
      <c r="GN39" s="206"/>
      <c r="GO39" s="206"/>
      <c r="GP39" s="388"/>
      <c r="GQ39" s="388"/>
      <c r="GR39" s="388"/>
      <c r="GS39" s="388"/>
      <c r="GT39" s="388"/>
      <c r="GU39" s="388"/>
      <c r="GV39" s="388"/>
      <c r="GW39" s="388"/>
      <c r="GX39" s="388"/>
      <c r="GY39" s="388"/>
      <c r="GZ39" s="388"/>
      <c r="HA39" s="206"/>
      <c r="HB39" s="206"/>
      <c r="HC39" s="388"/>
      <c r="HD39" s="388"/>
      <c r="HE39" s="388"/>
      <c r="HF39" s="388"/>
      <c r="HG39" s="388"/>
      <c r="HH39" s="388"/>
      <c r="HI39" s="388"/>
      <c r="HJ39" s="388"/>
      <c r="HK39" s="388"/>
      <c r="HL39" s="388"/>
      <c r="HM39" s="388"/>
      <c r="HN39" s="206"/>
      <c r="HO39" s="206"/>
      <c r="HP39" s="388"/>
      <c r="HQ39" s="388"/>
      <c r="HR39" s="388"/>
      <c r="HS39" s="388"/>
      <c r="HT39" s="388"/>
      <c r="HU39" s="388"/>
      <c r="HV39" s="388"/>
      <c r="HW39" s="388"/>
      <c r="HX39" s="388"/>
      <c r="HY39" s="388"/>
      <c r="HZ39" s="388"/>
      <c r="IA39" s="206"/>
      <c r="IB39" s="206"/>
      <c r="IC39" s="388"/>
      <c r="ID39" s="388"/>
      <c r="IE39" s="388"/>
      <c r="IF39" s="388"/>
      <c r="IG39" s="388"/>
      <c r="IH39" s="388"/>
      <c r="II39" s="388"/>
      <c r="IJ39" s="388"/>
      <c r="IK39" s="388"/>
      <c r="IL39" s="388"/>
      <c r="IM39" s="388"/>
      <c r="IN39" s="206"/>
      <c r="IO39" s="206"/>
      <c r="IP39" s="388"/>
      <c r="IQ39" s="388"/>
      <c r="IR39" s="388"/>
      <c r="IS39" s="388"/>
      <c r="IT39" s="388"/>
      <c r="IU39" s="388"/>
      <c r="IV39" s="388"/>
    </row>
    <row r="40" spans="1:256" x14ac:dyDescent="0.2">
      <c r="A40" s="217"/>
      <c r="B40" s="218"/>
      <c r="C40" s="390"/>
      <c r="D40" s="390"/>
      <c r="E40" s="390"/>
      <c r="F40" s="390"/>
      <c r="G40" s="390"/>
      <c r="H40" s="390"/>
      <c r="I40" s="390"/>
      <c r="J40" s="390"/>
      <c r="K40" s="390"/>
      <c r="L40" s="390"/>
      <c r="M40" s="391"/>
      <c r="N40" s="210"/>
      <c r="O40" s="210"/>
      <c r="P40" s="389"/>
      <c r="Q40" s="389"/>
      <c r="R40" s="389"/>
      <c r="S40" s="389"/>
      <c r="T40" s="389"/>
      <c r="U40" s="389"/>
      <c r="V40" s="389"/>
      <c r="W40" s="389"/>
      <c r="X40" s="389"/>
      <c r="Y40" s="389"/>
      <c r="Z40" s="389"/>
      <c r="AA40" s="206"/>
      <c r="AB40" s="206"/>
      <c r="AC40" s="388"/>
      <c r="AD40" s="388"/>
      <c r="AE40" s="388"/>
      <c r="AF40" s="388"/>
      <c r="AG40" s="388"/>
      <c r="AH40" s="388"/>
      <c r="AI40" s="388"/>
      <c r="AJ40" s="388"/>
      <c r="AK40" s="388"/>
      <c r="AL40" s="388"/>
      <c r="AM40" s="388"/>
      <c r="AN40" s="206"/>
      <c r="AO40" s="206"/>
      <c r="AP40" s="388"/>
      <c r="AQ40" s="388"/>
      <c r="AR40" s="388"/>
      <c r="AS40" s="388"/>
      <c r="AT40" s="388"/>
      <c r="AU40" s="388"/>
      <c r="AV40" s="388"/>
      <c r="AW40" s="388"/>
      <c r="AX40" s="388"/>
      <c r="AY40" s="388"/>
      <c r="AZ40" s="388"/>
      <c r="BA40" s="206"/>
      <c r="BB40" s="206"/>
      <c r="BC40" s="388"/>
      <c r="BD40" s="388"/>
      <c r="BE40" s="388"/>
      <c r="BF40" s="388"/>
      <c r="BG40" s="388"/>
      <c r="BH40" s="388"/>
      <c r="BI40" s="388"/>
      <c r="BJ40" s="388"/>
      <c r="BK40" s="388"/>
      <c r="BL40" s="388"/>
      <c r="BM40" s="388"/>
      <c r="BN40" s="206"/>
      <c r="BO40" s="206"/>
      <c r="BP40" s="388"/>
      <c r="BQ40" s="388"/>
      <c r="BR40" s="388"/>
      <c r="BS40" s="388"/>
      <c r="BT40" s="388"/>
      <c r="BU40" s="388"/>
      <c r="BV40" s="388"/>
      <c r="BW40" s="388"/>
      <c r="BX40" s="388"/>
      <c r="BY40" s="388"/>
      <c r="BZ40" s="388"/>
      <c r="CA40" s="206"/>
      <c r="CB40" s="206"/>
      <c r="CC40" s="388"/>
      <c r="CD40" s="388"/>
      <c r="CE40" s="388"/>
      <c r="CF40" s="388"/>
      <c r="CG40" s="388"/>
      <c r="CH40" s="388"/>
      <c r="CI40" s="388"/>
      <c r="CJ40" s="388"/>
      <c r="CK40" s="388"/>
      <c r="CL40" s="388"/>
      <c r="CM40" s="388"/>
      <c r="CN40" s="206"/>
      <c r="CO40" s="206"/>
      <c r="CP40" s="388"/>
      <c r="CQ40" s="388"/>
      <c r="CR40" s="388"/>
      <c r="CS40" s="388"/>
      <c r="CT40" s="388"/>
      <c r="CU40" s="388"/>
      <c r="CV40" s="388"/>
      <c r="CW40" s="388"/>
      <c r="CX40" s="388"/>
      <c r="CY40" s="388"/>
      <c r="CZ40" s="388"/>
      <c r="DA40" s="206"/>
      <c r="DB40" s="206"/>
      <c r="DC40" s="388"/>
      <c r="DD40" s="388"/>
      <c r="DE40" s="388"/>
      <c r="DF40" s="388"/>
      <c r="DG40" s="388"/>
      <c r="DH40" s="388"/>
      <c r="DI40" s="388"/>
      <c r="DJ40" s="388"/>
      <c r="DK40" s="388"/>
      <c r="DL40" s="388"/>
      <c r="DM40" s="388"/>
      <c r="DN40" s="206"/>
      <c r="DO40" s="206"/>
      <c r="DP40" s="388"/>
      <c r="DQ40" s="388"/>
      <c r="DR40" s="388"/>
      <c r="DS40" s="388"/>
      <c r="DT40" s="388"/>
      <c r="DU40" s="388"/>
      <c r="DV40" s="388"/>
      <c r="DW40" s="388"/>
      <c r="DX40" s="388"/>
      <c r="DY40" s="388"/>
      <c r="DZ40" s="388"/>
      <c r="EA40" s="206"/>
      <c r="EB40" s="206"/>
      <c r="EC40" s="388"/>
      <c r="ED40" s="388"/>
      <c r="EE40" s="388"/>
      <c r="EF40" s="388"/>
      <c r="EG40" s="388"/>
      <c r="EH40" s="388"/>
      <c r="EI40" s="388"/>
      <c r="EJ40" s="388"/>
      <c r="EK40" s="388"/>
      <c r="EL40" s="388"/>
      <c r="EM40" s="388"/>
      <c r="EN40" s="206"/>
      <c r="EO40" s="206"/>
      <c r="EP40" s="388"/>
      <c r="EQ40" s="388"/>
      <c r="ER40" s="388"/>
      <c r="ES40" s="388"/>
      <c r="ET40" s="388"/>
      <c r="EU40" s="388"/>
      <c r="EV40" s="388"/>
      <c r="EW40" s="388"/>
      <c r="EX40" s="388"/>
      <c r="EY40" s="388"/>
      <c r="EZ40" s="388"/>
      <c r="FA40" s="206"/>
      <c r="FB40" s="206"/>
      <c r="FC40" s="388"/>
      <c r="FD40" s="388"/>
      <c r="FE40" s="388"/>
      <c r="FF40" s="388"/>
      <c r="FG40" s="388"/>
      <c r="FH40" s="388"/>
      <c r="FI40" s="388"/>
      <c r="FJ40" s="388"/>
      <c r="FK40" s="388"/>
      <c r="FL40" s="388"/>
      <c r="FM40" s="388"/>
      <c r="FN40" s="206"/>
      <c r="FO40" s="206"/>
      <c r="FP40" s="388"/>
      <c r="FQ40" s="388"/>
      <c r="FR40" s="388"/>
      <c r="FS40" s="388"/>
      <c r="FT40" s="388"/>
      <c r="FU40" s="388"/>
      <c r="FV40" s="388"/>
      <c r="FW40" s="388"/>
      <c r="FX40" s="388"/>
      <c r="FY40" s="388"/>
      <c r="FZ40" s="388"/>
      <c r="GA40" s="206"/>
      <c r="GB40" s="206"/>
      <c r="GC40" s="388"/>
      <c r="GD40" s="388"/>
      <c r="GE40" s="388"/>
      <c r="GF40" s="388"/>
      <c r="GG40" s="388"/>
      <c r="GH40" s="388"/>
      <c r="GI40" s="388"/>
      <c r="GJ40" s="388"/>
      <c r="GK40" s="388"/>
      <c r="GL40" s="388"/>
      <c r="GM40" s="388"/>
      <c r="GN40" s="206"/>
      <c r="GO40" s="206"/>
      <c r="GP40" s="388"/>
      <c r="GQ40" s="388"/>
      <c r="GR40" s="388"/>
      <c r="GS40" s="388"/>
      <c r="GT40" s="388"/>
      <c r="GU40" s="388"/>
      <c r="GV40" s="388"/>
      <c r="GW40" s="388"/>
      <c r="GX40" s="388"/>
      <c r="GY40" s="388"/>
      <c r="GZ40" s="388"/>
      <c r="HA40" s="206"/>
      <c r="HB40" s="206"/>
      <c r="HC40" s="388"/>
      <c r="HD40" s="388"/>
      <c r="HE40" s="388"/>
      <c r="HF40" s="388"/>
      <c r="HG40" s="388"/>
      <c r="HH40" s="388"/>
      <c r="HI40" s="388"/>
      <c r="HJ40" s="388"/>
      <c r="HK40" s="388"/>
      <c r="HL40" s="388"/>
      <c r="HM40" s="388"/>
      <c r="HN40" s="206"/>
      <c r="HO40" s="206"/>
      <c r="HP40" s="388"/>
      <c r="HQ40" s="388"/>
      <c r="HR40" s="388"/>
      <c r="HS40" s="388"/>
      <c r="HT40" s="388"/>
      <c r="HU40" s="388"/>
      <c r="HV40" s="388"/>
      <c r="HW40" s="388"/>
      <c r="HX40" s="388"/>
      <c r="HY40" s="388"/>
      <c r="HZ40" s="388"/>
      <c r="IA40" s="206"/>
      <c r="IB40" s="206"/>
      <c r="IC40" s="388"/>
      <c r="ID40" s="388"/>
      <c r="IE40" s="388"/>
      <c r="IF40" s="388"/>
      <c r="IG40" s="388"/>
      <c r="IH40" s="388"/>
      <c r="II40" s="388"/>
      <c r="IJ40" s="388"/>
      <c r="IK40" s="388"/>
      <c r="IL40" s="388"/>
      <c r="IM40" s="388"/>
      <c r="IN40" s="206"/>
      <c r="IO40" s="206"/>
      <c r="IP40" s="388"/>
      <c r="IQ40" s="388"/>
      <c r="IR40" s="388"/>
      <c r="IS40" s="388"/>
      <c r="IT40" s="388"/>
      <c r="IU40" s="388"/>
      <c r="IV40" s="388"/>
    </row>
    <row r="41" spans="1:256" x14ac:dyDescent="0.2">
      <c r="A41" s="217"/>
      <c r="B41" s="218"/>
      <c r="C41" s="390"/>
      <c r="D41" s="390"/>
      <c r="E41" s="390"/>
      <c r="F41" s="390"/>
      <c r="G41" s="390"/>
      <c r="H41" s="390"/>
      <c r="I41" s="390"/>
      <c r="J41" s="390"/>
      <c r="K41" s="390"/>
      <c r="L41" s="390"/>
      <c r="M41" s="391"/>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0"/>
      <c r="D42" s="390"/>
      <c r="E42" s="390"/>
      <c r="F42" s="390"/>
      <c r="G42" s="390"/>
      <c r="H42" s="390"/>
      <c r="I42" s="390"/>
      <c r="J42" s="390"/>
      <c r="K42" s="390"/>
      <c r="L42" s="390"/>
      <c r="M42" s="391"/>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0"/>
      <c r="D43" s="390"/>
      <c r="E43" s="390"/>
      <c r="F43" s="390"/>
      <c r="G43" s="390"/>
      <c r="H43" s="390"/>
      <c r="I43" s="390"/>
      <c r="J43" s="390"/>
      <c r="K43" s="390"/>
      <c r="L43" s="390"/>
      <c r="M43" s="391"/>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0"/>
      <c r="D44" s="390"/>
      <c r="E44" s="390"/>
      <c r="F44" s="390"/>
      <c r="G44" s="390"/>
      <c r="H44" s="390"/>
      <c r="I44" s="390"/>
      <c r="J44" s="390"/>
      <c r="K44" s="390"/>
      <c r="L44" s="390"/>
      <c r="M44" s="391"/>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0"/>
      <c r="D45" s="390"/>
      <c r="E45" s="390"/>
      <c r="F45" s="390"/>
      <c r="G45" s="390"/>
      <c r="H45" s="390"/>
      <c r="I45" s="390"/>
      <c r="J45" s="390"/>
      <c r="K45" s="390"/>
      <c r="L45" s="390"/>
      <c r="M45" s="391"/>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0"/>
      <c r="D46" s="390"/>
      <c r="E46" s="390"/>
      <c r="F46" s="390"/>
      <c r="G46" s="390"/>
      <c r="H46" s="390"/>
      <c r="I46" s="390"/>
      <c r="J46" s="390"/>
      <c r="K46" s="390"/>
      <c r="L46" s="390"/>
      <c r="M46" s="391"/>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0"/>
      <c r="D47" s="390"/>
      <c r="E47" s="390"/>
      <c r="F47" s="390"/>
      <c r="G47" s="390"/>
      <c r="H47" s="390"/>
      <c r="I47" s="390"/>
      <c r="J47" s="390"/>
      <c r="K47" s="390"/>
      <c r="L47" s="390"/>
      <c r="M47" s="391"/>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0"/>
      <c r="D48" s="390"/>
      <c r="E48" s="390"/>
      <c r="F48" s="390"/>
      <c r="G48" s="390"/>
      <c r="H48" s="390"/>
      <c r="I48" s="390"/>
      <c r="J48" s="390"/>
      <c r="K48" s="390"/>
      <c r="L48" s="390"/>
      <c r="M48" s="391"/>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0"/>
      <c r="D49" s="390"/>
      <c r="E49" s="390"/>
      <c r="F49" s="390"/>
      <c r="G49" s="390"/>
      <c r="H49" s="390"/>
      <c r="I49" s="390"/>
      <c r="J49" s="390"/>
      <c r="K49" s="390"/>
      <c r="L49" s="390"/>
      <c r="M49" s="391"/>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0"/>
      <c r="D50" s="390"/>
      <c r="E50" s="390"/>
      <c r="F50" s="390"/>
      <c r="G50" s="390"/>
      <c r="H50" s="390"/>
      <c r="I50" s="390"/>
      <c r="J50" s="390"/>
      <c r="K50" s="390"/>
      <c r="L50" s="390"/>
      <c r="M50" s="391"/>
      <c r="N50" s="126"/>
      <c r="O50" s="126"/>
      <c r="P50" s="126"/>
      <c r="Q50" s="126"/>
      <c r="R50" s="126"/>
      <c r="S50" s="126"/>
      <c r="T50" s="126"/>
      <c r="U50" s="126"/>
      <c r="V50" s="126"/>
      <c r="W50" s="126"/>
      <c r="X50" s="126"/>
      <c r="Y50" s="126"/>
      <c r="Z50" s="126"/>
    </row>
    <row r="51" spans="1:256" x14ac:dyDescent="0.2">
      <c r="A51" s="217"/>
      <c r="B51" s="218"/>
      <c r="C51" s="390"/>
      <c r="D51" s="390"/>
      <c r="E51" s="390"/>
      <c r="F51" s="390"/>
      <c r="G51" s="390"/>
      <c r="H51" s="390"/>
      <c r="I51" s="390"/>
      <c r="J51" s="390"/>
      <c r="K51" s="390"/>
      <c r="L51" s="390"/>
      <c r="M51" s="391"/>
      <c r="N51" s="126"/>
      <c r="O51" s="126"/>
      <c r="P51" s="126"/>
      <c r="Q51" s="126"/>
      <c r="R51" s="126"/>
      <c r="S51" s="126"/>
      <c r="T51" s="126"/>
      <c r="U51" s="126"/>
      <c r="V51" s="126"/>
      <c r="W51" s="126"/>
      <c r="X51" s="126"/>
      <c r="Y51" s="126"/>
      <c r="Z51" s="126"/>
    </row>
    <row r="52" spans="1:256" x14ac:dyDescent="0.2">
      <c r="A52" s="217"/>
      <c r="B52" s="218"/>
      <c r="C52" s="390"/>
      <c r="D52" s="390"/>
      <c r="E52" s="390"/>
      <c r="F52" s="390"/>
      <c r="G52" s="390"/>
      <c r="H52" s="390"/>
      <c r="I52" s="390"/>
      <c r="J52" s="390"/>
      <c r="K52" s="390"/>
      <c r="L52" s="390"/>
      <c r="M52" s="391"/>
      <c r="N52" s="126"/>
      <c r="O52" s="126"/>
      <c r="P52" s="126"/>
      <c r="Q52" s="126"/>
      <c r="R52" s="126"/>
      <c r="S52" s="126"/>
      <c r="T52" s="126"/>
      <c r="U52" s="126"/>
      <c r="V52" s="126"/>
      <c r="W52" s="126"/>
      <c r="X52" s="126"/>
      <c r="Y52" s="126"/>
      <c r="Z52" s="126"/>
    </row>
    <row r="53" spans="1:256" x14ac:dyDescent="0.2">
      <c r="A53" s="217"/>
      <c r="B53" s="218"/>
      <c r="C53" s="390"/>
      <c r="D53" s="390"/>
      <c r="E53" s="390"/>
      <c r="F53" s="390"/>
      <c r="G53" s="390"/>
      <c r="H53" s="390"/>
      <c r="I53" s="390"/>
      <c r="J53" s="390"/>
      <c r="K53" s="390"/>
      <c r="L53" s="390"/>
      <c r="M53" s="391"/>
      <c r="N53" s="126"/>
      <c r="O53" s="126"/>
      <c r="P53" s="126"/>
      <c r="Q53" s="126"/>
      <c r="R53" s="126"/>
      <c r="S53" s="126"/>
      <c r="T53" s="126"/>
      <c r="U53" s="126"/>
      <c r="V53" s="126"/>
      <c r="W53" s="126"/>
      <c r="X53" s="126"/>
      <c r="Y53" s="126"/>
      <c r="Z53" s="126"/>
    </row>
    <row r="54" spans="1:256" x14ac:dyDescent="0.2">
      <c r="A54" s="217"/>
      <c r="B54" s="218"/>
      <c r="C54" s="390"/>
      <c r="D54" s="390"/>
      <c r="E54" s="390"/>
      <c r="F54" s="390"/>
      <c r="G54" s="390"/>
      <c r="H54" s="390"/>
      <c r="I54" s="390"/>
      <c r="J54" s="390"/>
      <c r="K54" s="390"/>
      <c r="L54" s="390"/>
      <c r="M54" s="391"/>
      <c r="N54" s="126"/>
      <c r="O54" s="126"/>
      <c r="P54" s="126"/>
      <c r="Q54" s="126"/>
      <c r="R54" s="126"/>
      <c r="S54" s="126"/>
      <c r="T54" s="126"/>
      <c r="U54" s="126"/>
      <c r="V54" s="126"/>
      <c r="W54" s="126"/>
      <c r="X54" s="126"/>
      <c r="Y54" s="126"/>
      <c r="Z54" s="126"/>
    </row>
    <row r="55" spans="1:256" x14ac:dyDescent="0.2">
      <c r="A55" s="217"/>
      <c r="B55" s="218"/>
      <c r="C55" s="390"/>
      <c r="D55" s="390"/>
      <c r="E55" s="390"/>
      <c r="F55" s="390"/>
      <c r="G55" s="390"/>
      <c r="H55" s="390"/>
      <c r="I55" s="390"/>
      <c r="J55" s="390"/>
      <c r="K55" s="390"/>
      <c r="L55" s="390"/>
      <c r="M55" s="391"/>
      <c r="N55" s="126"/>
      <c r="O55" s="126"/>
      <c r="P55" s="126"/>
      <c r="Q55" s="126"/>
      <c r="R55" s="126"/>
      <c r="S55" s="126"/>
      <c r="T55" s="126"/>
      <c r="U55" s="126"/>
      <c r="V55" s="126"/>
      <c r="W55" s="126"/>
      <c r="X55" s="126"/>
      <c r="Y55" s="126"/>
      <c r="Z55" s="126"/>
    </row>
    <row r="56" spans="1:256" x14ac:dyDescent="0.2">
      <c r="A56" s="217"/>
      <c r="B56" s="218"/>
      <c r="C56" s="390"/>
      <c r="D56" s="390"/>
      <c r="E56" s="390"/>
      <c r="F56" s="390"/>
      <c r="G56" s="390"/>
      <c r="H56" s="390"/>
      <c r="I56" s="390"/>
      <c r="J56" s="390"/>
      <c r="K56" s="390"/>
      <c r="L56" s="390"/>
      <c r="M56" s="391"/>
      <c r="N56" s="126"/>
      <c r="O56" s="126"/>
      <c r="P56" s="126"/>
      <c r="Q56" s="126"/>
      <c r="R56" s="126"/>
      <c r="S56" s="126"/>
      <c r="T56" s="126"/>
      <c r="U56" s="126"/>
      <c r="V56" s="126"/>
      <c r="W56" s="126"/>
      <c r="X56" s="126"/>
      <c r="Y56" s="126"/>
      <c r="Z56" s="126"/>
    </row>
    <row r="57" spans="1:256" x14ac:dyDescent="0.2">
      <c r="A57" s="217"/>
      <c r="B57" s="218"/>
      <c r="C57" s="390"/>
      <c r="D57" s="390"/>
      <c r="E57" s="390"/>
      <c r="F57" s="390"/>
      <c r="G57" s="390"/>
      <c r="H57" s="390"/>
      <c r="I57" s="390"/>
      <c r="J57" s="390"/>
      <c r="K57" s="390"/>
      <c r="L57" s="390"/>
      <c r="M57" s="391"/>
      <c r="N57" s="126"/>
      <c r="O57" s="126"/>
      <c r="P57" s="126"/>
      <c r="Q57" s="126"/>
      <c r="R57" s="126"/>
      <c r="S57" s="126"/>
      <c r="T57" s="126"/>
      <c r="U57" s="126"/>
      <c r="V57" s="126"/>
      <c r="W57" s="126"/>
      <c r="X57" s="126"/>
      <c r="Y57" s="126"/>
      <c r="Z57" s="126"/>
    </row>
    <row r="58" spans="1:256" x14ac:dyDescent="0.2">
      <c r="A58" s="217"/>
      <c r="B58" s="218"/>
      <c r="C58" s="390"/>
      <c r="D58" s="390"/>
      <c r="E58" s="390"/>
      <c r="F58" s="390"/>
      <c r="G58" s="390"/>
      <c r="H58" s="390"/>
      <c r="I58" s="390"/>
      <c r="J58" s="390"/>
      <c r="K58" s="390"/>
      <c r="L58" s="390"/>
      <c r="M58" s="391"/>
      <c r="N58" s="126"/>
      <c r="O58" s="126"/>
      <c r="P58" s="126"/>
      <c r="Q58" s="126"/>
      <c r="R58" s="126"/>
      <c r="S58" s="126"/>
      <c r="T58" s="126"/>
      <c r="U58" s="126"/>
      <c r="V58" s="126"/>
      <c r="W58" s="126"/>
      <c r="X58" s="126"/>
      <c r="Y58" s="126"/>
      <c r="Z58" s="126"/>
    </row>
    <row r="59" spans="1:256" x14ac:dyDescent="0.2">
      <c r="A59" s="217"/>
      <c r="B59" s="218"/>
      <c r="C59" s="390"/>
      <c r="D59" s="390"/>
      <c r="E59" s="390"/>
      <c r="F59" s="390"/>
      <c r="G59" s="390"/>
      <c r="H59" s="390"/>
      <c r="I59" s="390"/>
      <c r="J59" s="390"/>
      <c r="K59" s="390"/>
      <c r="L59" s="390"/>
      <c r="M59" s="391"/>
    </row>
    <row r="60" spans="1:256" x14ac:dyDescent="0.2">
      <c r="A60" s="217"/>
      <c r="B60" s="218"/>
      <c r="C60" s="390"/>
      <c r="D60" s="390"/>
      <c r="E60" s="390"/>
      <c r="F60" s="390"/>
      <c r="G60" s="390"/>
      <c r="H60" s="390"/>
      <c r="I60" s="390"/>
      <c r="J60" s="390"/>
      <c r="K60" s="390"/>
      <c r="L60" s="390"/>
      <c r="M60" s="391"/>
    </row>
    <row r="61" spans="1:256" x14ac:dyDescent="0.2">
      <c r="A61" s="217"/>
      <c r="B61" s="218"/>
      <c r="C61" s="390"/>
      <c r="D61" s="390"/>
      <c r="E61" s="390"/>
      <c r="F61" s="390"/>
      <c r="G61" s="390"/>
      <c r="H61" s="390"/>
      <c r="I61" s="390"/>
      <c r="J61" s="390"/>
      <c r="K61" s="390"/>
      <c r="L61" s="390"/>
      <c r="M61" s="391"/>
    </row>
    <row r="62" spans="1:256" x14ac:dyDescent="0.2">
      <c r="A62" s="217"/>
      <c r="B62" s="218"/>
      <c r="C62" s="390"/>
      <c r="D62" s="390"/>
      <c r="E62" s="390"/>
      <c r="F62" s="390"/>
      <c r="G62" s="390"/>
      <c r="H62" s="390"/>
      <c r="I62" s="390"/>
      <c r="J62" s="390"/>
      <c r="K62" s="390"/>
      <c r="L62" s="390"/>
      <c r="M62" s="391"/>
    </row>
    <row r="63" spans="1:256" x14ac:dyDescent="0.2">
      <c r="A63" s="217"/>
      <c r="B63" s="218"/>
      <c r="C63" s="390"/>
      <c r="D63" s="390"/>
      <c r="E63" s="390"/>
      <c r="F63" s="390"/>
      <c r="G63" s="390"/>
      <c r="H63" s="390"/>
      <c r="I63" s="390"/>
      <c r="J63" s="390"/>
      <c r="K63" s="390"/>
      <c r="L63" s="390"/>
      <c r="M63" s="391"/>
    </row>
    <row r="64" spans="1:256" x14ac:dyDescent="0.2">
      <c r="A64" s="217"/>
      <c r="B64" s="218"/>
      <c r="C64" s="390"/>
      <c r="D64" s="390"/>
      <c r="E64" s="390"/>
      <c r="F64" s="390"/>
      <c r="G64" s="390"/>
      <c r="H64" s="390"/>
      <c r="I64" s="390"/>
      <c r="J64" s="390"/>
      <c r="K64" s="390"/>
      <c r="L64" s="390"/>
      <c r="M64" s="391"/>
    </row>
    <row r="65" spans="1:13" x14ac:dyDescent="0.2">
      <c r="A65" s="217"/>
      <c r="B65" s="218"/>
      <c r="C65" s="390"/>
      <c r="D65" s="390"/>
      <c r="E65" s="390"/>
      <c r="F65" s="390"/>
      <c r="G65" s="390"/>
      <c r="H65" s="390"/>
      <c r="I65" s="390"/>
      <c r="J65" s="390"/>
      <c r="K65" s="390"/>
      <c r="L65" s="390"/>
      <c r="M65" s="391"/>
    </row>
    <row r="66" spans="1:13" x14ac:dyDescent="0.2">
      <c r="A66" s="217"/>
      <c r="B66" s="218"/>
      <c r="C66" s="390"/>
      <c r="D66" s="390"/>
      <c r="E66" s="390"/>
      <c r="F66" s="390"/>
      <c r="G66" s="390"/>
      <c r="H66" s="390"/>
      <c r="I66" s="390"/>
      <c r="J66" s="390"/>
      <c r="K66" s="390"/>
      <c r="L66" s="390"/>
      <c r="M66" s="391"/>
    </row>
    <row r="67" spans="1:13" x14ac:dyDescent="0.2">
      <c r="A67" s="217"/>
      <c r="B67" s="218"/>
      <c r="C67" s="390"/>
      <c r="D67" s="390"/>
      <c r="E67" s="390"/>
      <c r="F67" s="390"/>
      <c r="G67" s="390"/>
      <c r="H67" s="390"/>
      <c r="I67" s="390"/>
      <c r="J67" s="390"/>
      <c r="K67" s="390"/>
      <c r="L67" s="390"/>
      <c r="M67" s="391"/>
    </row>
    <row r="68" spans="1:13" x14ac:dyDescent="0.2">
      <c r="A68" s="217"/>
      <c r="B68" s="218"/>
      <c r="C68" s="390"/>
      <c r="D68" s="390"/>
      <c r="E68" s="390"/>
      <c r="F68" s="390"/>
      <c r="G68" s="390"/>
      <c r="H68" s="390"/>
      <c r="I68" s="390"/>
      <c r="J68" s="390"/>
      <c r="K68" s="390"/>
      <c r="L68" s="390"/>
      <c r="M68" s="391"/>
    </row>
    <row r="69" spans="1:13" x14ac:dyDescent="0.2">
      <c r="A69" s="217"/>
      <c r="B69" s="218"/>
      <c r="C69" s="390"/>
      <c r="D69" s="390"/>
      <c r="E69" s="390"/>
      <c r="F69" s="390"/>
      <c r="G69" s="390"/>
      <c r="H69" s="390"/>
      <c r="I69" s="390"/>
      <c r="J69" s="390"/>
      <c r="K69" s="390"/>
      <c r="L69" s="390"/>
      <c r="M69" s="391"/>
    </row>
    <row r="70" spans="1:13" ht="12" thickBot="1" x14ac:dyDescent="0.25">
      <c r="A70" s="219"/>
      <c r="B70" s="220"/>
      <c r="C70" s="403"/>
      <c r="D70" s="403"/>
      <c r="E70" s="403"/>
      <c r="F70" s="403"/>
      <c r="G70" s="403"/>
      <c r="H70" s="403"/>
      <c r="I70" s="403"/>
      <c r="J70" s="403"/>
      <c r="K70" s="403"/>
      <c r="L70" s="403"/>
      <c r="M70" s="404"/>
    </row>
    <row r="71" spans="1:13" ht="12" thickTop="1" x14ac:dyDescent="0.2">
      <c r="A71" s="207"/>
      <c r="B71" s="207"/>
      <c r="C71" s="208"/>
      <c r="D71" s="208"/>
      <c r="E71" s="208"/>
      <c r="F71" s="208"/>
      <c r="G71" s="208"/>
      <c r="H71" s="208"/>
      <c r="I71" s="208"/>
      <c r="J71" s="208"/>
      <c r="K71" s="208"/>
      <c r="L71" s="208"/>
    </row>
    <row r="72" spans="1:13" ht="12.75" x14ac:dyDescent="0.2">
      <c r="A72" s="405" t="s">
        <v>832</v>
      </c>
      <c r="B72" s="405"/>
      <c r="C72" s="405"/>
      <c r="D72" s="405"/>
      <c r="E72" s="405"/>
      <c r="F72" s="126"/>
      <c r="G72" s="126"/>
      <c r="H72" s="126"/>
      <c r="I72" s="126"/>
      <c r="J72" s="126"/>
      <c r="K72" s="126"/>
      <c r="L72" s="126"/>
      <c r="M72" s="126"/>
    </row>
    <row r="73" spans="1:13" x14ac:dyDescent="0.2">
      <c r="A73" s="209" t="s">
        <v>764</v>
      </c>
      <c r="B73" s="209" t="s">
        <v>765</v>
      </c>
      <c r="C73" s="402"/>
      <c r="D73" s="402"/>
      <c r="E73" s="402"/>
      <c r="F73" s="402"/>
      <c r="G73" s="402"/>
      <c r="H73" s="402"/>
      <c r="I73" s="402"/>
      <c r="J73" s="402"/>
      <c r="K73" s="402"/>
      <c r="L73" s="402"/>
      <c r="M73" s="402"/>
    </row>
    <row r="74" spans="1:13" x14ac:dyDescent="0.2">
      <c r="A74" s="210"/>
      <c r="B74" s="210"/>
      <c r="C74" s="402"/>
      <c r="D74" s="402"/>
      <c r="E74" s="402"/>
      <c r="F74" s="402"/>
      <c r="G74" s="402"/>
      <c r="H74" s="402"/>
      <c r="I74" s="402"/>
      <c r="J74" s="402"/>
      <c r="K74" s="402"/>
      <c r="L74" s="402"/>
      <c r="M74" s="402"/>
    </row>
    <row r="75" spans="1:13" x14ac:dyDescent="0.2">
      <c r="A75" s="210"/>
      <c r="B75" s="210"/>
      <c r="C75" s="402"/>
      <c r="D75" s="402"/>
      <c r="E75" s="402"/>
      <c r="F75" s="402"/>
      <c r="G75" s="402"/>
      <c r="H75" s="402"/>
      <c r="I75" s="402"/>
      <c r="J75" s="402"/>
      <c r="K75" s="402"/>
      <c r="L75" s="402"/>
      <c r="M75" s="402"/>
    </row>
    <row r="76" spans="1:13" x14ac:dyDescent="0.2">
      <c r="A76" s="210"/>
      <c r="B76" s="210"/>
      <c r="C76" s="402"/>
      <c r="D76" s="402"/>
      <c r="E76" s="402"/>
      <c r="F76" s="402"/>
      <c r="G76" s="402"/>
      <c r="H76" s="402"/>
      <c r="I76" s="402"/>
      <c r="J76" s="402"/>
      <c r="K76" s="402"/>
      <c r="L76" s="402"/>
      <c r="M76" s="402"/>
    </row>
    <row r="77" spans="1:13" x14ac:dyDescent="0.2">
      <c r="A77" s="210"/>
      <c r="B77" s="210"/>
      <c r="C77" s="402"/>
      <c r="D77" s="402"/>
      <c r="E77" s="402"/>
      <c r="F77" s="402"/>
      <c r="G77" s="402"/>
      <c r="H77" s="402"/>
      <c r="I77" s="402"/>
      <c r="J77" s="402"/>
      <c r="K77" s="402"/>
      <c r="L77" s="402"/>
      <c r="M77" s="402"/>
    </row>
    <row r="78" spans="1:13" x14ac:dyDescent="0.2">
      <c r="A78" s="210"/>
      <c r="B78" s="210"/>
      <c r="C78" s="402"/>
      <c r="D78" s="402"/>
      <c r="E78" s="402"/>
      <c r="F78" s="402"/>
      <c r="G78" s="402"/>
      <c r="H78" s="402"/>
      <c r="I78" s="402"/>
      <c r="J78" s="402"/>
      <c r="K78" s="402"/>
      <c r="L78" s="402"/>
      <c r="M78" s="402"/>
    </row>
    <row r="79" spans="1:13" x14ac:dyDescent="0.2">
      <c r="A79" s="210"/>
      <c r="B79" s="210"/>
      <c r="C79" s="402"/>
      <c r="D79" s="402"/>
      <c r="E79" s="402"/>
      <c r="F79" s="402"/>
      <c r="G79" s="402"/>
      <c r="H79" s="402"/>
      <c r="I79" s="402"/>
      <c r="J79" s="402"/>
      <c r="K79" s="402"/>
      <c r="L79" s="402"/>
      <c r="M79" s="402"/>
    </row>
    <row r="80" spans="1:13" x14ac:dyDescent="0.2">
      <c r="A80" s="210"/>
      <c r="B80" s="210"/>
      <c r="C80" s="402"/>
      <c r="D80" s="402"/>
      <c r="E80" s="402"/>
      <c r="F80" s="402"/>
      <c r="G80" s="402"/>
      <c r="H80" s="402"/>
      <c r="I80" s="402"/>
      <c r="J80" s="402"/>
      <c r="K80" s="402"/>
      <c r="L80" s="402"/>
      <c r="M80" s="402"/>
    </row>
    <row r="81" spans="1:13" x14ac:dyDescent="0.2">
      <c r="A81" s="210"/>
      <c r="B81" s="210"/>
      <c r="C81" s="402"/>
      <c r="D81" s="402"/>
      <c r="E81" s="402"/>
      <c r="F81" s="402"/>
      <c r="G81" s="402"/>
      <c r="H81" s="402"/>
      <c r="I81" s="402"/>
      <c r="J81" s="402"/>
      <c r="K81" s="402"/>
      <c r="L81" s="402"/>
      <c r="M81" s="402"/>
    </row>
    <row r="82" spans="1:13" x14ac:dyDescent="0.2">
      <c r="A82" s="210"/>
      <c r="B82" s="210"/>
      <c r="C82" s="402"/>
      <c r="D82" s="402"/>
      <c r="E82" s="402"/>
      <c r="F82" s="402"/>
      <c r="G82" s="402"/>
      <c r="H82" s="402"/>
      <c r="I82" s="402"/>
      <c r="J82" s="402"/>
      <c r="K82" s="402"/>
      <c r="L82" s="402"/>
      <c r="M82" s="402"/>
    </row>
    <row r="83" spans="1:13" x14ac:dyDescent="0.2">
      <c r="A83" s="210"/>
      <c r="B83" s="210"/>
      <c r="C83" s="402"/>
      <c r="D83" s="402"/>
      <c r="E83" s="402"/>
      <c r="F83" s="402"/>
      <c r="G83" s="402"/>
      <c r="H83" s="402"/>
      <c r="I83" s="402"/>
      <c r="J83" s="402"/>
      <c r="K83" s="402"/>
      <c r="L83" s="402"/>
      <c r="M83" s="402"/>
    </row>
    <row r="84" spans="1:13" x14ac:dyDescent="0.2">
      <c r="A84" s="210"/>
      <c r="B84" s="210"/>
      <c r="C84" s="402"/>
      <c r="D84" s="402"/>
      <c r="E84" s="402"/>
      <c r="F84" s="402"/>
      <c r="G84" s="402"/>
      <c r="H84" s="402"/>
      <c r="I84" s="402"/>
      <c r="J84" s="402"/>
      <c r="K84" s="402"/>
      <c r="L84" s="402"/>
      <c r="M84" s="402"/>
    </row>
    <row r="85" spans="1:13" x14ac:dyDescent="0.2">
      <c r="A85" s="210"/>
      <c r="B85" s="210"/>
      <c r="C85" s="402"/>
      <c r="D85" s="402"/>
      <c r="E85" s="402"/>
      <c r="F85" s="402"/>
      <c r="G85" s="402"/>
      <c r="H85" s="402"/>
      <c r="I85" s="402"/>
      <c r="J85" s="402"/>
      <c r="K85" s="402"/>
      <c r="L85" s="402"/>
      <c r="M85" s="402"/>
    </row>
    <row r="86" spans="1:13" x14ac:dyDescent="0.2">
      <c r="A86" s="210"/>
      <c r="B86" s="210"/>
      <c r="C86" s="402"/>
      <c r="D86" s="402"/>
      <c r="E86" s="402"/>
      <c r="F86" s="402"/>
      <c r="G86" s="402"/>
      <c r="H86" s="402"/>
      <c r="I86" s="402"/>
      <c r="J86" s="402"/>
      <c r="K86" s="402"/>
      <c r="L86" s="402"/>
      <c r="M86" s="402"/>
    </row>
    <row r="87" spans="1:13" x14ac:dyDescent="0.2">
      <c r="A87" s="210"/>
      <c r="B87" s="210"/>
      <c r="C87" s="402"/>
      <c r="D87" s="402"/>
      <c r="E87" s="402"/>
      <c r="F87" s="402"/>
      <c r="G87" s="402"/>
      <c r="H87" s="402"/>
      <c r="I87" s="402"/>
      <c r="J87" s="402"/>
      <c r="K87" s="402"/>
      <c r="L87" s="402"/>
      <c r="M87" s="402"/>
    </row>
    <row r="88" spans="1:13" x14ac:dyDescent="0.2">
      <c r="A88" s="210"/>
      <c r="B88" s="210"/>
      <c r="C88" s="402"/>
      <c r="D88" s="402"/>
      <c r="E88" s="402"/>
      <c r="F88" s="402"/>
      <c r="G88" s="402"/>
      <c r="H88" s="402"/>
      <c r="I88" s="402"/>
      <c r="J88" s="402"/>
      <c r="K88" s="402"/>
      <c r="L88" s="402"/>
      <c r="M88" s="402"/>
    </row>
    <row r="89" spans="1:13" x14ac:dyDescent="0.2">
      <c r="A89" s="210"/>
      <c r="B89" s="210"/>
      <c r="C89" s="402"/>
      <c r="D89" s="402"/>
      <c r="E89" s="402"/>
      <c r="F89" s="402"/>
      <c r="G89" s="402"/>
      <c r="H89" s="402"/>
      <c r="I89" s="402"/>
      <c r="J89" s="402"/>
      <c r="K89" s="402"/>
      <c r="L89" s="402"/>
      <c r="M89" s="402"/>
    </row>
    <row r="90" spans="1:13" x14ac:dyDescent="0.2">
      <c r="A90" s="210"/>
      <c r="B90" s="210"/>
      <c r="C90" s="402"/>
      <c r="D90" s="402"/>
      <c r="E90" s="402"/>
      <c r="F90" s="402"/>
      <c r="G90" s="402"/>
      <c r="H90" s="402"/>
      <c r="I90" s="402"/>
      <c r="J90" s="402"/>
      <c r="K90" s="402"/>
      <c r="L90" s="402"/>
      <c r="M90" s="402"/>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267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268</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f>IF('School Level Expenditures'!$B$2=A270,'School Tables'!H270,"")</f>
        <v>267</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f>IF('School Level Expenditures'!$B$2=A271,'School Tables'!H271,"")</f>
        <v>268</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2022-09-01T14:24:02Z</cp:lastPrinted>
  <dcterms:created xsi:type="dcterms:W3CDTF">1997-12-04T19:04:30Z</dcterms:created>
  <dcterms:modified xsi:type="dcterms:W3CDTF">2022-12-20T16:24:51Z</dcterms:modified>
</cp:coreProperties>
</file>